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6\04. ABR\Histórico Mensal\"/>
    </mc:Choice>
  </mc:AlternateContent>
  <xr:revisionPtr revIDLastSave="0" documentId="13_ncr:1_{EF787E65-F2A4-45B0-BCAA-B55EF0F9EADC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AB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Q58" i="1" s="1"/>
  <c r="N98" i="1"/>
  <c r="N92" i="1"/>
  <c r="N85" i="1"/>
  <c r="N96" i="1"/>
  <c r="N95" i="1"/>
  <c r="N94" i="1"/>
  <c r="N90" i="1"/>
  <c r="N89" i="1"/>
  <c r="Q89" i="1" s="1"/>
  <c r="N83" i="1"/>
  <c r="N82" i="1"/>
  <c r="N76" i="1"/>
  <c r="N70" i="1"/>
  <c r="N69" i="1"/>
  <c r="N68" i="1"/>
  <c r="Q68" i="1" s="1"/>
  <c r="N66" i="1"/>
  <c r="N55" i="1"/>
  <c r="N51" i="1"/>
  <c r="N38" i="1"/>
  <c r="N34" i="1"/>
  <c r="N35" i="1"/>
  <c r="Q93" i="1"/>
  <c r="Q94" i="1"/>
  <c r="Q95" i="1"/>
  <c r="Q96" i="1"/>
  <c r="Q97" i="1"/>
  <c r="Q98" i="1"/>
  <c r="Q88" i="1"/>
  <c r="Q90" i="1"/>
  <c r="Q92" i="1"/>
  <c r="Q87" i="1"/>
  <c r="Q83" i="1"/>
  <c r="Q84" i="1"/>
  <c r="Q85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64" i="1"/>
  <c r="Q65" i="1"/>
  <c r="Q66" i="1"/>
  <c r="Q52" i="1"/>
  <c r="Q53" i="1"/>
  <c r="Q54" i="1"/>
  <c r="Q55" i="1"/>
  <c r="Q56" i="1"/>
  <c r="Q57" i="1"/>
  <c r="Q59" i="1"/>
  <c r="Q60" i="1"/>
  <c r="Q61" i="1"/>
  <c r="Q63" i="1"/>
  <c r="Q51" i="1"/>
  <c r="Q35" i="1"/>
  <c r="Q36" i="1"/>
  <c r="Q37" i="1"/>
  <c r="Q38" i="1"/>
  <c r="Q39" i="1"/>
  <c r="Q40" i="1"/>
  <c r="Q41" i="1"/>
  <c r="Q48" i="1"/>
  <c r="Q49" i="1"/>
  <c r="Q44" i="1"/>
  <c r="Q45" i="1"/>
  <c r="Q47" i="1"/>
  <c r="Q43" i="1"/>
  <c r="Q34" i="1"/>
  <c r="S25" i="1"/>
  <c r="S24" i="1"/>
  <c r="R24" i="1"/>
  <c r="Q24" i="1"/>
  <c r="N78" i="1"/>
  <c r="P24" i="1" l="1"/>
  <c r="N74" i="1"/>
  <c r="N57" i="1"/>
  <c r="N63" i="1"/>
  <c r="N71" i="1"/>
  <c r="N75" i="1"/>
  <c r="L24" i="1"/>
  <c r="K24" i="1"/>
  <c r="O24" i="1"/>
  <c r="N24" i="1"/>
  <c r="N108" i="1"/>
  <c r="N65" i="1"/>
  <c r="N64" i="1"/>
  <c r="P25" i="1"/>
  <c r="N56" i="1"/>
  <c r="N36" i="1"/>
  <c r="N88" i="1"/>
  <c r="N73" i="1"/>
  <c r="N97" i="1" l="1"/>
  <c r="N84" i="1"/>
  <c r="N54" i="1"/>
  <c r="N52" i="1"/>
  <c r="N53" i="1"/>
  <c r="N93" i="1" l="1"/>
  <c r="N91" i="1" s="1"/>
  <c r="N87" i="1"/>
  <c r="N86" i="1" s="1"/>
  <c r="N60" i="1"/>
  <c r="N37" i="1"/>
  <c r="N72" i="1"/>
  <c r="N77" i="1"/>
  <c r="K38" i="1" l="1"/>
  <c r="K51" i="1"/>
  <c r="K55" i="1"/>
  <c r="K57" i="1"/>
  <c r="K58" i="1"/>
  <c r="K59" i="1"/>
  <c r="K66" i="1"/>
  <c r="K71" i="1"/>
  <c r="K68" i="1"/>
  <c r="K69" i="1"/>
  <c r="K75" i="1"/>
  <c r="K76" i="1"/>
  <c r="K83" i="1"/>
  <c r="K84" i="1"/>
  <c r="K85" i="1"/>
  <c r="K82" i="1"/>
  <c r="K90" i="1"/>
  <c r="K89" i="1"/>
  <c r="K88" i="1"/>
  <c r="K87" i="1"/>
  <c r="K98" i="1"/>
  <c r="K97" i="1"/>
  <c r="K96" i="1"/>
  <c r="K95" i="1"/>
  <c r="K94" i="1"/>
  <c r="K93" i="1"/>
  <c r="K92" i="1"/>
  <c r="K80" i="1"/>
  <c r="K79" i="1"/>
  <c r="K78" i="1"/>
  <c r="K77" i="1"/>
  <c r="K74" i="1"/>
  <c r="K73" i="1"/>
  <c r="K72" i="1"/>
  <c r="K70" i="1"/>
  <c r="K65" i="1"/>
  <c r="K64" i="1"/>
  <c r="K63" i="1"/>
  <c r="K61" i="1"/>
  <c r="K60" i="1"/>
  <c r="K56" i="1"/>
  <c r="K54" i="1"/>
  <c r="K53" i="1"/>
  <c r="K52" i="1"/>
  <c r="K49" i="1"/>
  <c r="K48" i="1"/>
  <c r="K47" i="1"/>
  <c r="K45" i="1"/>
  <c r="K44" i="1"/>
  <c r="K43" i="1"/>
  <c r="K41" i="1"/>
  <c r="K40" i="1"/>
  <c r="K39" i="1"/>
  <c r="K37" i="1"/>
  <c r="K36" i="1"/>
  <c r="K35" i="1"/>
  <c r="K34" i="1"/>
  <c r="M25" i="1"/>
  <c r="M24" i="1"/>
  <c r="K108" i="1"/>
  <c r="H108" i="1"/>
  <c r="H74" i="1"/>
  <c r="H65" i="1"/>
  <c r="J25" i="1"/>
  <c r="H98" i="1"/>
  <c r="H97" i="1"/>
  <c r="H96" i="1"/>
  <c r="H95" i="1"/>
  <c r="H94" i="1"/>
  <c r="H93" i="1"/>
  <c r="H92" i="1"/>
  <c r="H90" i="1"/>
  <c r="H88" i="1"/>
  <c r="H87" i="1"/>
  <c r="H85" i="1"/>
  <c r="H84" i="1"/>
  <c r="H83" i="1"/>
  <c r="H76" i="1"/>
  <c r="H75" i="1"/>
  <c r="H69" i="1"/>
  <c r="H68" i="1"/>
  <c r="H58" i="1"/>
  <c r="H55" i="1"/>
  <c r="H51" i="1"/>
  <c r="H38" i="1"/>
  <c r="H34" i="1"/>
  <c r="I24" i="1"/>
  <c r="H24" i="1"/>
  <c r="H71" i="1"/>
  <c r="H78" i="1"/>
  <c r="H66" i="1"/>
  <c r="H82" i="1"/>
  <c r="H70" i="1"/>
  <c r="H89" i="1"/>
  <c r="H36" i="1"/>
  <c r="H64" i="1"/>
  <c r="H73" i="1"/>
  <c r="H57" i="1"/>
  <c r="H72" i="1"/>
  <c r="H77" i="1"/>
  <c r="H53" i="1"/>
  <c r="H63" i="1"/>
  <c r="H56" i="1"/>
  <c r="H54" i="1"/>
  <c r="H52" i="1"/>
  <c r="H37" i="1"/>
  <c r="H35" i="1"/>
  <c r="J24" i="1"/>
  <c r="V26" i="1"/>
  <c r="E94" i="1"/>
  <c r="E95" i="1"/>
  <c r="E96" i="1"/>
  <c r="E97" i="1"/>
  <c r="E98" i="1"/>
  <c r="E93" i="1"/>
  <c r="E92" i="1"/>
  <c r="E90" i="1"/>
  <c r="E89" i="1"/>
  <c r="E88" i="1"/>
  <c r="E87" i="1"/>
  <c r="E85" i="1"/>
  <c r="E83" i="1"/>
  <c r="E82" i="1"/>
  <c r="E76" i="1"/>
  <c r="E71" i="1"/>
  <c r="E70" i="1"/>
  <c r="E69" i="1"/>
  <c r="E68" i="1"/>
  <c r="E66" i="1"/>
  <c r="E58" i="1"/>
  <c r="E57" i="1"/>
  <c r="E55" i="1"/>
  <c r="E51" i="1"/>
  <c r="E38" i="1"/>
  <c r="G24" i="1"/>
  <c r="E63" i="1"/>
  <c r="E64" i="1"/>
  <c r="E75" i="1"/>
  <c r="E74" i="1"/>
  <c r="T17" i="1"/>
  <c r="T16" i="1"/>
  <c r="K91" i="1" l="1"/>
  <c r="K86" i="1"/>
  <c r="K50" i="1"/>
  <c r="K46" i="1"/>
  <c r="K67" i="1"/>
  <c r="K81" i="1"/>
  <c r="K42" i="1"/>
  <c r="K62" i="1"/>
  <c r="K33" i="1"/>
  <c r="E108" i="1"/>
  <c r="G25" i="1"/>
  <c r="V24" i="1"/>
  <c r="E65" i="1"/>
  <c r="U65" i="1" s="1"/>
  <c r="E35" i="1"/>
  <c r="U35" i="1" s="1"/>
  <c r="E84" i="1"/>
  <c r="E78" i="1"/>
  <c r="E56" i="1"/>
  <c r="U56" i="1" s="1"/>
  <c r="E36" i="1"/>
  <c r="U36" i="1" s="1"/>
  <c r="E53" i="1"/>
  <c r="E52" i="1"/>
  <c r="E54" i="1"/>
  <c r="U54" i="1" s="1"/>
  <c r="E73" i="1"/>
  <c r="U73" i="1" s="1"/>
  <c r="E37" i="1"/>
  <c r="E77" i="1"/>
  <c r="U77" i="1" s="1"/>
  <c r="E72" i="1"/>
  <c r="U72" i="1" s="1"/>
  <c r="E34" i="1"/>
  <c r="F24" i="1"/>
  <c r="E24" i="1"/>
  <c r="B24" i="1"/>
  <c r="V25" i="1"/>
  <c r="U37" i="1"/>
  <c r="U51" i="1"/>
  <c r="U52" i="1"/>
  <c r="U53" i="1"/>
  <c r="U55" i="1"/>
  <c r="U57" i="1"/>
  <c r="U63" i="1"/>
  <c r="U64" i="1"/>
  <c r="U68" i="1"/>
  <c r="U70" i="1"/>
  <c r="U71" i="1"/>
  <c r="U74" i="1"/>
  <c r="U75" i="1"/>
  <c r="U76" i="1"/>
  <c r="U78" i="1"/>
  <c r="U82" i="1"/>
  <c r="U83" i="1"/>
  <c r="U84" i="1"/>
  <c r="U85" i="1"/>
  <c r="U87" i="1"/>
  <c r="U92" i="1"/>
  <c r="U93" i="1"/>
  <c r="U94" i="1"/>
  <c r="U95" i="1"/>
  <c r="U96" i="1"/>
  <c r="U97" i="1"/>
  <c r="U98" i="1"/>
  <c r="U34" i="1" l="1"/>
  <c r="U24" i="1"/>
  <c r="B105" i="1"/>
  <c r="E105" i="1" s="1"/>
  <c r="H105" i="1" s="1"/>
  <c r="K105" i="1" s="1"/>
  <c r="N105" i="1" s="1"/>
  <c r="B107" i="1"/>
  <c r="E107" i="1" s="1"/>
  <c r="H107" i="1" s="1"/>
  <c r="K107" i="1" s="1"/>
  <c r="N107" i="1" s="1"/>
  <c r="B106" i="1"/>
  <c r="E106" i="1" s="1"/>
  <c r="H106" i="1" s="1"/>
  <c r="K106" i="1" s="1"/>
  <c r="N106" i="1" s="1"/>
  <c r="B83" i="1"/>
  <c r="B98" i="1"/>
  <c r="B97" i="1"/>
  <c r="B96" i="1"/>
  <c r="B95" i="1"/>
  <c r="B94" i="1"/>
  <c r="B93" i="1"/>
  <c r="B92" i="1"/>
  <c r="B89" i="1"/>
  <c r="B88" i="1"/>
  <c r="B87" i="1"/>
  <c r="B85" i="1"/>
  <c r="B84" i="1"/>
  <c r="B82" i="1"/>
  <c r="B78" i="1"/>
  <c r="B76" i="1"/>
  <c r="B75" i="1"/>
  <c r="B74" i="1"/>
  <c r="B73" i="1"/>
  <c r="B72" i="1"/>
  <c r="B71" i="1"/>
  <c r="B70" i="1"/>
  <c r="B66" i="1"/>
  <c r="B65" i="1"/>
  <c r="B64" i="1"/>
  <c r="B63" i="1"/>
  <c r="B58" i="1"/>
  <c r="B56" i="1"/>
  <c r="B55" i="1"/>
  <c r="B54" i="1"/>
  <c r="B53" i="1"/>
  <c r="B52" i="1"/>
  <c r="B51" i="1"/>
  <c r="B39" i="1"/>
  <c r="B38" i="1"/>
  <c r="B37" i="1"/>
  <c r="B36" i="1"/>
  <c r="B35" i="1"/>
  <c r="D25" i="1"/>
  <c r="D24" i="1"/>
  <c r="B17" i="1"/>
  <c r="B16" i="1"/>
  <c r="B18" i="1" s="1"/>
  <c r="N39" i="1" l="1"/>
  <c r="N40" i="1" l="1"/>
  <c r="N41" i="1"/>
  <c r="N80" i="1"/>
  <c r="N79" i="1"/>
  <c r="N67" i="1" s="1"/>
  <c r="N61" i="1"/>
  <c r="N59" i="1"/>
  <c r="N49" i="1"/>
  <c r="N48" i="1"/>
  <c r="N47" i="1"/>
  <c r="H80" i="1" l="1"/>
  <c r="H79" i="1"/>
  <c r="H61" i="1" l="1"/>
  <c r="H41" i="1"/>
  <c r="H40" i="1"/>
  <c r="H39" i="1"/>
  <c r="N50" i="1"/>
  <c r="E80" i="1"/>
  <c r="E79" i="1"/>
  <c r="E41" i="1"/>
  <c r="E40" i="1"/>
  <c r="E39" i="1"/>
  <c r="U39" i="1" l="1"/>
  <c r="H67" i="1"/>
  <c r="B69" i="1"/>
  <c r="E61" i="1"/>
  <c r="E67" i="1" l="1"/>
  <c r="E91" i="1"/>
  <c r="B108" i="1"/>
  <c r="B80" i="1"/>
  <c r="B61" i="1"/>
  <c r="B60" i="1"/>
  <c r="B49" i="1"/>
  <c r="B47" i="1"/>
  <c r="U27" i="1"/>
  <c r="B50" i="1" l="1"/>
  <c r="U61" i="1"/>
  <c r="U66" i="1"/>
  <c r="U69" i="1" l="1"/>
  <c r="U79" i="1" l="1"/>
  <c r="Q67" i="1"/>
  <c r="U88" i="1" l="1"/>
  <c r="N45" i="1" l="1"/>
  <c r="N44" i="1"/>
  <c r="N43" i="1"/>
  <c r="N33" i="1"/>
  <c r="U40" i="1" l="1"/>
  <c r="U38" i="1"/>
  <c r="H45" i="1" l="1"/>
  <c r="H44" i="1"/>
  <c r="H43" i="1"/>
  <c r="H33" i="1"/>
  <c r="H49" i="1"/>
  <c r="H48" i="1"/>
  <c r="H47" i="1"/>
  <c r="H60" i="1"/>
  <c r="H50" i="1" s="1"/>
  <c r="H59" i="1"/>
  <c r="U58" i="1"/>
  <c r="H81" i="1" l="1"/>
  <c r="U90" i="1" l="1"/>
  <c r="U89" i="1"/>
  <c r="E60" i="1"/>
  <c r="E59" i="1"/>
  <c r="E48" i="1"/>
  <c r="E49" i="1"/>
  <c r="E47" i="1"/>
  <c r="E45" i="1"/>
  <c r="E44" i="1"/>
  <c r="E43" i="1"/>
  <c r="E86" i="1"/>
  <c r="U47" i="1" l="1"/>
  <c r="U60" i="1"/>
  <c r="U49" i="1"/>
  <c r="E33" i="1"/>
  <c r="E50" i="1"/>
  <c r="E81" i="1"/>
  <c r="U59" i="1"/>
  <c r="U41" i="1"/>
  <c r="B109" i="1"/>
  <c r="D26" i="1"/>
  <c r="B41" i="1"/>
  <c r="B40" i="1"/>
  <c r="B68" i="1"/>
  <c r="B67" i="1" s="1"/>
  <c r="B45" i="1"/>
  <c r="Q50" i="1" l="1"/>
  <c r="U50" i="1"/>
  <c r="U44" i="1" l="1"/>
  <c r="U45" i="1"/>
  <c r="U43" i="1"/>
  <c r="P27" i="1" l="1"/>
  <c r="G27" i="1" l="1"/>
  <c r="B27" i="1"/>
  <c r="D27" i="1"/>
  <c r="N81" i="1"/>
  <c r="B91" i="1"/>
  <c r="B86" i="1"/>
  <c r="B81" i="1"/>
  <c r="E62" i="1"/>
  <c r="N62" i="1"/>
  <c r="B62" i="1"/>
  <c r="E46" i="1"/>
  <c r="N46" i="1"/>
  <c r="E42" i="1"/>
  <c r="N42" i="1"/>
  <c r="B46" i="1"/>
  <c r="B42" i="1"/>
  <c r="B33" i="1"/>
  <c r="Q27" i="1" l="1"/>
  <c r="E27" i="1"/>
  <c r="E99" i="1"/>
  <c r="E100" i="1" s="1"/>
  <c r="E109" i="1"/>
  <c r="M27" i="1"/>
  <c r="B99" i="1"/>
  <c r="B101" i="1" s="1"/>
  <c r="H86" i="1"/>
  <c r="Q62" i="1"/>
  <c r="S27" i="1"/>
  <c r="U80" i="1"/>
  <c r="U67" i="1" s="1"/>
  <c r="U48" i="1"/>
  <c r="J27" i="1"/>
  <c r="N109" i="1"/>
  <c r="H46" i="1"/>
  <c r="H42" i="1"/>
  <c r="N99" i="1"/>
  <c r="N100" i="1" s="1"/>
  <c r="Q86" i="1"/>
  <c r="K109" i="1"/>
  <c r="H62" i="1"/>
  <c r="H91" i="1"/>
  <c r="H109" i="1"/>
  <c r="H27" i="1" l="1"/>
  <c r="K27" i="1" s="1"/>
  <c r="N27" i="1" s="1"/>
  <c r="U86" i="1"/>
  <c r="U62" i="1"/>
  <c r="Q46" i="1"/>
  <c r="U46" i="1"/>
  <c r="Q33" i="1"/>
  <c r="U91" i="1"/>
  <c r="U33" i="1"/>
  <c r="Q91" i="1"/>
  <c r="Q42" i="1"/>
  <c r="U42" i="1"/>
  <c r="Q81" i="1"/>
  <c r="U81" i="1"/>
  <c r="K99" i="1"/>
  <c r="K100" i="1" s="1"/>
  <c r="H99" i="1"/>
  <c r="H100" i="1" s="1"/>
  <c r="Q99" i="1" l="1"/>
  <c r="V27" i="1"/>
  <c r="U99" i="1"/>
  <c r="T18" i="1" l="1"/>
  <c r="T100" i="1"/>
</calcChain>
</file>

<file path=xl/sharedStrings.xml><?xml version="1.0" encoding="utf-8"?>
<sst xmlns="http://schemas.openxmlformats.org/spreadsheetml/2006/main" count="143" uniqueCount="107">
  <si>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</si>
  <si>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</si>
  <si>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</si>
  <si>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</si>
  <si>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</si>
  <si>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</si>
  <si>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</si>
  <si>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</si>
  <si>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</si>
  <si>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</si>
  <si>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</si>
  <si>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</si>
  <si>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</si>
  <si>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</si>
  <si>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</si>
  <si>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</si>
  <si>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</si>
  <si>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</si>
  <si>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</si>
  <si>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</si>
  <si>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</si>
  <si>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</si>
  <si>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</si>
  <si>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</si>
  <si>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</si>
  <si>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</si>
  <si>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</si>
  <si>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</si>
  <si>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</si>
  <si>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</si>
  <si>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</si>
  <si>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</si>
  <si>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</si>
  <si>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</si>
  <si>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</si>
  <si>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</si>
  <si>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</si>
  <si>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</si>
  <si>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</si>
  <si>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</si>
  <si>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</si>
  <si>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</si>
  <si>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</si>
  <si>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</si>
  <si>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</si>
  <si>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</si>
  <si>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</si>
  <si>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</si>
  <si>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</si>
  <si>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</si>
  <si>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</si>
  <si>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</si>
  <si>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</si>
  <si>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</si>
  <si>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</si>
  <si>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</si>
  <si>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</si>
  <si>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</si>
  <si>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</si>
  <si>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</si>
  <si>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</si>
  <si>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</si>
  <si>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</si>
  <si>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</si>
  <si>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</si>
  <si>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</si>
  <si>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</si>
  <si>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</si>
  <si>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</si>
  <si>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</si>
  <si>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</si>
  <si>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</si>
  <si>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</si>
  <si>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</si>
  <si>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</si>
  <si>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</si>
  <si>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</si>
  <si>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</si>
  <si>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</si>
  <si>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</si>
  <si>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</si>
  <si>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</si>
  <si>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</si>
  <si>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</si>
  <si>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</si>
  <si>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</si>
  <si>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</si>
  <si>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</si>
  <si>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</si>
  <si>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</si>
  <si>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Softwares (Office, Antivírus, Adobe mensal, Zoom)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</si>
  <si>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</si>
  <si>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</si>
  <si>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</si>
  <si>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</si>
  <si>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</si>
  <si>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</si>
  <si>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</si>
  <si>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</si>
  <si>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</si>
  <si>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</si>
  <si>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</si>
  <si>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</si>
  <si>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</si>
  <si>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t>Deslocamento (para serviços externos)/fretes</t>
  </si>
  <si>
    <t>Acumulado 2026</t>
  </si>
  <si>
    <r>
      <t xml:space="preserve">CONTROLE FINANCEIRO 2026
</t>
    </r>
    <r>
      <rPr>
        <b/>
        <sz val="12"/>
        <rFont val="Calibri"/>
        <family val="2"/>
        <scheme val="minor"/>
      </rPr>
      <t>Posição ABRIL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</si>
</sst>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V113"/>
  <sheetViews>
    <sheetView tabSelected="1" zoomScaleNormal="100" workbookViewId="0">
      <pane xSplit="1" topLeftCell="B1" activePane="topRight" state="frozen"/>
      <selection activeCell="A76" sqref="A76"/>
      <selection pane="topRight" activeCell="V7" sqref="A1:V104857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19" max="19" width="11.7109375" bestFit="1" customWidth="1"/>
    <col min="22" max="22" width="12.7109375" bestFit="1" customWidth="1"/>
    <col min="23" max="23" width="4.140625" customWidth="1"/>
  </cols>
  <sheetData>
    <row r="1" spans="1:22" x14ac:dyDescent="0.2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2" x14ac:dyDescent="0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x14ac:dyDescent="0.25">
      <c r="A5" s="133" t="s">
        <v>106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5"/>
    </row>
    <row r="6" spans="1:22" ht="24" customHeight="1" x14ac:dyDescent="0.25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8"/>
    </row>
    <row r="9" spans="1:22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1" spans="1:22" x14ac:dyDescent="0.25">
      <c r="A11" s="2" t="s">
        <v>0</v>
      </c>
      <c r="B11" s="128" t="s">
        <v>97</v>
      </c>
      <c r="C11" s="129"/>
      <c r="D11" s="130"/>
      <c r="E11" s="81" t="s">
        <v>1</v>
      </c>
      <c r="F11" s="81"/>
      <c r="G11" s="81"/>
      <c r="H11" s="81" t="s">
        <v>87</v>
      </c>
      <c r="I11" s="81"/>
      <c r="J11" s="81"/>
      <c r="K11" s="81" t="s">
        <v>88</v>
      </c>
      <c r="L11" s="81"/>
      <c r="M11" s="81"/>
      <c r="N11" s="81" t="s">
        <v>89</v>
      </c>
      <c r="O11" s="81"/>
      <c r="P11" s="81"/>
      <c r="Q11" s="81" t="s">
        <v>105</v>
      </c>
      <c r="R11" s="81"/>
      <c r="S11" s="81"/>
      <c r="T11" s="111" t="s">
        <v>2</v>
      </c>
      <c r="U11" s="111"/>
      <c r="V11" s="111"/>
    </row>
    <row r="12" spans="1:22" x14ac:dyDescent="0.25">
      <c r="A12" s="3" t="s">
        <v>3</v>
      </c>
      <c r="B12" s="112">
        <v>9586.0300000000007</v>
      </c>
      <c r="C12" s="112"/>
      <c r="D12" s="112"/>
      <c r="E12" s="82"/>
      <c r="F12" s="83"/>
      <c r="G12" s="84"/>
      <c r="H12" s="82"/>
      <c r="I12" s="83"/>
      <c r="J12" s="84"/>
      <c r="K12" s="82"/>
      <c r="L12" s="83"/>
      <c r="M12" s="84"/>
      <c r="N12" s="82"/>
      <c r="O12" s="83"/>
      <c r="P12" s="84"/>
      <c r="Q12" s="82"/>
      <c r="R12" s="83"/>
      <c r="S12" s="84"/>
      <c r="T12" s="112">
        <v>9586.0300000000007</v>
      </c>
      <c r="U12" s="112"/>
      <c r="V12" s="112"/>
    </row>
    <row r="13" spans="1:22" x14ac:dyDescent="0.25">
      <c r="A13" s="4" t="s">
        <v>4</v>
      </c>
      <c r="B13" s="63"/>
      <c r="C13" s="63"/>
      <c r="D13" s="63"/>
      <c r="E13" s="85"/>
      <c r="F13" s="86"/>
      <c r="G13" s="87"/>
      <c r="H13" s="85"/>
      <c r="I13" s="86"/>
      <c r="J13" s="87"/>
      <c r="K13" s="85"/>
      <c r="L13" s="86"/>
      <c r="M13" s="87"/>
      <c r="N13" s="85"/>
      <c r="O13" s="86"/>
      <c r="P13" s="87"/>
      <c r="Q13" s="82"/>
      <c r="R13" s="83"/>
      <c r="S13" s="84"/>
      <c r="T13" s="63"/>
      <c r="U13" s="63"/>
      <c r="V13" s="63"/>
    </row>
    <row r="14" spans="1:22" x14ac:dyDescent="0.25">
      <c r="A14" s="4" t="s">
        <v>5</v>
      </c>
      <c r="B14" s="63"/>
      <c r="C14" s="63"/>
      <c r="D14" s="63"/>
      <c r="E14" s="85"/>
      <c r="F14" s="86"/>
      <c r="G14" s="87"/>
      <c r="H14" s="85"/>
      <c r="I14" s="86"/>
      <c r="J14" s="87"/>
      <c r="K14" s="85"/>
      <c r="L14" s="86"/>
      <c r="M14" s="87"/>
      <c r="N14" s="85"/>
      <c r="O14" s="86"/>
      <c r="P14" s="87"/>
      <c r="Q14" s="82"/>
      <c r="R14" s="83"/>
      <c r="S14" s="84"/>
      <c r="T14" s="63"/>
      <c r="U14" s="63"/>
      <c r="V14" s="63"/>
    </row>
    <row r="15" spans="1:22" x14ac:dyDescent="0.25">
      <c r="A15" s="4" t="s">
        <v>6</v>
      </c>
      <c r="B15" s="63"/>
      <c r="C15" s="63"/>
      <c r="D15" s="63"/>
      <c r="E15" s="85"/>
      <c r="F15" s="86"/>
      <c r="G15" s="87"/>
      <c r="H15" s="85"/>
      <c r="I15" s="86"/>
      <c r="J15" s="87"/>
      <c r="K15" s="85"/>
      <c r="L15" s="86"/>
      <c r="M15" s="87"/>
      <c r="N15" s="85"/>
      <c r="O15" s="86"/>
      <c r="P15" s="87"/>
      <c r="Q15" s="82"/>
      <c r="R15" s="83"/>
      <c r="S15" s="84"/>
      <c r="T15" s="63"/>
      <c r="U15" s="63"/>
      <c r="V15" s="63"/>
    </row>
    <row r="16" spans="1:22" x14ac:dyDescent="0.25">
      <c r="A16" s="5" t="s">
        <v>7</v>
      </c>
      <c r="B16" s="120">
        <f>10265333.53</f>
        <v>10265333.529999999</v>
      </c>
      <c r="C16" s="120"/>
      <c r="D16" s="120"/>
      <c r="E16" s="88"/>
      <c r="F16" s="89"/>
      <c r="G16" s="90"/>
      <c r="H16" s="88"/>
      <c r="I16" s="89"/>
      <c r="J16" s="90"/>
      <c r="K16" s="88"/>
      <c r="L16" s="89"/>
      <c r="M16" s="90"/>
      <c r="N16" s="88"/>
      <c r="O16" s="89"/>
      <c r="P16" s="90"/>
      <c r="Q16" s="88"/>
      <c r="R16" s="89"/>
      <c r="S16" s="90"/>
      <c r="T16" s="120">
        <f>10265333.53</f>
        <v>10265333.529999999</v>
      </c>
      <c r="U16" s="120"/>
      <c r="V16" s="120"/>
    </row>
    <row r="17" spans="1:22" x14ac:dyDescent="0.25">
      <c r="A17" s="6" t="s">
        <v>8</v>
      </c>
      <c r="B17" s="119">
        <f>5831741.2</f>
        <v>5831741.2000000002</v>
      </c>
      <c r="C17" s="119"/>
      <c r="D17" s="119"/>
      <c r="E17" s="91"/>
      <c r="F17" s="92"/>
      <c r="G17" s="93"/>
      <c r="H17" s="91"/>
      <c r="I17" s="92"/>
      <c r="J17" s="93"/>
      <c r="K17" s="91"/>
      <c r="L17" s="92"/>
      <c r="M17" s="93"/>
      <c r="N17" s="91"/>
      <c r="O17" s="92"/>
      <c r="P17" s="93"/>
      <c r="Q17" s="91"/>
      <c r="R17" s="92"/>
      <c r="S17" s="93"/>
      <c r="T17" s="119">
        <f>5831741.2</f>
        <v>5831741.2000000002</v>
      </c>
      <c r="U17" s="119"/>
      <c r="V17" s="119"/>
    </row>
    <row r="18" spans="1:22" x14ac:dyDescent="0.25">
      <c r="A18" s="5" t="s">
        <v>9</v>
      </c>
      <c r="B18" s="110">
        <f>B16-B17+B12</f>
        <v>4443178.3599999994</v>
      </c>
      <c r="C18" s="110"/>
      <c r="D18" s="110"/>
      <c r="E18" s="94"/>
      <c r="F18" s="95"/>
      <c r="G18" s="96"/>
      <c r="H18" s="94"/>
      <c r="I18" s="95"/>
      <c r="J18" s="96"/>
      <c r="K18" s="94"/>
      <c r="L18" s="95"/>
      <c r="M18" s="96"/>
      <c r="N18" s="94"/>
      <c r="O18" s="95"/>
      <c r="P18" s="96"/>
      <c r="Q18" s="94"/>
      <c r="R18" s="95"/>
      <c r="S18" s="96"/>
      <c r="T18" s="110">
        <f>T16-T17+T12</f>
        <v>4443178.3599999994</v>
      </c>
      <c r="U18" s="110"/>
      <c r="V18" s="110"/>
    </row>
    <row r="21" spans="1:22" x14ac:dyDescent="0.25">
      <c r="A21" s="148" t="s">
        <v>10</v>
      </c>
      <c r="B21" s="128" t="s">
        <v>97</v>
      </c>
      <c r="C21" s="129"/>
      <c r="D21" s="130"/>
      <c r="E21" s="81" t="s">
        <v>1</v>
      </c>
      <c r="F21" s="81"/>
      <c r="G21" s="81"/>
      <c r="H21" s="81" t="s">
        <v>87</v>
      </c>
      <c r="I21" s="81"/>
      <c r="J21" s="81"/>
      <c r="K21" s="81" t="s">
        <v>88</v>
      </c>
      <c r="L21" s="81"/>
      <c r="M21" s="81"/>
      <c r="N21" s="81" t="s">
        <v>89</v>
      </c>
      <c r="O21" s="81"/>
      <c r="P21" s="81"/>
      <c r="Q21" s="81" t="s">
        <v>105</v>
      </c>
      <c r="R21" s="81"/>
      <c r="S21" s="81"/>
      <c r="T21" s="117" t="s">
        <v>11</v>
      </c>
      <c r="U21" s="108" t="s">
        <v>2</v>
      </c>
      <c r="V21" s="109"/>
    </row>
    <row r="22" spans="1:22" x14ac:dyDescent="0.25">
      <c r="A22" s="149"/>
      <c r="B22" s="139" t="s">
        <v>12</v>
      </c>
      <c r="C22" s="140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118"/>
      <c r="U22" s="30" t="s">
        <v>12</v>
      </c>
      <c r="V22" s="34" t="s">
        <v>13</v>
      </c>
    </row>
    <row r="23" spans="1:22" x14ac:dyDescent="0.25">
      <c r="A23" s="7" t="s">
        <v>16</v>
      </c>
      <c r="B23" s="123">
        <v>158</v>
      </c>
      <c r="C23" s="123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3"/>
      <c r="T23" s="39"/>
      <c r="U23" s="42">
        <v>158</v>
      </c>
      <c r="V23" s="35">
        <v>208300.66</v>
      </c>
    </row>
    <row r="24" spans="1:22" x14ac:dyDescent="0.25">
      <c r="A24" s="4" t="s">
        <v>17</v>
      </c>
      <c r="B24" s="123">
        <f>6944</f>
        <v>6944</v>
      </c>
      <c r="C24" s="123"/>
      <c r="D24" s="27">
        <f>7824488.85</f>
        <v>7824488.8499999996</v>
      </c>
      <c r="E24" s="29">
        <f>-18</f>
        <v>-18</v>
      </c>
      <c r="F24" s="29">
        <f>4</f>
        <v>4</v>
      </c>
      <c r="G24" s="33">
        <f>240+20+630+140+30</f>
        <v>1060</v>
      </c>
      <c r="H24" s="29">
        <f>-26</f>
        <v>-26</v>
      </c>
      <c r="I24" s="29">
        <f>2</f>
        <v>2</v>
      </c>
      <c r="J24" s="33">
        <f>30+90+80+30+90+30+90+20+60+204990+60</f>
        <v>205570</v>
      </c>
      <c r="K24" s="29">
        <f>-40</f>
        <v>-40</v>
      </c>
      <c r="L24" s="29">
        <f>0</f>
        <v>0</v>
      </c>
      <c r="M24" s="33">
        <f>60+270+60+30+30+20+1320+30+150+30+90</f>
        <v>2090</v>
      </c>
      <c r="N24" s="29">
        <f>-8</f>
        <v>-8</v>
      </c>
      <c r="O24" s="29">
        <f>5</f>
        <v>5</v>
      </c>
      <c r="P24" s="33">
        <f>30+30+60+90+60+20+240+60</f>
        <v>590</v>
      </c>
      <c r="Q24" s="39">
        <f>E24+H24+K24+N24</f>
        <v>-92</v>
      </c>
      <c r="R24" s="39">
        <f>F24+I24+L24+O24</f>
        <v>11</v>
      </c>
      <c r="S24" s="33">
        <f>G24+J24+M24+P24</f>
        <v>209310</v>
      </c>
      <c r="T24" s="43">
        <v>3.4008245866014308E-2</v>
      </c>
      <c r="U24" s="40">
        <f>6944+Q24+R24</f>
        <v>6863</v>
      </c>
      <c r="V24" s="1">
        <f>7824488.85+S24</f>
        <v>8033798.8499999996</v>
      </c>
    </row>
    <row r="25" spans="1:22" x14ac:dyDescent="0.25">
      <c r="A25" s="8" t="s">
        <v>18</v>
      </c>
      <c r="B25" s="123"/>
      <c r="C25" s="123"/>
      <c r="D25" s="27">
        <f>2181429.29</f>
        <v>2181429.29</v>
      </c>
      <c r="E25" s="29"/>
      <c r="F25" s="29"/>
      <c r="G25" s="33">
        <f>357.02+38391.42+12259.37</f>
        <v>51007.81</v>
      </c>
      <c r="H25" s="29"/>
      <c r="I25" s="29"/>
      <c r="J25" s="33">
        <f>73.51+33867.27+10702.95</f>
        <v>44643.729999999996</v>
      </c>
      <c r="K25" s="29"/>
      <c r="L25" s="29"/>
      <c r="M25" s="33">
        <f>675.95+11864.03+34163.33+5678.1+85.31+1888.08</f>
        <v>54354.8</v>
      </c>
      <c r="N25" s="29"/>
      <c r="O25" s="29"/>
      <c r="P25" s="33">
        <f>124.8+37305.42+12687.71</f>
        <v>50117.93</v>
      </c>
      <c r="Q25" s="29"/>
      <c r="R25" s="29"/>
      <c r="S25" s="33">
        <f>G25+J25+M25+P25</f>
        <v>200124.27</v>
      </c>
      <c r="T25" s="44">
        <v>0.96599175413398575</v>
      </c>
      <c r="U25" s="42"/>
      <c r="V25" s="1">
        <f>2181429.29+S25</f>
        <v>2381553.56</v>
      </c>
    </row>
    <row r="26" spans="1:22" x14ac:dyDescent="0.25">
      <c r="A26" s="9" t="s">
        <v>19</v>
      </c>
      <c r="B26" s="123"/>
      <c r="C26" s="123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45">
        <v>0</v>
      </c>
      <c r="U26" s="42"/>
      <c r="V26" s="35">
        <f>51114.73+S26</f>
        <v>51114.73</v>
      </c>
    </row>
    <row r="27" spans="1:22" x14ac:dyDescent="0.25">
      <c r="A27" s="10" t="s">
        <v>20</v>
      </c>
      <c r="B27" s="124">
        <f>SUM(B23:C26)</f>
        <v>7102</v>
      </c>
      <c r="C27" s="124"/>
      <c r="D27" s="28">
        <f>SUM(D23:D26)</f>
        <v>10265333.530000001</v>
      </c>
      <c r="E27" s="97">
        <f>B27+E24+F24</f>
        <v>7088</v>
      </c>
      <c r="F27" s="98"/>
      <c r="G27" s="38">
        <f>SUM(G24:G26)</f>
        <v>52067.81</v>
      </c>
      <c r="H27" s="97">
        <f>E27+H24+I24</f>
        <v>7064</v>
      </c>
      <c r="I27" s="98"/>
      <c r="J27" s="38">
        <f>SUM(J24:J26)</f>
        <v>250213.72999999998</v>
      </c>
      <c r="K27" s="97">
        <f>H27+K24+L24</f>
        <v>7024</v>
      </c>
      <c r="L27" s="98"/>
      <c r="M27" s="38">
        <f>SUM(M24:M26)</f>
        <v>56444.800000000003</v>
      </c>
      <c r="N27" s="97">
        <f>K27+N24+O24</f>
        <v>7021</v>
      </c>
      <c r="O27" s="98"/>
      <c r="P27" s="38">
        <f>SUM(P24:P26)</f>
        <v>50707.93</v>
      </c>
      <c r="Q27" s="97">
        <f>B27+Q24+R24</f>
        <v>7021</v>
      </c>
      <c r="R27" s="98"/>
      <c r="S27" s="38">
        <f>SUM(S24:S26)</f>
        <v>409434.27</v>
      </c>
      <c r="T27" s="46">
        <v>1</v>
      </c>
      <c r="U27" s="41">
        <f>SUM(U23:U26)</f>
        <v>7021</v>
      </c>
      <c r="V27" s="36">
        <f>SUM(V23:V26)</f>
        <v>10674767.800000001</v>
      </c>
    </row>
    <row r="30" spans="1:22" ht="15.75" x14ac:dyDescent="0.25">
      <c r="A30" s="100" t="s">
        <v>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</row>
    <row r="32" spans="1:22" x14ac:dyDescent="0.25">
      <c r="A32" s="11" t="s">
        <v>8</v>
      </c>
      <c r="B32" s="128" t="s">
        <v>97</v>
      </c>
      <c r="C32" s="129"/>
      <c r="D32" s="130"/>
      <c r="E32" s="81" t="s">
        <v>1</v>
      </c>
      <c r="F32" s="81"/>
      <c r="G32" s="81"/>
      <c r="H32" s="81" t="s">
        <v>87</v>
      </c>
      <c r="I32" s="81"/>
      <c r="J32" s="81"/>
      <c r="K32" s="81" t="s">
        <v>88</v>
      </c>
      <c r="L32" s="81"/>
      <c r="M32" s="81"/>
      <c r="N32" s="81" t="s">
        <v>89</v>
      </c>
      <c r="O32" s="81"/>
      <c r="P32" s="81"/>
      <c r="Q32" s="81" t="s">
        <v>105</v>
      </c>
      <c r="R32" s="81"/>
      <c r="S32" s="81"/>
      <c r="T32" s="31" t="s">
        <v>11</v>
      </c>
      <c r="U32" s="108" t="s">
        <v>2</v>
      </c>
      <c r="V32" s="109"/>
    </row>
    <row r="33" spans="1:22" x14ac:dyDescent="0.25">
      <c r="A33" s="12" t="s">
        <v>22</v>
      </c>
      <c r="B33" s="75">
        <f>SUM(B34:D41)</f>
        <v>1379140.7599999998</v>
      </c>
      <c r="C33" s="76"/>
      <c r="D33" s="77"/>
      <c r="E33" s="75">
        <f>SUM(E34:G41)</f>
        <v>10127</v>
      </c>
      <c r="F33" s="76"/>
      <c r="G33" s="77"/>
      <c r="H33" s="75">
        <f t="shared" ref="H33" si="0">SUM(H34:J41)</f>
        <v>9772.15</v>
      </c>
      <c r="I33" s="76"/>
      <c r="J33" s="77"/>
      <c r="K33" s="75">
        <f t="shared" ref="K33" si="1">SUM(K34:M41)</f>
        <v>9562</v>
      </c>
      <c r="L33" s="76"/>
      <c r="M33" s="77"/>
      <c r="N33" s="75">
        <f t="shared" ref="N33" si="2">SUM(N34:P41)</f>
        <v>9562</v>
      </c>
      <c r="O33" s="76"/>
      <c r="P33" s="77"/>
      <c r="Q33" s="75">
        <f>SUM(Q34:S41)</f>
        <v>39023.15</v>
      </c>
      <c r="R33" s="76"/>
      <c r="S33" s="77"/>
      <c r="T33" s="49">
        <v>0.53162074279436378</v>
      </c>
      <c r="U33" s="105">
        <f>SUM(U34:V41)</f>
        <v>1418163.9099999997</v>
      </c>
      <c r="V33" s="106"/>
    </row>
    <row r="34" spans="1:22" x14ac:dyDescent="0.25">
      <c r="A34" s="13" t="s">
        <v>23</v>
      </c>
      <c r="B34" s="125">
        <v>86065.64</v>
      </c>
      <c r="C34" s="126"/>
      <c r="D34" s="127"/>
      <c r="E34" s="65">
        <f>0</f>
        <v>0</v>
      </c>
      <c r="F34" s="66"/>
      <c r="G34" s="67"/>
      <c r="H34" s="65">
        <f>0</f>
        <v>0</v>
      </c>
      <c r="I34" s="66"/>
      <c r="J34" s="67"/>
      <c r="K34" s="65">
        <f>0</f>
        <v>0</v>
      </c>
      <c r="L34" s="66"/>
      <c r="M34" s="67"/>
      <c r="N34" s="65">
        <f>0</f>
        <v>0</v>
      </c>
      <c r="O34" s="66"/>
      <c r="P34" s="67"/>
      <c r="Q34" s="60">
        <f>0+E34+H34+K34+N34</f>
        <v>0</v>
      </c>
      <c r="R34" s="61"/>
      <c r="S34" s="62"/>
      <c r="T34" s="43">
        <v>0</v>
      </c>
      <c r="U34" s="103">
        <f>86065.64+Q34</f>
        <v>86065.64</v>
      </c>
      <c r="V34" s="103"/>
    </row>
    <row r="35" spans="1:22" x14ac:dyDescent="0.25">
      <c r="A35" s="14" t="s">
        <v>24</v>
      </c>
      <c r="B35" s="125">
        <f>532500</f>
        <v>532500</v>
      </c>
      <c r="C35" s="126"/>
      <c r="D35" s="127"/>
      <c r="E35" s="65">
        <f>4100</f>
        <v>4100</v>
      </c>
      <c r="F35" s="66"/>
      <c r="G35" s="67"/>
      <c r="H35" s="65">
        <f>4100</f>
        <v>4100</v>
      </c>
      <c r="I35" s="66"/>
      <c r="J35" s="67"/>
      <c r="K35" s="65">
        <f>4100</f>
        <v>4100</v>
      </c>
      <c r="L35" s="66"/>
      <c r="M35" s="67"/>
      <c r="N35" s="65">
        <f>4100</f>
        <v>4100</v>
      </c>
      <c r="O35" s="66"/>
      <c r="P35" s="67"/>
      <c r="Q35" s="60">
        <f t="shared" ref="Q35:Q41" si="3">0+E35+H35+K35+N35</f>
        <v>16400</v>
      </c>
      <c r="R35" s="61"/>
      <c r="S35" s="62"/>
      <c r="T35" s="43">
        <v>0.22120141863843154</v>
      </c>
      <c r="U35" s="103">
        <f>532500+Q35</f>
        <v>548900</v>
      </c>
      <c r="V35" s="103"/>
    </row>
    <row r="36" spans="1:22" x14ac:dyDescent="0.25">
      <c r="A36" s="13" t="s">
        <v>25</v>
      </c>
      <c r="B36" s="125">
        <f>142253.19</f>
        <v>142253.19</v>
      </c>
      <c r="C36" s="126"/>
      <c r="D36" s="127"/>
      <c r="E36" s="65">
        <f>2154</f>
        <v>2154</v>
      </c>
      <c r="F36" s="66"/>
      <c r="G36" s="67"/>
      <c r="H36" s="65">
        <f>1799.15</f>
        <v>1799.15</v>
      </c>
      <c r="I36" s="66"/>
      <c r="J36" s="67"/>
      <c r="K36" s="65">
        <f>1589</f>
        <v>1589</v>
      </c>
      <c r="L36" s="66"/>
      <c r="M36" s="67"/>
      <c r="N36" s="65">
        <f>1589</f>
        <v>1589</v>
      </c>
      <c r="O36" s="66"/>
      <c r="P36" s="67"/>
      <c r="Q36" s="60">
        <f t="shared" si="3"/>
        <v>7131.15</v>
      </c>
      <c r="R36" s="61"/>
      <c r="S36" s="62"/>
      <c r="T36" s="43">
        <v>5.9724383032376517E-2</v>
      </c>
      <c r="U36" s="103">
        <f>142253.19+Q36</f>
        <v>149384.34</v>
      </c>
      <c r="V36" s="103"/>
    </row>
    <row r="37" spans="1:22" x14ac:dyDescent="0.25">
      <c r="A37" s="15" t="s">
        <v>27</v>
      </c>
      <c r="B37" s="78">
        <f>291313.15</f>
        <v>291313.15000000002</v>
      </c>
      <c r="C37" s="79"/>
      <c r="D37" s="80"/>
      <c r="E37" s="65">
        <f>3873</f>
        <v>3873</v>
      </c>
      <c r="F37" s="66"/>
      <c r="G37" s="67"/>
      <c r="H37" s="65">
        <f>3873</f>
        <v>3873</v>
      </c>
      <c r="I37" s="66"/>
      <c r="J37" s="67"/>
      <c r="K37" s="65">
        <f>3873</f>
        <v>3873</v>
      </c>
      <c r="L37" s="66"/>
      <c r="M37" s="67"/>
      <c r="N37" s="65">
        <f>3873</f>
        <v>3873</v>
      </c>
      <c r="O37" s="66"/>
      <c r="P37" s="67"/>
      <c r="Q37" s="60">
        <f t="shared" si="3"/>
        <v>15492</v>
      </c>
      <c r="R37" s="61"/>
      <c r="S37" s="62"/>
      <c r="T37" s="43">
        <v>0.1290341608724184</v>
      </c>
      <c r="U37" s="103">
        <f>291313.15+Q37</f>
        <v>306805.15000000002</v>
      </c>
      <c r="V37" s="103"/>
    </row>
    <row r="38" spans="1:22" x14ac:dyDescent="0.25">
      <c r="A38" s="15" t="s">
        <v>28</v>
      </c>
      <c r="B38" s="78">
        <f>100893.66</f>
        <v>100893.66</v>
      </c>
      <c r="C38" s="79"/>
      <c r="D38" s="80"/>
      <c r="E38" s="65">
        <f>0</f>
        <v>0</v>
      </c>
      <c r="F38" s="66"/>
      <c r="G38" s="67"/>
      <c r="H38" s="65">
        <f>0</f>
        <v>0</v>
      </c>
      <c r="I38" s="66"/>
      <c r="J38" s="67"/>
      <c r="K38" s="65">
        <f>0</f>
        <v>0</v>
      </c>
      <c r="L38" s="66"/>
      <c r="M38" s="67"/>
      <c r="N38" s="65">
        <f>0</f>
        <v>0</v>
      </c>
      <c r="O38" s="66"/>
      <c r="P38" s="67"/>
      <c r="Q38" s="60">
        <f t="shared" si="3"/>
        <v>0</v>
      </c>
      <c r="R38" s="61"/>
      <c r="S38" s="62"/>
      <c r="T38" s="43">
        <v>0.12166078025113736</v>
      </c>
      <c r="U38" s="103">
        <f>100893.66+Q38</f>
        <v>100893.66</v>
      </c>
      <c r="V38" s="103"/>
    </row>
    <row r="39" spans="1:22" x14ac:dyDescent="0.25">
      <c r="A39" s="57" t="s">
        <v>26</v>
      </c>
      <c r="B39" s="125">
        <f>215821.12</f>
        <v>215821.12</v>
      </c>
      <c r="C39" s="126"/>
      <c r="D39" s="127"/>
      <c r="E39" s="78">
        <f>0</f>
        <v>0</v>
      </c>
      <c r="F39" s="79"/>
      <c r="G39" s="80"/>
      <c r="H39" s="78">
        <f>0</f>
        <v>0</v>
      </c>
      <c r="I39" s="79"/>
      <c r="J39" s="80"/>
      <c r="K39" s="78">
        <f>0</f>
        <v>0</v>
      </c>
      <c r="L39" s="79"/>
      <c r="M39" s="80"/>
      <c r="N39" s="78">
        <f>0</f>
        <v>0</v>
      </c>
      <c r="O39" s="79"/>
      <c r="P39" s="80"/>
      <c r="Q39" s="60">
        <f t="shared" si="3"/>
        <v>0</v>
      </c>
      <c r="R39" s="61"/>
      <c r="S39" s="62"/>
      <c r="T39" s="58">
        <v>0</v>
      </c>
      <c r="U39" s="107">
        <f>215821.12+Q39</f>
        <v>215821.12</v>
      </c>
      <c r="V39" s="107"/>
    </row>
    <row r="40" spans="1:22" x14ac:dyDescent="0.25">
      <c r="A40" s="56" t="s">
        <v>29</v>
      </c>
      <c r="B40" s="78">
        <f>8289</f>
        <v>8289</v>
      </c>
      <c r="C40" s="79"/>
      <c r="D40" s="80"/>
      <c r="E40" s="78">
        <f>0</f>
        <v>0</v>
      </c>
      <c r="F40" s="79"/>
      <c r="G40" s="80"/>
      <c r="H40" s="78">
        <f>0</f>
        <v>0</v>
      </c>
      <c r="I40" s="79"/>
      <c r="J40" s="80"/>
      <c r="K40" s="78">
        <f>0</f>
        <v>0</v>
      </c>
      <c r="L40" s="79"/>
      <c r="M40" s="80"/>
      <c r="N40" s="78">
        <f>0</f>
        <v>0</v>
      </c>
      <c r="O40" s="79"/>
      <c r="P40" s="80"/>
      <c r="Q40" s="60">
        <f t="shared" si="3"/>
        <v>0</v>
      </c>
      <c r="R40" s="61"/>
      <c r="S40" s="62"/>
      <c r="T40" s="58">
        <v>0</v>
      </c>
      <c r="U40" s="107">
        <f>8289+Q40</f>
        <v>8289</v>
      </c>
      <c r="V40" s="107"/>
    </row>
    <row r="41" spans="1:22" x14ac:dyDescent="0.25">
      <c r="A41" s="57" t="s">
        <v>30</v>
      </c>
      <c r="B41" s="125">
        <f>2005</f>
        <v>2005</v>
      </c>
      <c r="C41" s="126"/>
      <c r="D41" s="127"/>
      <c r="E41" s="78">
        <f>0</f>
        <v>0</v>
      </c>
      <c r="F41" s="79"/>
      <c r="G41" s="80"/>
      <c r="H41" s="78">
        <f>0</f>
        <v>0</v>
      </c>
      <c r="I41" s="79"/>
      <c r="J41" s="80"/>
      <c r="K41" s="78">
        <f>0</f>
        <v>0</v>
      </c>
      <c r="L41" s="79"/>
      <c r="M41" s="80"/>
      <c r="N41" s="78">
        <f>0</f>
        <v>0</v>
      </c>
      <c r="O41" s="79"/>
      <c r="P41" s="80"/>
      <c r="Q41" s="60">
        <f t="shared" si="3"/>
        <v>0</v>
      </c>
      <c r="R41" s="61"/>
      <c r="S41" s="62"/>
      <c r="T41" s="58">
        <v>0</v>
      </c>
      <c r="U41" s="107">
        <f>2005+Q41</f>
        <v>2005</v>
      </c>
      <c r="V41" s="107"/>
    </row>
    <row r="42" spans="1:22" x14ac:dyDescent="0.25">
      <c r="A42" s="12" t="s">
        <v>31</v>
      </c>
      <c r="B42" s="75">
        <f>SUM(B43:D45)</f>
        <v>751546.74</v>
      </c>
      <c r="C42" s="76"/>
      <c r="D42" s="77"/>
      <c r="E42" s="75">
        <f>SUM(E43:G45)</f>
        <v>0</v>
      </c>
      <c r="F42" s="76"/>
      <c r="G42" s="77"/>
      <c r="H42" s="75">
        <f>SUM(H43:J45)</f>
        <v>0</v>
      </c>
      <c r="I42" s="76"/>
      <c r="J42" s="77"/>
      <c r="K42" s="75">
        <f>SUM(K43:M45)</f>
        <v>0</v>
      </c>
      <c r="L42" s="76"/>
      <c r="M42" s="77"/>
      <c r="N42" s="75">
        <f>SUM(N43:P45)</f>
        <v>0</v>
      </c>
      <c r="O42" s="76"/>
      <c r="P42" s="77"/>
      <c r="Q42" s="75">
        <f>SUM(Q43:S45)</f>
        <v>0</v>
      </c>
      <c r="R42" s="76"/>
      <c r="S42" s="77"/>
      <c r="T42" s="48">
        <v>0</v>
      </c>
      <c r="U42" s="105">
        <f>SUM(U43:V45)</f>
        <v>751546.74</v>
      </c>
      <c r="V42" s="106"/>
    </row>
    <row r="43" spans="1:22" x14ac:dyDescent="0.25">
      <c r="A43" s="13" t="s">
        <v>32</v>
      </c>
      <c r="B43" s="125">
        <v>583007.5</v>
      </c>
      <c r="C43" s="126"/>
      <c r="D43" s="127"/>
      <c r="E43" s="65">
        <f>0</f>
        <v>0</v>
      </c>
      <c r="F43" s="66"/>
      <c r="G43" s="67"/>
      <c r="H43" s="65">
        <f>0</f>
        <v>0</v>
      </c>
      <c r="I43" s="66"/>
      <c r="J43" s="67"/>
      <c r="K43" s="65">
        <f>0</f>
        <v>0</v>
      </c>
      <c r="L43" s="66"/>
      <c r="M43" s="67"/>
      <c r="N43" s="65">
        <f>0</f>
        <v>0</v>
      </c>
      <c r="O43" s="66"/>
      <c r="P43" s="67"/>
      <c r="Q43" s="60">
        <f>0+E43+H43+K43+N43</f>
        <v>0</v>
      </c>
      <c r="R43" s="61"/>
      <c r="S43" s="62"/>
      <c r="T43" s="43">
        <v>0</v>
      </c>
      <c r="U43" s="103">
        <f>583007.5+Q43</f>
        <v>583007.5</v>
      </c>
      <c r="V43" s="103"/>
    </row>
    <row r="44" spans="1:22" x14ac:dyDescent="0.25">
      <c r="A44" s="13" t="s">
        <v>33</v>
      </c>
      <c r="B44" s="125">
        <v>151996.63</v>
      </c>
      <c r="C44" s="126"/>
      <c r="D44" s="127"/>
      <c r="E44" s="65">
        <f>0</f>
        <v>0</v>
      </c>
      <c r="F44" s="66"/>
      <c r="G44" s="67"/>
      <c r="H44" s="65">
        <f>0</f>
        <v>0</v>
      </c>
      <c r="I44" s="66"/>
      <c r="J44" s="67"/>
      <c r="K44" s="65">
        <f>0</f>
        <v>0</v>
      </c>
      <c r="L44" s="66"/>
      <c r="M44" s="67"/>
      <c r="N44" s="65">
        <f>0</f>
        <v>0</v>
      </c>
      <c r="O44" s="66"/>
      <c r="P44" s="67"/>
      <c r="Q44" s="60">
        <f t="shared" ref="Q44:Q45" si="4">0+E44+H44+K44+N44</f>
        <v>0</v>
      </c>
      <c r="R44" s="61"/>
      <c r="S44" s="62"/>
      <c r="T44" s="43">
        <v>0</v>
      </c>
      <c r="U44" s="101">
        <f>151996.63+Q44</f>
        <v>151996.63</v>
      </c>
      <c r="V44" s="102"/>
    </row>
    <row r="45" spans="1:22" x14ac:dyDescent="0.25">
      <c r="A45" s="13" t="s">
        <v>34</v>
      </c>
      <c r="B45" s="125">
        <f>16542.61</f>
        <v>16542.61</v>
      </c>
      <c r="C45" s="126"/>
      <c r="D45" s="127"/>
      <c r="E45" s="65">
        <f>0</f>
        <v>0</v>
      </c>
      <c r="F45" s="66"/>
      <c r="G45" s="67"/>
      <c r="H45" s="65">
        <f>0</f>
        <v>0</v>
      </c>
      <c r="I45" s="66"/>
      <c r="J45" s="67"/>
      <c r="K45" s="65">
        <f>0</f>
        <v>0</v>
      </c>
      <c r="L45" s="66"/>
      <c r="M45" s="67"/>
      <c r="N45" s="65">
        <f>0</f>
        <v>0</v>
      </c>
      <c r="O45" s="66"/>
      <c r="P45" s="67"/>
      <c r="Q45" s="60">
        <f t="shared" si="4"/>
        <v>0</v>
      </c>
      <c r="R45" s="61"/>
      <c r="S45" s="62"/>
      <c r="T45" s="43">
        <v>0</v>
      </c>
      <c r="U45" s="101">
        <f>16542.61+Q45</f>
        <v>16542.61</v>
      </c>
      <c r="V45" s="102"/>
    </row>
    <row r="46" spans="1:22" x14ac:dyDescent="0.25">
      <c r="A46" s="12" t="s">
        <v>35</v>
      </c>
      <c r="B46" s="75">
        <f>SUM(B47:D49)</f>
        <v>126209</v>
      </c>
      <c r="C46" s="76"/>
      <c r="D46" s="77"/>
      <c r="E46" s="75">
        <f>SUM(E47:G49)</f>
        <v>0</v>
      </c>
      <c r="F46" s="76"/>
      <c r="G46" s="77"/>
      <c r="H46" s="75">
        <f>SUM(H47:J49)</f>
        <v>0</v>
      </c>
      <c r="I46" s="76"/>
      <c r="J46" s="77"/>
      <c r="K46" s="75">
        <f>SUM(K47:M49)</f>
        <v>0</v>
      </c>
      <c r="L46" s="76"/>
      <c r="M46" s="77"/>
      <c r="N46" s="75">
        <f>SUM(N47:P49)</f>
        <v>0</v>
      </c>
      <c r="O46" s="76"/>
      <c r="P46" s="77"/>
      <c r="Q46" s="75">
        <f>SUM(Q47:S49)</f>
        <v>0</v>
      </c>
      <c r="R46" s="76"/>
      <c r="S46" s="77"/>
      <c r="T46" s="48">
        <v>0</v>
      </c>
      <c r="U46" s="105">
        <f>SUM(U47:V49)</f>
        <v>126209</v>
      </c>
      <c r="V46" s="106"/>
    </row>
    <row r="47" spans="1:22" x14ac:dyDescent="0.25">
      <c r="A47" s="13" t="s">
        <v>36</v>
      </c>
      <c r="B47" s="78">
        <f>6921.51</f>
        <v>6921.51</v>
      </c>
      <c r="C47" s="79"/>
      <c r="D47" s="80"/>
      <c r="E47" s="65">
        <f>0</f>
        <v>0</v>
      </c>
      <c r="F47" s="66"/>
      <c r="G47" s="67"/>
      <c r="H47" s="65">
        <f>0</f>
        <v>0</v>
      </c>
      <c r="I47" s="66"/>
      <c r="J47" s="67"/>
      <c r="K47" s="65">
        <f>0</f>
        <v>0</v>
      </c>
      <c r="L47" s="66"/>
      <c r="M47" s="67"/>
      <c r="N47" s="65">
        <f>0</f>
        <v>0</v>
      </c>
      <c r="O47" s="66"/>
      <c r="P47" s="67"/>
      <c r="Q47" s="60">
        <f>0+E47+H47+K47+N47</f>
        <v>0</v>
      </c>
      <c r="R47" s="61"/>
      <c r="S47" s="62"/>
      <c r="T47" s="43">
        <v>0</v>
      </c>
      <c r="U47" s="121">
        <f>6921.51+Q47</f>
        <v>6921.51</v>
      </c>
      <c r="V47" s="121"/>
    </row>
    <row r="48" spans="1:22" x14ac:dyDescent="0.25">
      <c r="A48" s="13" t="s">
        <v>37</v>
      </c>
      <c r="B48" s="125">
        <v>13191.49</v>
      </c>
      <c r="C48" s="126"/>
      <c r="D48" s="127"/>
      <c r="E48" s="65">
        <f>0</f>
        <v>0</v>
      </c>
      <c r="F48" s="66"/>
      <c r="G48" s="67"/>
      <c r="H48" s="65">
        <f>0</f>
        <v>0</v>
      </c>
      <c r="I48" s="66"/>
      <c r="J48" s="67"/>
      <c r="K48" s="65">
        <f>0</f>
        <v>0</v>
      </c>
      <c r="L48" s="66"/>
      <c r="M48" s="67"/>
      <c r="N48" s="65">
        <f>0</f>
        <v>0</v>
      </c>
      <c r="O48" s="66"/>
      <c r="P48" s="67"/>
      <c r="Q48" s="60">
        <f t="shared" ref="Q48:Q49" si="5">0+E48+H48+K48+N48</f>
        <v>0</v>
      </c>
      <c r="R48" s="61"/>
      <c r="S48" s="62"/>
      <c r="T48" s="43">
        <v>0</v>
      </c>
      <c r="U48" s="101">
        <f>13191.49+Q48</f>
        <v>13191.49</v>
      </c>
      <c r="V48" s="102"/>
    </row>
    <row r="49" spans="1:22" x14ac:dyDescent="0.25">
      <c r="A49" s="13" t="s">
        <v>38</v>
      </c>
      <c r="B49" s="125">
        <f>106096</f>
        <v>106096</v>
      </c>
      <c r="C49" s="126"/>
      <c r="D49" s="127"/>
      <c r="E49" s="65">
        <f>0</f>
        <v>0</v>
      </c>
      <c r="F49" s="66"/>
      <c r="G49" s="67"/>
      <c r="H49" s="65">
        <f>0</f>
        <v>0</v>
      </c>
      <c r="I49" s="66"/>
      <c r="J49" s="67"/>
      <c r="K49" s="65">
        <f>0</f>
        <v>0</v>
      </c>
      <c r="L49" s="66"/>
      <c r="M49" s="67"/>
      <c r="N49" s="65">
        <f>0</f>
        <v>0</v>
      </c>
      <c r="O49" s="66"/>
      <c r="P49" s="67"/>
      <c r="Q49" s="60">
        <f t="shared" si="5"/>
        <v>0</v>
      </c>
      <c r="R49" s="61"/>
      <c r="S49" s="62"/>
      <c r="T49" s="43">
        <v>0</v>
      </c>
      <c r="U49" s="101">
        <f>106096+Q49</f>
        <v>106096</v>
      </c>
      <c r="V49" s="102"/>
    </row>
    <row r="50" spans="1:22" x14ac:dyDescent="0.25">
      <c r="A50" s="12" t="s">
        <v>39</v>
      </c>
      <c r="B50" s="75">
        <f>SUM(B51:D61)</f>
        <v>633337.52999999991</v>
      </c>
      <c r="C50" s="76"/>
      <c r="D50" s="77"/>
      <c r="E50" s="75">
        <f>SUM(E51:G61)</f>
        <v>4900.9699999999993</v>
      </c>
      <c r="F50" s="76"/>
      <c r="G50" s="77"/>
      <c r="H50" s="75">
        <f>SUM(H51:J61)</f>
        <v>7243.5499999999993</v>
      </c>
      <c r="I50" s="76"/>
      <c r="J50" s="77"/>
      <c r="K50" s="75">
        <f t="shared" ref="K50" si="6">SUM(K52:M61)</f>
        <v>4880.83</v>
      </c>
      <c r="L50" s="76"/>
      <c r="M50" s="77"/>
      <c r="N50" s="75">
        <f t="shared" ref="N50" si="7">SUM(N52:P61)</f>
        <v>8485.6299999999992</v>
      </c>
      <c r="O50" s="76"/>
      <c r="P50" s="77"/>
      <c r="Q50" s="75">
        <f>SUM(Q51:S61)</f>
        <v>25510.979999999996</v>
      </c>
      <c r="R50" s="76"/>
      <c r="S50" s="77"/>
      <c r="T50" s="48">
        <v>0.18400750610147248</v>
      </c>
      <c r="U50" s="105">
        <f>SUM(U51:V61)</f>
        <v>658848.51</v>
      </c>
      <c r="V50" s="106"/>
    </row>
    <row r="51" spans="1:22" x14ac:dyDescent="0.25">
      <c r="A51" s="53" t="s">
        <v>99</v>
      </c>
      <c r="B51" s="125">
        <f>63050</f>
        <v>63050</v>
      </c>
      <c r="C51" s="126"/>
      <c r="D51" s="127"/>
      <c r="E51" s="65">
        <f>0</f>
        <v>0</v>
      </c>
      <c r="F51" s="66"/>
      <c r="G51" s="67"/>
      <c r="H51" s="65">
        <f>0</f>
        <v>0</v>
      </c>
      <c r="I51" s="66"/>
      <c r="J51" s="67"/>
      <c r="K51" s="65">
        <f>0</f>
        <v>0</v>
      </c>
      <c r="L51" s="66"/>
      <c r="M51" s="67"/>
      <c r="N51" s="65">
        <f>0</f>
        <v>0</v>
      </c>
      <c r="O51" s="66"/>
      <c r="P51" s="67"/>
      <c r="Q51" s="60">
        <f>0+E51+H51+K51+N51</f>
        <v>0</v>
      </c>
      <c r="R51" s="61"/>
      <c r="S51" s="62"/>
      <c r="T51" s="43">
        <v>1.990812767745884E-2</v>
      </c>
      <c r="U51" s="101">
        <f>63050+Q51</f>
        <v>63050</v>
      </c>
      <c r="V51" s="102"/>
    </row>
    <row r="52" spans="1:22" x14ac:dyDescent="0.25">
      <c r="A52" s="54" t="s">
        <v>100</v>
      </c>
      <c r="B52" s="125">
        <f>43922.08</f>
        <v>43922.080000000002</v>
      </c>
      <c r="C52" s="126"/>
      <c r="D52" s="127"/>
      <c r="E52" s="65">
        <f>700</f>
        <v>700</v>
      </c>
      <c r="F52" s="66"/>
      <c r="G52" s="67"/>
      <c r="H52" s="65">
        <f>700</f>
        <v>700</v>
      </c>
      <c r="I52" s="66"/>
      <c r="J52" s="67"/>
      <c r="K52" s="65">
        <f>700</f>
        <v>700</v>
      </c>
      <c r="L52" s="66"/>
      <c r="M52" s="67"/>
      <c r="N52" s="65">
        <f>700</f>
        <v>700</v>
      </c>
      <c r="O52" s="66"/>
      <c r="P52" s="67"/>
      <c r="Q52" s="60">
        <f t="shared" ref="Q52:Q61" si="8">0+E52+H52+K52+N52</f>
        <v>2800</v>
      </c>
      <c r="R52" s="61"/>
      <c r="S52" s="62"/>
      <c r="T52" s="43">
        <v>0</v>
      </c>
      <c r="U52" s="103">
        <f>43922.08+Q52</f>
        <v>46722.080000000002</v>
      </c>
      <c r="V52" s="103"/>
    </row>
    <row r="53" spans="1:22" x14ac:dyDescent="0.25">
      <c r="A53" s="55" t="s">
        <v>101</v>
      </c>
      <c r="B53" s="125">
        <f>420450.98</f>
        <v>420450.98</v>
      </c>
      <c r="C53" s="126"/>
      <c r="D53" s="127"/>
      <c r="E53" s="65">
        <f>3764.06</f>
        <v>3764.06</v>
      </c>
      <c r="F53" s="66"/>
      <c r="G53" s="67"/>
      <c r="H53" s="65">
        <f>3756.64</f>
        <v>3756.64</v>
      </c>
      <c r="I53" s="66"/>
      <c r="J53" s="67"/>
      <c r="K53" s="65">
        <f>3743.92</f>
        <v>3743.92</v>
      </c>
      <c r="L53" s="66"/>
      <c r="M53" s="67"/>
      <c r="N53" s="65">
        <f>3722.72</f>
        <v>3722.72</v>
      </c>
      <c r="O53" s="66"/>
      <c r="P53" s="67"/>
      <c r="Q53" s="60">
        <f t="shared" si="8"/>
        <v>14987.339999999998</v>
      </c>
      <c r="R53" s="61"/>
      <c r="S53" s="62"/>
      <c r="T53" s="43">
        <v>0</v>
      </c>
      <c r="U53" s="101">
        <f>420450.98+Q53</f>
        <v>435438.32</v>
      </c>
      <c r="V53" s="102"/>
    </row>
    <row r="54" spans="1:22" x14ac:dyDescent="0.25">
      <c r="A54" s="13" t="s">
        <v>40</v>
      </c>
      <c r="B54" s="125">
        <f>33403.74</f>
        <v>33403.74</v>
      </c>
      <c r="C54" s="126"/>
      <c r="D54" s="127"/>
      <c r="E54" s="65">
        <f>391.66</f>
        <v>391.66</v>
      </c>
      <c r="F54" s="66"/>
      <c r="G54" s="67"/>
      <c r="H54" s="65">
        <f>391.66</f>
        <v>391.66</v>
      </c>
      <c r="I54" s="66"/>
      <c r="J54" s="67"/>
      <c r="K54" s="65">
        <f>391.66</f>
        <v>391.66</v>
      </c>
      <c r="L54" s="66"/>
      <c r="M54" s="67"/>
      <c r="N54" s="65">
        <f>391.66</f>
        <v>391.66</v>
      </c>
      <c r="O54" s="66"/>
      <c r="P54" s="67"/>
      <c r="Q54" s="60">
        <f t="shared" si="8"/>
        <v>1566.64</v>
      </c>
      <c r="R54" s="61"/>
      <c r="S54" s="62"/>
      <c r="T54" s="43">
        <v>1.3107658730451326E-2</v>
      </c>
      <c r="U54" s="101">
        <f>33403.74+Q54</f>
        <v>34970.379999999997</v>
      </c>
      <c r="V54" s="102"/>
    </row>
    <row r="55" spans="1:22" x14ac:dyDescent="0.25">
      <c r="A55" s="13" t="s">
        <v>41</v>
      </c>
      <c r="B55" s="125">
        <f>9319.68</f>
        <v>9319.68</v>
      </c>
      <c r="C55" s="126"/>
      <c r="D55" s="127"/>
      <c r="E55" s="65">
        <f>0</f>
        <v>0</v>
      </c>
      <c r="F55" s="66"/>
      <c r="G55" s="67"/>
      <c r="H55" s="65">
        <f>0</f>
        <v>0</v>
      </c>
      <c r="I55" s="66"/>
      <c r="J55" s="67"/>
      <c r="K55" s="65">
        <f>0</f>
        <v>0</v>
      </c>
      <c r="L55" s="66"/>
      <c r="M55" s="67"/>
      <c r="N55" s="65">
        <f>0</f>
        <v>0</v>
      </c>
      <c r="O55" s="66"/>
      <c r="P55" s="67"/>
      <c r="Q55" s="60">
        <f t="shared" si="8"/>
        <v>0</v>
      </c>
      <c r="R55" s="61"/>
      <c r="S55" s="62"/>
      <c r="T55" s="43">
        <v>2.4022474064133667E-3</v>
      </c>
      <c r="U55" s="101">
        <f>9319.68+Q55</f>
        <v>9319.68</v>
      </c>
      <c r="V55" s="102"/>
    </row>
    <row r="56" spans="1:22" x14ac:dyDescent="0.25">
      <c r="A56" s="13" t="s">
        <v>42</v>
      </c>
      <c r="B56" s="125">
        <f>2639.04</f>
        <v>2639.04</v>
      </c>
      <c r="C56" s="126"/>
      <c r="D56" s="127"/>
      <c r="E56" s="65">
        <f>45.25</f>
        <v>45.25</v>
      </c>
      <c r="F56" s="66"/>
      <c r="G56" s="67"/>
      <c r="H56" s="65">
        <f>45.25</f>
        <v>45.25</v>
      </c>
      <c r="I56" s="66"/>
      <c r="J56" s="67"/>
      <c r="K56" s="65">
        <f>45.25</f>
        <v>45.25</v>
      </c>
      <c r="L56" s="66"/>
      <c r="M56" s="67"/>
      <c r="N56" s="65">
        <f>45.25</f>
        <v>45.25</v>
      </c>
      <c r="O56" s="66"/>
      <c r="P56" s="67"/>
      <c r="Q56" s="60">
        <f t="shared" si="8"/>
        <v>181</v>
      </c>
      <c r="R56" s="61"/>
      <c r="S56" s="62"/>
      <c r="T56" s="43">
        <v>1.437809221149805E-3</v>
      </c>
      <c r="U56" s="101">
        <f>2639.04+Q56</f>
        <v>2820.04</v>
      </c>
      <c r="V56" s="102"/>
    </row>
    <row r="57" spans="1:22" x14ac:dyDescent="0.25">
      <c r="A57" s="13" t="s">
        <v>43</v>
      </c>
      <c r="B57" s="125">
        <v>32308.46</v>
      </c>
      <c r="C57" s="126"/>
      <c r="D57" s="127"/>
      <c r="E57" s="65">
        <f>0</f>
        <v>0</v>
      </c>
      <c r="F57" s="66"/>
      <c r="G57" s="67"/>
      <c r="H57" s="65">
        <f>2350</f>
        <v>2350</v>
      </c>
      <c r="I57" s="66"/>
      <c r="J57" s="67"/>
      <c r="K57" s="65">
        <f>0</f>
        <v>0</v>
      </c>
      <c r="L57" s="66"/>
      <c r="M57" s="67"/>
      <c r="N57" s="65">
        <f>600+2350+600</f>
        <v>3550</v>
      </c>
      <c r="O57" s="66"/>
      <c r="P57" s="67"/>
      <c r="Q57" s="60">
        <f t="shared" si="8"/>
        <v>5900</v>
      </c>
      <c r="R57" s="61"/>
      <c r="S57" s="62"/>
      <c r="T57" s="43">
        <v>0</v>
      </c>
      <c r="U57" s="101">
        <f>32308.46+Q57</f>
        <v>38208.46</v>
      </c>
      <c r="V57" s="102"/>
    </row>
    <row r="58" spans="1:22" x14ac:dyDescent="0.25">
      <c r="A58" s="13" t="s">
        <v>93</v>
      </c>
      <c r="B58" s="125">
        <f>18941.84</f>
        <v>18941.84</v>
      </c>
      <c r="C58" s="126"/>
      <c r="D58" s="127"/>
      <c r="E58" s="65">
        <f>0</f>
        <v>0</v>
      </c>
      <c r="F58" s="66"/>
      <c r="G58" s="67"/>
      <c r="H58" s="65">
        <f>0</f>
        <v>0</v>
      </c>
      <c r="I58" s="66"/>
      <c r="J58" s="67"/>
      <c r="K58" s="65">
        <f>0</f>
        <v>0</v>
      </c>
      <c r="L58" s="66"/>
      <c r="M58" s="67"/>
      <c r="N58" s="65">
        <f>0</f>
        <v>0</v>
      </c>
      <c r="O58" s="66"/>
      <c r="P58" s="67"/>
      <c r="Q58" s="60">
        <f t="shared" si="8"/>
        <v>0</v>
      </c>
      <c r="R58" s="61"/>
      <c r="S58" s="62"/>
      <c r="T58" s="43">
        <v>0</v>
      </c>
      <c r="U58" s="101">
        <f>18941.84+Q58</f>
        <v>18941.84</v>
      </c>
      <c r="V58" s="102"/>
    </row>
    <row r="59" spans="1:22" x14ac:dyDescent="0.25">
      <c r="A59" s="13" t="s">
        <v>44</v>
      </c>
      <c r="B59" s="125">
        <v>5618.11</v>
      </c>
      <c r="C59" s="126"/>
      <c r="D59" s="127"/>
      <c r="E59" s="65">
        <f>0</f>
        <v>0</v>
      </c>
      <c r="F59" s="66"/>
      <c r="G59" s="67"/>
      <c r="H59" s="65">
        <f>0</f>
        <v>0</v>
      </c>
      <c r="I59" s="66"/>
      <c r="J59" s="67"/>
      <c r="K59" s="65">
        <f>0</f>
        <v>0</v>
      </c>
      <c r="L59" s="66"/>
      <c r="M59" s="67"/>
      <c r="N59" s="65">
        <f>0</f>
        <v>0</v>
      </c>
      <c r="O59" s="66"/>
      <c r="P59" s="67"/>
      <c r="Q59" s="60">
        <f t="shared" si="8"/>
        <v>0</v>
      </c>
      <c r="R59" s="61"/>
      <c r="S59" s="62"/>
      <c r="T59" s="43">
        <v>0</v>
      </c>
      <c r="U59" s="101">
        <f>5618.11+Q59</f>
        <v>5618.11</v>
      </c>
      <c r="V59" s="102"/>
    </row>
    <row r="60" spans="1:22" x14ac:dyDescent="0.25">
      <c r="A60" s="13" t="s">
        <v>45</v>
      </c>
      <c r="B60" s="125">
        <f>412</f>
        <v>412</v>
      </c>
      <c r="C60" s="126"/>
      <c r="D60" s="127"/>
      <c r="E60" s="65">
        <f>0</f>
        <v>0</v>
      </c>
      <c r="F60" s="66"/>
      <c r="G60" s="67"/>
      <c r="H60" s="65">
        <f>0</f>
        <v>0</v>
      </c>
      <c r="I60" s="66"/>
      <c r="J60" s="67"/>
      <c r="K60" s="65">
        <f>0</f>
        <v>0</v>
      </c>
      <c r="L60" s="66"/>
      <c r="M60" s="67"/>
      <c r="N60" s="65">
        <f>76</f>
        <v>76</v>
      </c>
      <c r="O60" s="66"/>
      <c r="P60" s="67"/>
      <c r="Q60" s="60">
        <f t="shared" si="8"/>
        <v>76</v>
      </c>
      <c r="R60" s="61"/>
      <c r="S60" s="62"/>
      <c r="T60" s="43">
        <v>0</v>
      </c>
      <c r="U60" s="101">
        <f>412+Q60</f>
        <v>488</v>
      </c>
      <c r="V60" s="102"/>
    </row>
    <row r="61" spans="1:22" x14ac:dyDescent="0.25">
      <c r="A61" s="13" t="s">
        <v>91</v>
      </c>
      <c r="B61" s="125">
        <f>3271.6</f>
        <v>3271.6</v>
      </c>
      <c r="C61" s="126"/>
      <c r="D61" s="127"/>
      <c r="E61" s="65">
        <f>0</f>
        <v>0</v>
      </c>
      <c r="F61" s="66"/>
      <c r="G61" s="67"/>
      <c r="H61" s="65">
        <f>0</f>
        <v>0</v>
      </c>
      <c r="I61" s="66"/>
      <c r="J61" s="67"/>
      <c r="K61" s="65">
        <f>0</f>
        <v>0</v>
      </c>
      <c r="L61" s="66"/>
      <c r="M61" s="67"/>
      <c r="N61" s="65">
        <f>0</f>
        <v>0</v>
      </c>
      <c r="O61" s="66"/>
      <c r="P61" s="67"/>
      <c r="Q61" s="60">
        <f t="shared" si="8"/>
        <v>0</v>
      </c>
      <c r="R61" s="61"/>
      <c r="S61" s="62"/>
      <c r="T61" s="43">
        <v>0</v>
      </c>
      <c r="U61" s="101">
        <f>3271.6+Q61</f>
        <v>3271.6</v>
      </c>
      <c r="V61" s="102"/>
    </row>
    <row r="62" spans="1:22" x14ac:dyDescent="0.25">
      <c r="A62" s="12" t="s">
        <v>46</v>
      </c>
      <c r="B62" s="75">
        <f>SUM(B63:D66)</f>
        <v>828435.89</v>
      </c>
      <c r="C62" s="76"/>
      <c r="D62" s="77"/>
      <c r="E62" s="75">
        <f>SUM(E63:G66)</f>
        <v>446.70000000000005</v>
      </c>
      <c r="F62" s="76"/>
      <c r="G62" s="77"/>
      <c r="H62" s="75">
        <f>SUM(H63:J66)</f>
        <v>14911.959999999997</v>
      </c>
      <c r="I62" s="76"/>
      <c r="J62" s="77"/>
      <c r="K62" s="75">
        <f>SUM(K63:M66)</f>
        <v>558.22</v>
      </c>
      <c r="L62" s="76"/>
      <c r="M62" s="77"/>
      <c r="N62" s="75">
        <f>SUM(N63:P66)</f>
        <v>887.9</v>
      </c>
      <c r="O62" s="76"/>
      <c r="P62" s="77"/>
      <c r="Q62" s="75">
        <f>SUM(Q63:S66)</f>
        <v>16804.78</v>
      </c>
      <c r="R62" s="76"/>
      <c r="S62" s="77"/>
      <c r="T62" s="48">
        <v>1.6136643489673582E-2</v>
      </c>
      <c r="U62" s="105">
        <f>SUM(U63:V66)</f>
        <v>845240.66999999993</v>
      </c>
      <c r="V62" s="106"/>
    </row>
    <row r="63" spans="1:22" x14ac:dyDescent="0.25">
      <c r="A63" s="13" t="s">
        <v>47</v>
      </c>
      <c r="B63" s="125">
        <f>480720.31</f>
        <v>480720.31</v>
      </c>
      <c r="C63" s="126"/>
      <c r="D63" s="127"/>
      <c r="E63" s="65">
        <f>8.5+21.89+99.5+5.97+8.5+1.99+1.99</f>
        <v>148.34</v>
      </c>
      <c r="F63" s="66"/>
      <c r="G63" s="67"/>
      <c r="H63" s="65">
        <f>1.99+5.97+0.71+1.99+8.5+8.5+5.97+1.99+0.8+8.5+13734.98+3.98</f>
        <v>13783.88</v>
      </c>
      <c r="I63" s="66"/>
      <c r="J63" s="67"/>
      <c r="K63" s="65">
        <f>3.98+17.91+3.98+1.99+8.5+0.26+8.5+195.02+1.99+1.33+3.98</f>
        <v>247.44000000000003</v>
      </c>
      <c r="L63" s="66"/>
      <c r="M63" s="67"/>
      <c r="N63" s="65">
        <f>1.99+8.5+3.98+3.98+3.98+8.5+37.81+8.5+1.99+1.99</f>
        <v>81.22</v>
      </c>
      <c r="O63" s="66"/>
      <c r="P63" s="67"/>
      <c r="Q63" s="60">
        <f>0+E63+H63+K63+N63</f>
        <v>14260.88</v>
      </c>
      <c r="R63" s="61"/>
      <c r="S63" s="62"/>
      <c r="T63" s="43">
        <v>4.8808093022569927E-3</v>
      </c>
      <c r="U63" s="103">
        <f>480720.31+Q63</f>
        <v>494981.19</v>
      </c>
      <c r="V63" s="103"/>
    </row>
    <row r="64" spans="1:22" x14ac:dyDescent="0.25">
      <c r="A64" s="13" t="s">
        <v>48</v>
      </c>
      <c r="B64" s="125">
        <f>91687.14</f>
        <v>91687.14</v>
      </c>
      <c r="C64" s="126"/>
      <c r="D64" s="127"/>
      <c r="E64" s="65">
        <f>125.18+10.01+75.11+15.02</f>
        <v>225.32000000000002</v>
      </c>
      <c r="F64" s="66"/>
      <c r="G64" s="67"/>
      <c r="H64" s="65">
        <f>125.18+10.01+75.11</f>
        <v>210.3</v>
      </c>
      <c r="I64" s="66"/>
      <c r="J64" s="67"/>
      <c r="K64" s="65">
        <f>113.03+9.04+67.81+13.56</f>
        <v>203.44</v>
      </c>
      <c r="L64" s="66"/>
      <c r="M64" s="67"/>
      <c r="N64" s="65">
        <f>113.03+9.04+67.81+13.56</f>
        <v>203.44</v>
      </c>
      <c r="O64" s="66"/>
      <c r="P64" s="67"/>
      <c r="Q64" s="60">
        <f t="shared" ref="Q64:Q66" si="9">0+E64+H64+K64+N64</f>
        <v>842.5</v>
      </c>
      <c r="R64" s="61"/>
      <c r="S64" s="62"/>
      <c r="T64" s="43">
        <v>7.3081262027827141E-3</v>
      </c>
      <c r="U64" s="101">
        <f>91687.14+Q64</f>
        <v>92529.64</v>
      </c>
      <c r="V64" s="102"/>
    </row>
    <row r="65" spans="1:22" x14ac:dyDescent="0.25">
      <c r="A65" s="13" t="s">
        <v>49</v>
      </c>
      <c r="B65" s="125">
        <f>240217.14</f>
        <v>240217.14</v>
      </c>
      <c r="C65" s="126"/>
      <c r="D65" s="127"/>
      <c r="E65" s="65">
        <f>31.62+41.42</f>
        <v>73.040000000000006</v>
      </c>
      <c r="F65" s="66"/>
      <c r="G65" s="67"/>
      <c r="H65" s="65">
        <f>90.67+474.89</f>
        <v>565.55999999999995</v>
      </c>
      <c r="I65" s="66"/>
      <c r="J65" s="67"/>
      <c r="K65" s="65">
        <f>40.79+66.55</f>
        <v>107.34</v>
      </c>
      <c r="L65" s="66"/>
      <c r="M65" s="67"/>
      <c r="N65" s="65">
        <f>98.94+504.3</f>
        <v>603.24</v>
      </c>
      <c r="O65" s="66"/>
      <c r="P65" s="67"/>
      <c r="Q65" s="60">
        <f t="shared" si="9"/>
        <v>1349.1799999999998</v>
      </c>
      <c r="R65" s="61"/>
      <c r="S65" s="62"/>
      <c r="T65" s="43">
        <v>3.9477079846338753E-3</v>
      </c>
      <c r="U65" s="101">
        <f>240217.14+Q65</f>
        <v>241566.32</v>
      </c>
      <c r="V65" s="102"/>
    </row>
    <row r="66" spans="1:22" x14ac:dyDescent="0.25">
      <c r="A66" s="13" t="s">
        <v>94</v>
      </c>
      <c r="B66" s="125">
        <f>15811.3</f>
        <v>15811.3</v>
      </c>
      <c r="C66" s="126"/>
      <c r="D66" s="127"/>
      <c r="E66" s="65">
        <f>0</f>
        <v>0</v>
      </c>
      <c r="F66" s="66"/>
      <c r="G66" s="67"/>
      <c r="H66" s="65">
        <f>1.28+77.46+0.84+251.74+0.9+20</f>
        <v>352.21999999999997</v>
      </c>
      <c r="I66" s="66"/>
      <c r="J66" s="67"/>
      <c r="K66" s="65">
        <f>0</f>
        <v>0</v>
      </c>
      <c r="L66" s="66"/>
      <c r="M66" s="67"/>
      <c r="N66" s="65">
        <f>0</f>
        <v>0</v>
      </c>
      <c r="O66" s="66"/>
      <c r="P66" s="67"/>
      <c r="Q66" s="60">
        <f t="shared" si="9"/>
        <v>352.21999999999997</v>
      </c>
      <c r="R66" s="61"/>
      <c r="S66" s="62"/>
      <c r="T66" s="43">
        <v>0</v>
      </c>
      <c r="U66" s="101">
        <f>15811.3+Q66</f>
        <v>16163.519999999999</v>
      </c>
      <c r="V66" s="102"/>
    </row>
    <row r="67" spans="1:22" x14ac:dyDescent="0.25">
      <c r="A67" s="12" t="s">
        <v>50</v>
      </c>
      <c r="B67" s="75">
        <f>SUM(B68:D80)</f>
        <v>1194191.3800000001</v>
      </c>
      <c r="C67" s="76"/>
      <c r="D67" s="77"/>
      <c r="E67" s="75">
        <f>SUM(E68:G80)</f>
        <v>12298.18</v>
      </c>
      <c r="F67" s="76"/>
      <c r="G67" s="77"/>
      <c r="H67" s="75">
        <f t="shared" ref="H67" si="10">SUM(H68:J80)</f>
        <v>14271.15</v>
      </c>
      <c r="I67" s="76"/>
      <c r="J67" s="77"/>
      <c r="K67" s="75">
        <f t="shared" ref="K67" si="11">SUM(K68:M80)</f>
        <v>13360.77</v>
      </c>
      <c r="L67" s="76"/>
      <c r="M67" s="77"/>
      <c r="N67" s="75">
        <f>SUM(N68:P80)</f>
        <v>12033.310000000001</v>
      </c>
      <c r="O67" s="76"/>
      <c r="P67" s="77"/>
      <c r="Q67" s="75">
        <f>SUM(Q68:S80)</f>
        <v>51963.409999999996</v>
      </c>
      <c r="R67" s="76"/>
      <c r="S67" s="77"/>
      <c r="T67" s="48">
        <v>0.26429182365822906</v>
      </c>
      <c r="U67" s="104">
        <f>SUM(U68:V80)</f>
        <v>1246154.7900000003</v>
      </c>
      <c r="V67" s="104"/>
    </row>
    <row r="68" spans="1:22" x14ac:dyDescent="0.25">
      <c r="A68" s="16" t="s">
        <v>51</v>
      </c>
      <c r="B68" s="125">
        <f>9958.81</f>
        <v>9958.81</v>
      </c>
      <c r="C68" s="126"/>
      <c r="D68" s="127"/>
      <c r="E68" s="65">
        <f>0</f>
        <v>0</v>
      </c>
      <c r="F68" s="66"/>
      <c r="G68" s="67"/>
      <c r="H68" s="65">
        <f>0</f>
        <v>0</v>
      </c>
      <c r="I68" s="66"/>
      <c r="J68" s="67"/>
      <c r="K68" s="65">
        <f>0</f>
        <v>0</v>
      </c>
      <c r="L68" s="66"/>
      <c r="M68" s="67"/>
      <c r="N68" s="65">
        <f>0</f>
        <v>0</v>
      </c>
      <c r="O68" s="66"/>
      <c r="P68" s="67"/>
      <c r="Q68" s="60">
        <f>0+E68+H68+K68+N68</f>
        <v>0</v>
      </c>
      <c r="R68" s="61"/>
      <c r="S68" s="62"/>
      <c r="T68" s="43">
        <v>0</v>
      </c>
      <c r="U68" s="103">
        <f>9958.81+Q68</f>
        <v>9958.81</v>
      </c>
      <c r="V68" s="103"/>
    </row>
    <row r="69" spans="1:22" x14ac:dyDescent="0.25">
      <c r="A69" s="16" t="s">
        <v>102</v>
      </c>
      <c r="B69" s="125">
        <f>5767.4+16416.05</f>
        <v>22183.449999999997</v>
      </c>
      <c r="C69" s="126"/>
      <c r="D69" s="127"/>
      <c r="E69" s="65">
        <f>0</f>
        <v>0</v>
      </c>
      <c r="F69" s="66"/>
      <c r="G69" s="67"/>
      <c r="H69" s="65">
        <f>0</f>
        <v>0</v>
      </c>
      <c r="I69" s="66"/>
      <c r="J69" s="67"/>
      <c r="K69" s="65">
        <f>0</f>
        <v>0</v>
      </c>
      <c r="L69" s="66"/>
      <c r="M69" s="67"/>
      <c r="N69" s="65">
        <f>0</f>
        <v>0</v>
      </c>
      <c r="O69" s="66"/>
      <c r="P69" s="67"/>
      <c r="Q69" s="60">
        <f t="shared" ref="Q69:Q80" si="12">0+E69+H69+K69+N69</f>
        <v>0</v>
      </c>
      <c r="R69" s="61"/>
      <c r="S69" s="62"/>
      <c r="T69" s="43">
        <v>0</v>
      </c>
      <c r="U69" s="103">
        <f>22183.45+Q69</f>
        <v>22183.45</v>
      </c>
      <c r="V69" s="103"/>
    </row>
    <row r="70" spans="1:22" x14ac:dyDescent="0.25">
      <c r="A70" s="16" t="s">
        <v>90</v>
      </c>
      <c r="B70" s="125">
        <f>22664.13</f>
        <v>22664.13</v>
      </c>
      <c r="C70" s="126"/>
      <c r="D70" s="127"/>
      <c r="E70" s="65">
        <f>0</f>
        <v>0</v>
      </c>
      <c r="F70" s="66"/>
      <c r="G70" s="67"/>
      <c r="H70" s="65">
        <f>903.27+1983.6</f>
        <v>2886.87</v>
      </c>
      <c r="I70" s="66"/>
      <c r="J70" s="67"/>
      <c r="K70" s="65">
        <f>1099.62</f>
        <v>1099.6199999999999</v>
      </c>
      <c r="L70" s="66"/>
      <c r="M70" s="67"/>
      <c r="N70" s="65">
        <f>0</f>
        <v>0</v>
      </c>
      <c r="O70" s="66"/>
      <c r="P70" s="67"/>
      <c r="Q70" s="60">
        <f t="shared" si="12"/>
        <v>3986.49</v>
      </c>
      <c r="R70" s="61"/>
      <c r="S70" s="62"/>
      <c r="T70" s="43">
        <v>0</v>
      </c>
      <c r="U70" s="103">
        <f>22664.13+Q70</f>
        <v>26650.620000000003</v>
      </c>
      <c r="V70" s="103"/>
    </row>
    <row r="71" spans="1:22" x14ac:dyDescent="0.25">
      <c r="A71" s="13" t="s">
        <v>53</v>
      </c>
      <c r="B71" s="125">
        <f>10061.45</f>
        <v>10061.450000000001</v>
      </c>
      <c r="C71" s="126"/>
      <c r="D71" s="127"/>
      <c r="E71" s="65">
        <f>0</f>
        <v>0</v>
      </c>
      <c r="F71" s="66"/>
      <c r="G71" s="67"/>
      <c r="H71" s="65">
        <f>193.8</f>
        <v>193.8</v>
      </c>
      <c r="I71" s="66"/>
      <c r="J71" s="67"/>
      <c r="K71" s="65">
        <f>0</f>
        <v>0</v>
      </c>
      <c r="L71" s="66"/>
      <c r="M71" s="67"/>
      <c r="N71" s="65">
        <f>32.64+45.58+36.14+4.98</f>
        <v>119.34</v>
      </c>
      <c r="O71" s="66"/>
      <c r="P71" s="67"/>
      <c r="Q71" s="60">
        <f t="shared" si="12"/>
        <v>313.14</v>
      </c>
      <c r="R71" s="61"/>
      <c r="S71" s="62"/>
      <c r="T71" s="43">
        <v>0</v>
      </c>
      <c r="U71" s="103">
        <f>10061.45+Q71</f>
        <v>10374.59</v>
      </c>
      <c r="V71" s="103"/>
    </row>
    <row r="72" spans="1:22" x14ac:dyDescent="0.25">
      <c r="A72" s="16" t="s">
        <v>54</v>
      </c>
      <c r="B72" s="125">
        <f>202557.42</f>
        <v>202557.42</v>
      </c>
      <c r="C72" s="126"/>
      <c r="D72" s="127"/>
      <c r="E72" s="65">
        <f>2173.02</f>
        <v>2173.02</v>
      </c>
      <c r="F72" s="66"/>
      <c r="G72" s="67"/>
      <c r="H72" s="65">
        <f>2517.43</f>
        <v>2517.4299999999998</v>
      </c>
      <c r="I72" s="66"/>
      <c r="J72" s="67"/>
      <c r="K72" s="65">
        <f>2517.43</f>
        <v>2517.4299999999998</v>
      </c>
      <c r="L72" s="66"/>
      <c r="M72" s="67"/>
      <c r="N72" s="65">
        <f>2534.55</f>
        <v>2534.5500000000002</v>
      </c>
      <c r="O72" s="66"/>
      <c r="P72" s="67"/>
      <c r="Q72" s="60">
        <f t="shared" si="12"/>
        <v>9742.43</v>
      </c>
      <c r="R72" s="61"/>
      <c r="S72" s="62"/>
      <c r="T72" s="43">
        <v>6.7828834342257588E-2</v>
      </c>
      <c r="U72" s="103">
        <f>202557.42+Q72</f>
        <v>212299.85</v>
      </c>
      <c r="V72" s="103"/>
    </row>
    <row r="73" spans="1:22" x14ac:dyDescent="0.25">
      <c r="A73" s="16" t="s">
        <v>55</v>
      </c>
      <c r="B73" s="125">
        <f>38062.4</f>
        <v>38062.400000000001</v>
      </c>
      <c r="C73" s="126"/>
      <c r="D73" s="127"/>
      <c r="E73" s="65">
        <f>125.16+115.13+210.24</f>
        <v>450.53</v>
      </c>
      <c r="F73" s="66"/>
      <c r="G73" s="67"/>
      <c r="H73" s="65">
        <f>125.16+115.13+182.51</f>
        <v>422.79999999999995</v>
      </c>
      <c r="I73" s="66"/>
      <c r="J73" s="67"/>
      <c r="K73" s="65">
        <f>125.16+115.13+248.69</f>
        <v>488.98</v>
      </c>
      <c r="L73" s="66"/>
      <c r="M73" s="67"/>
      <c r="N73" s="65">
        <f>127.2+115.13+211.25</f>
        <v>453.58</v>
      </c>
      <c r="O73" s="66"/>
      <c r="P73" s="67"/>
      <c r="Q73" s="60">
        <f t="shared" si="12"/>
        <v>1815.8899999999999</v>
      </c>
      <c r="R73" s="61"/>
      <c r="S73" s="62"/>
      <c r="T73" s="43">
        <v>1.0950944898726618E-2</v>
      </c>
      <c r="U73" s="103">
        <f>38062.4+Q73</f>
        <v>39878.29</v>
      </c>
      <c r="V73" s="103"/>
    </row>
    <row r="74" spans="1:22" x14ac:dyDescent="0.25">
      <c r="A74" s="16" t="s">
        <v>56</v>
      </c>
      <c r="B74" s="125">
        <f>11580.79</f>
        <v>11580.79</v>
      </c>
      <c r="C74" s="126"/>
      <c r="D74" s="127"/>
      <c r="E74" s="65">
        <f>8.99+22+24</f>
        <v>54.99</v>
      </c>
      <c r="F74" s="66"/>
      <c r="G74" s="67"/>
      <c r="H74" s="65">
        <f>24+13.99+24</f>
        <v>61.99</v>
      </c>
      <c r="I74" s="66"/>
      <c r="J74" s="67"/>
      <c r="K74" s="65">
        <f>24+24+24</f>
        <v>72</v>
      </c>
      <c r="L74" s="66"/>
      <c r="M74" s="67"/>
      <c r="N74" s="65">
        <f>24+24+24</f>
        <v>72</v>
      </c>
      <c r="O74" s="66"/>
      <c r="P74" s="67"/>
      <c r="Q74" s="60">
        <f t="shared" si="12"/>
        <v>260.98</v>
      </c>
      <c r="R74" s="61"/>
      <c r="S74" s="62"/>
      <c r="T74" s="43">
        <v>0</v>
      </c>
      <c r="U74" s="103">
        <f>11580.79+Q74</f>
        <v>11841.77</v>
      </c>
      <c r="V74" s="103"/>
    </row>
    <row r="75" spans="1:22" x14ac:dyDescent="0.25">
      <c r="A75" s="16" t="s">
        <v>57</v>
      </c>
      <c r="B75" s="125">
        <f>5658.25</f>
        <v>5658.25</v>
      </c>
      <c r="C75" s="126"/>
      <c r="D75" s="127"/>
      <c r="E75" s="65">
        <f>43.99</f>
        <v>43.99</v>
      </c>
      <c r="F75" s="66"/>
      <c r="G75" s="67"/>
      <c r="H75" s="65">
        <f>0</f>
        <v>0</v>
      </c>
      <c r="I75" s="66"/>
      <c r="J75" s="67"/>
      <c r="K75" s="65">
        <f>0</f>
        <v>0</v>
      </c>
      <c r="L75" s="66"/>
      <c r="M75" s="67"/>
      <c r="N75" s="65">
        <f>32.99+17.97</f>
        <v>50.96</v>
      </c>
      <c r="O75" s="66"/>
      <c r="P75" s="67"/>
      <c r="Q75" s="60">
        <f t="shared" si="12"/>
        <v>94.95</v>
      </c>
      <c r="R75" s="61"/>
      <c r="S75" s="62"/>
      <c r="T75" s="43">
        <v>0</v>
      </c>
      <c r="U75" s="103">
        <f>5658.25+Q75</f>
        <v>5753.2</v>
      </c>
      <c r="V75" s="103"/>
    </row>
    <row r="76" spans="1:22" x14ac:dyDescent="0.25">
      <c r="A76" s="16" t="s">
        <v>103</v>
      </c>
      <c r="B76" s="125">
        <f>4370.45</f>
        <v>4370.45</v>
      </c>
      <c r="C76" s="126"/>
      <c r="D76" s="127"/>
      <c r="E76" s="65">
        <f>0</f>
        <v>0</v>
      </c>
      <c r="F76" s="66"/>
      <c r="G76" s="67"/>
      <c r="H76" s="65">
        <f>0</f>
        <v>0</v>
      </c>
      <c r="I76" s="66"/>
      <c r="J76" s="67"/>
      <c r="K76" s="65">
        <f>0</f>
        <v>0</v>
      </c>
      <c r="L76" s="66"/>
      <c r="M76" s="67"/>
      <c r="N76" s="65">
        <f>0</f>
        <v>0</v>
      </c>
      <c r="O76" s="66"/>
      <c r="P76" s="67"/>
      <c r="Q76" s="60">
        <f t="shared" si="12"/>
        <v>0</v>
      </c>
      <c r="R76" s="61"/>
      <c r="S76" s="62"/>
      <c r="T76" s="43">
        <v>0</v>
      </c>
      <c r="U76" s="103">
        <f>4370.45+Q76</f>
        <v>4370.45</v>
      </c>
      <c r="V76" s="103"/>
    </row>
    <row r="77" spans="1:22" x14ac:dyDescent="0.25">
      <c r="A77" s="16" t="s">
        <v>59</v>
      </c>
      <c r="B77" s="125">
        <v>507931.69</v>
      </c>
      <c r="C77" s="126"/>
      <c r="D77" s="127"/>
      <c r="E77" s="65">
        <f>2582.23+2850</f>
        <v>5432.23</v>
      </c>
      <c r="F77" s="66"/>
      <c r="G77" s="67"/>
      <c r="H77" s="65">
        <f>2590.28+800+967.74</f>
        <v>4358.0200000000004</v>
      </c>
      <c r="I77" s="66"/>
      <c r="J77" s="67"/>
      <c r="K77" s="65">
        <f>1800+3916.76</f>
        <v>5716.76</v>
      </c>
      <c r="L77" s="66"/>
      <c r="M77" s="67"/>
      <c r="N77" s="65">
        <f>3853.56+1800</f>
        <v>5653.5599999999995</v>
      </c>
      <c r="O77" s="66"/>
      <c r="P77" s="67"/>
      <c r="Q77" s="60">
        <f t="shared" si="12"/>
        <v>21160.57</v>
      </c>
      <c r="R77" s="61"/>
      <c r="S77" s="62"/>
      <c r="T77" s="43">
        <v>6.9171158284361794E-2</v>
      </c>
      <c r="U77" s="103">
        <f>507931.69+Q77</f>
        <v>529092.26</v>
      </c>
      <c r="V77" s="103"/>
    </row>
    <row r="78" spans="1:22" x14ac:dyDescent="0.25">
      <c r="A78" s="16" t="s">
        <v>60</v>
      </c>
      <c r="B78" s="125">
        <f>355074.2</f>
        <v>355074.2</v>
      </c>
      <c r="C78" s="126"/>
      <c r="D78" s="127"/>
      <c r="E78" s="65">
        <f>316.67+510.61+1001.47+50.07+508.48+50.07+180.84+400.59+609.62+515</f>
        <v>4143.42</v>
      </c>
      <c r="F78" s="66"/>
      <c r="G78" s="67"/>
      <c r="H78" s="65">
        <f>316.67+502.53+1001.47+50.07+15.02+50.07+400.59+704.9+788.92</f>
        <v>3830.2400000000002</v>
      </c>
      <c r="I78" s="66"/>
      <c r="J78" s="67"/>
      <c r="K78" s="65">
        <f>316.66+434.47+904.24+45.21+45.21+361.69+717.2+641.3</f>
        <v>3465.9800000000005</v>
      </c>
      <c r="L78" s="66"/>
      <c r="M78" s="67"/>
      <c r="N78" s="65">
        <f>361.69+434.47+904.24+45.21+45.21+717.2+641.3</f>
        <v>3149.3200000000006</v>
      </c>
      <c r="O78" s="66"/>
      <c r="P78" s="67"/>
      <c r="Q78" s="60">
        <f t="shared" si="12"/>
        <v>14588.96</v>
      </c>
      <c r="R78" s="61"/>
      <c r="S78" s="62"/>
      <c r="T78" s="43">
        <v>0.11634088613288307</v>
      </c>
      <c r="U78" s="103">
        <f>355074.2+Q78</f>
        <v>369663.16000000003</v>
      </c>
      <c r="V78" s="103"/>
    </row>
    <row r="79" spans="1:22" x14ac:dyDescent="0.25">
      <c r="A79" s="59" t="s">
        <v>52</v>
      </c>
      <c r="B79" s="125">
        <v>2031.58</v>
      </c>
      <c r="C79" s="126"/>
      <c r="D79" s="127"/>
      <c r="E79" s="78">
        <f>0</f>
        <v>0</v>
      </c>
      <c r="F79" s="79"/>
      <c r="G79" s="80"/>
      <c r="H79" s="78">
        <f>0</f>
        <v>0</v>
      </c>
      <c r="I79" s="79"/>
      <c r="J79" s="80"/>
      <c r="K79" s="78">
        <f>0</f>
        <v>0</v>
      </c>
      <c r="L79" s="79"/>
      <c r="M79" s="80"/>
      <c r="N79" s="78">
        <f>0</f>
        <v>0</v>
      </c>
      <c r="O79" s="79"/>
      <c r="P79" s="80"/>
      <c r="Q79" s="60">
        <f t="shared" si="12"/>
        <v>0</v>
      </c>
      <c r="R79" s="61"/>
      <c r="S79" s="62"/>
      <c r="T79" s="58">
        <v>0</v>
      </c>
      <c r="U79" s="107">
        <f>2031.58+Q79</f>
        <v>2031.58</v>
      </c>
      <c r="V79" s="107"/>
    </row>
    <row r="80" spans="1:22" x14ac:dyDescent="0.25">
      <c r="A80" s="59" t="s">
        <v>58</v>
      </c>
      <c r="B80" s="125">
        <f>2056.76</f>
        <v>2056.7600000000002</v>
      </c>
      <c r="C80" s="126"/>
      <c r="D80" s="127"/>
      <c r="E80" s="78">
        <f>0</f>
        <v>0</v>
      </c>
      <c r="F80" s="79"/>
      <c r="G80" s="80"/>
      <c r="H80" s="78">
        <f>0</f>
        <v>0</v>
      </c>
      <c r="I80" s="79"/>
      <c r="J80" s="80"/>
      <c r="K80" s="78">
        <f>0</f>
        <v>0</v>
      </c>
      <c r="L80" s="79"/>
      <c r="M80" s="80"/>
      <c r="N80" s="78">
        <f>0</f>
        <v>0</v>
      </c>
      <c r="O80" s="79"/>
      <c r="P80" s="80"/>
      <c r="Q80" s="60">
        <f t="shared" si="12"/>
        <v>0</v>
      </c>
      <c r="R80" s="61"/>
      <c r="S80" s="62"/>
      <c r="T80" s="58">
        <v>0</v>
      </c>
      <c r="U80" s="107">
        <f>2056.76+Q80</f>
        <v>2056.7600000000002</v>
      </c>
      <c r="V80" s="107"/>
    </row>
    <row r="81" spans="1:22" x14ac:dyDescent="0.25">
      <c r="A81" s="12" t="s">
        <v>61</v>
      </c>
      <c r="B81" s="75">
        <f>SUM(B82:D85)</f>
        <v>29605.649999999998</v>
      </c>
      <c r="C81" s="76"/>
      <c r="D81" s="77"/>
      <c r="E81" s="75">
        <f>SUM(E82:G85)</f>
        <v>35.700000000000003</v>
      </c>
      <c r="F81" s="76"/>
      <c r="G81" s="77"/>
      <c r="H81" s="75">
        <f>SUM(H82:J85)</f>
        <v>1000</v>
      </c>
      <c r="I81" s="76"/>
      <c r="J81" s="77"/>
      <c r="K81" s="75">
        <f>SUM(K82:M85)</f>
        <v>0</v>
      </c>
      <c r="L81" s="76"/>
      <c r="M81" s="77"/>
      <c r="N81" s="75">
        <f>SUM(N82:P85)</f>
        <v>71.45</v>
      </c>
      <c r="O81" s="76"/>
      <c r="P81" s="77"/>
      <c r="Q81" s="75">
        <f>SUM(Q82:S85)</f>
        <v>1107.1500000000001</v>
      </c>
      <c r="R81" s="76"/>
      <c r="S81" s="77"/>
      <c r="T81" s="48">
        <v>6.2673735280888935E-4</v>
      </c>
      <c r="U81" s="105">
        <f>SUM(U82:V85)</f>
        <v>30712.799999999999</v>
      </c>
      <c r="V81" s="106"/>
    </row>
    <row r="82" spans="1:22" x14ac:dyDescent="0.25">
      <c r="A82" s="13" t="s">
        <v>62</v>
      </c>
      <c r="B82" s="125">
        <f>8206.26</f>
        <v>8206.26</v>
      </c>
      <c r="C82" s="126"/>
      <c r="D82" s="127"/>
      <c r="E82" s="65">
        <f>0</f>
        <v>0</v>
      </c>
      <c r="F82" s="66"/>
      <c r="G82" s="67"/>
      <c r="H82" s="65">
        <f>1000</f>
        <v>1000</v>
      </c>
      <c r="I82" s="66"/>
      <c r="J82" s="67"/>
      <c r="K82" s="65">
        <f>0</f>
        <v>0</v>
      </c>
      <c r="L82" s="66"/>
      <c r="M82" s="67"/>
      <c r="N82" s="65">
        <f>0</f>
        <v>0</v>
      </c>
      <c r="O82" s="66"/>
      <c r="P82" s="67"/>
      <c r="Q82" s="60">
        <f>0+E82+H82+K82+N82</f>
        <v>1000</v>
      </c>
      <c r="R82" s="61"/>
      <c r="S82" s="62"/>
      <c r="T82" s="43">
        <v>0</v>
      </c>
      <c r="U82" s="103">
        <f>8206.26+Q82</f>
        <v>9206.26</v>
      </c>
      <c r="V82" s="103"/>
    </row>
    <row r="83" spans="1:22" x14ac:dyDescent="0.25">
      <c r="A83" s="13" t="s">
        <v>63</v>
      </c>
      <c r="B83" s="125">
        <f>2582.95</f>
        <v>2582.9499999999998</v>
      </c>
      <c r="C83" s="126"/>
      <c r="D83" s="127"/>
      <c r="E83" s="65">
        <f>0</f>
        <v>0</v>
      </c>
      <c r="F83" s="66"/>
      <c r="G83" s="67"/>
      <c r="H83" s="65">
        <f>0</f>
        <v>0</v>
      </c>
      <c r="I83" s="66"/>
      <c r="J83" s="67"/>
      <c r="K83" s="65">
        <f>0</f>
        <v>0</v>
      </c>
      <c r="L83" s="66"/>
      <c r="M83" s="67"/>
      <c r="N83" s="65">
        <f>0</f>
        <v>0</v>
      </c>
      <c r="O83" s="66"/>
      <c r="P83" s="67"/>
      <c r="Q83" s="60">
        <f t="shared" ref="Q83:Q85" si="13">0+E83+H83+K83+N83</f>
        <v>0</v>
      </c>
      <c r="R83" s="61"/>
      <c r="S83" s="62"/>
      <c r="T83" s="43">
        <v>2.0830882641257875E-3</v>
      </c>
      <c r="U83" s="103">
        <f>2582.95+Q83</f>
        <v>2582.9499999999998</v>
      </c>
      <c r="V83" s="103"/>
    </row>
    <row r="84" spans="1:22" x14ac:dyDescent="0.25">
      <c r="A84" s="13" t="s">
        <v>64</v>
      </c>
      <c r="B84" s="125">
        <f>17511.46</f>
        <v>17511.46</v>
      </c>
      <c r="C84" s="126"/>
      <c r="D84" s="127"/>
      <c r="E84" s="65">
        <f>35.7</f>
        <v>35.700000000000003</v>
      </c>
      <c r="F84" s="66"/>
      <c r="G84" s="67"/>
      <c r="H84" s="65">
        <f>0</f>
        <v>0</v>
      </c>
      <c r="I84" s="66"/>
      <c r="J84" s="67"/>
      <c r="K84" s="65">
        <f>0</f>
        <v>0</v>
      </c>
      <c r="L84" s="66"/>
      <c r="M84" s="67"/>
      <c r="N84" s="65">
        <f>71.45</f>
        <v>71.45</v>
      </c>
      <c r="O84" s="66"/>
      <c r="P84" s="67"/>
      <c r="Q84" s="60">
        <f t="shared" si="13"/>
        <v>107.15</v>
      </c>
      <c r="R84" s="61"/>
      <c r="S84" s="62"/>
      <c r="T84" s="43">
        <v>0</v>
      </c>
      <c r="U84" s="103">
        <f>17511.46+Q84</f>
        <v>17618.61</v>
      </c>
      <c r="V84" s="103"/>
    </row>
    <row r="85" spans="1:22" x14ac:dyDescent="0.25">
      <c r="A85" s="13" t="s">
        <v>104</v>
      </c>
      <c r="B85" s="125">
        <f>1304.98</f>
        <v>1304.98</v>
      </c>
      <c r="C85" s="126"/>
      <c r="D85" s="127"/>
      <c r="E85" s="65">
        <f>0</f>
        <v>0</v>
      </c>
      <c r="F85" s="66"/>
      <c r="G85" s="67"/>
      <c r="H85" s="65">
        <f>0</f>
        <v>0</v>
      </c>
      <c r="I85" s="66"/>
      <c r="J85" s="67"/>
      <c r="K85" s="65">
        <f>0</f>
        <v>0</v>
      </c>
      <c r="L85" s="66"/>
      <c r="M85" s="67"/>
      <c r="N85" s="65">
        <f>0</f>
        <v>0</v>
      </c>
      <c r="O85" s="66"/>
      <c r="P85" s="67"/>
      <c r="Q85" s="60">
        <f t="shared" si="13"/>
        <v>0</v>
      </c>
      <c r="R85" s="61"/>
      <c r="S85" s="62"/>
      <c r="T85" s="43">
        <v>0</v>
      </c>
      <c r="U85" s="103">
        <f>1304.98+Q85</f>
        <v>1304.98</v>
      </c>
      <c r="V85" s="103"/>
    </row>
    <row r="86" spans="1:22" x14ac:dyDescent="0.25">
      <c r="A86" s="12" t="s">
        <v>65</v>
      </c>
      <c r="B86" s="75">
        <f>SUM(B87:D90)</f>
        <v>467824.16</v>
      </c>
      <c r="C86" s="76"/>
      <c r="D86" s="77"/>
      <c r="E86" s="75">
        <f>SUM(E87:G90)</f>
        <v>0</v>
      </c>
      <c r="F86" s="76"/>
      <c r="G86" s="77"/>
      <c r="H86" s="75">
        <f>SUM(H87:J90)</f>
        <v>60</v>
      </c>
      <c r="I86" s="76"/>
      <c r="J86" s="77"/>
      <c r="K86" s="75">
        <f>SUM(K87:M90)</f>
        <v>0</v>
      </c>
      <c r="L86" s="76"/>
      <c r="M86" s="77"/>
      <c r="N86" s="75">
        <f>SUM(N87:P90)</f>
        <v>22339.62</v>
      </c>
      <c r="O86" s="76"/>
      <c r="P86" s="77"/>
      <c r="Q86" s="75">
        <f>SUM(Q87:S90)</f>
        <v>22399.62</v>
      </c>
      <c r="R86" s="76"/>
      <c r="S86" s="77"/>
      <c r="T86" s="48">
        <v>0</v>
      </c>
      <c r="U86" s="105">
        <f>SUM(U87:V90)</f>
        <v>490223.77999999997</v>
      </c>
      <c r="V86" s="106"/>
    </row>
    <row r="87" spans="1:22" x14ac:dyDescent="0.25">
      <c r="A87" s="13" t="s">
        <v>66</v>
      </c>
      <c r="B87" s="125">
        <f>269861.62</f>
        <v>269861.62</v>
      </c>
      <c r="C87" s="126"/>
      <c r="D87" s="127"/>
      <c r="E87" s="65">
        <f>0</f>
        <v>0</v>
      </c>
      <c r="F87" s="66"/>
      <c r="G87" s="67"/>
      <c r="H87" s="65">
        <f>0</f>
        <v>0</v>
      </c>
      <c r="I87" s="66"/>
      <c r="J87" s="67"/>
      <c r="K87" s="65">
        <f>0</f>
        <v>0</v>
      </c>
      <c r="L87" s="66"/>
      <c r="M87" s="67"/>
      <c r="N87" s="65">
        <f>16402.5</f>
        <v>16402.5</v>
      </c>
      <c r="O87" s="66"/>
      <c r="P87" s="67"/>
      <c r="Q87" s="60">
        <f>0+E87+H87+K87+N87</f>
        <v>16402.5</v>
      </c>
      <c r="R87" s="61"/>
      <c r="S87" s="62"/>
      <c r="T87" s="43">
        <v>0</v>
      </c>
      <c r="U87" s="103">
        <f>269861.62+Q87</f>
        <v>286264.12</v>
      </c>
      <c r="V87" s="103"/>
    </row>
    <row r="88" spans="1:22" x14ac:dyDescent="0.25">
      <c r="A88" s="13" t="s">
        <v>92</v>
      </c>
      <c r="B88" s="125">
        <f>9871.05</f>
        <v>9871.0499999999993</v>
      </c>
      <c r="C88" s="126"/>
      <c r="D88" s="127"/>
      <c r="E88" s="65">
        <f>0</f>
        <v>0</v>
      </c>
      <c r="F88" s="66"/>
      <c r="G88" s="67"/>
      <c r="H88" s="65">
        <f>0</f>
        <v>0</v>
      </c>
      <c r="I88" s="66"/>
      <c r="J88" s="67"/>
      <c r="K88" s="65">
        <f>0</f>
        <v>0</v>
      </c>
      <c r="L88" s="66"/>
      <c r="M88" s="67"/>
      <c r="N88" s="65">
        <f>5937.12</f>
        <v>5937.12</v>
      </c>
      <c r="O88" s="66"/>
      <c r="P88" s="67"/>
      <c r="Q88" s="60">
        <f t="shared" ref="Q88:Q90" si="14">0+E88+H88+K88+N88</f>
        <v>5937.12</v>
      </c>
      <c r="R88" s="61"/>
      <c r="S88" s="62"/>
      <c r="T88" s="43">
        <v>0</v>
      </c>
      <c r="U88" s="103">
        <f>9871.05+Q88</f>
        <v>15808.169999999998</v>
      </c>
      <c r="V88" s="103"/>
    </row>
    <row r="89" spans="1:22" x14ac:dyDescent="0.25">
      <c r="A89" s="13" t="s">
        <v>67</v>
      </c>
      <c r="B89" s="125">
        <f>183145.19</f>
        <v>183145.19</v>
      </c>
      <c r="C89" s="126"/>
      <c r="D89" s="127"/>
      <c r="E89" s="65">
        <f>0</f>
        <v>0</v>
      </c>
      <c r="F89" s="66"/>
      <c r="G89" s="67"/>
      <c r="H89" s="65">
        <f>30+30</f>
        <v>60</v>
      </c>
      <c r="I89" s="66"/>
      <c r="J89" s="67"/>
      <c r="K89" s="65">
        <f>0</f>
        <v>0</v>
      </c>
      <c r="L89" s="66"/>
      <c r="M89" s="67"/>
      <c r="N89" s="65">
        <f>0</f>
        <v>0</v>
      </c>
      <c r="O89" s="66"/>
      <c r="P89" s="67"/>
      <c r="Q89" s="60">
        <f t="shared" si="14"/>
        <v>60</v>
      </c>
      <c r="R89" s="61"/>
      <c r="S89" s="62"/>
      <c r="T89" s="43">
        <v>0</v>
      </c>
      <c r="U89" s="103">
        <f>183145.19+Q89</f>
        <v>183205.19</v>
      </c>
      <c r="V89" s="103"/>
    </row>
    <row r="90" spans="1:22" x14ac:dyDescent="0.25">
      <c r="A90" s="13" t="s">
        <v>68</v>
      </c>
      <c r="B90" s="125">
        <v>4946.3</v>
      </c>
      <c r="C90" s="126"/>
      <c r="D90" s="127"/>
      <c r="E90" s="65">
        <f>0</f>
        <v>0</v>
      </c>
      <c r="F90" s="66"/>
      <c r="G90" s="67"/>
      <c r="H90" s="65">
        <f>0</f>
        <v>0</v>
      </c>
      <c r="I90" s="66"/>
      <c r="J90" s="67"/>
      <c r="K90" s="65">
        <f>0</f>
        <v>0</v>
      </c>
      <c r="L90" s="66"/>
      <c r="M90" s="67"/>
      <c r="N90" s="65">
        <f>0</f>
        <v>0</v>
      </c>
      <c r="O90" s="66"/>
      <c r="P90" s="67"/>
      <c r="Q90" s="60">
        <f t="shared" si="14"/>
        <v>0</v>
      </c>
      <c r="R90" s="61"/>
      <c r="S90" s="62"/>
      <c r="T90" s="43">
        <v>0</v>
      </c>
      <c r="U90" s="103">
        <f>4946.3+Q90</f>
        <v>4946.3</v>
      </c>
      <c r="V90" s="103"/>
    </row>
    <row r="91" spans="1:22" x14ac:dyDescent="0.25">
      <c r="A91" s="12" t="s">
        <v>69</v>
      </c>
      <c r="B91" s="75">
        <f>SUM(B92:D98)</f>
        <v>421450.09</v>
      </c>
      <c r="C91" s="76"/>
      <c r="D91" s="77"/>
      <c r="E91" s="75">
        <f>SUM(E92:G98)</f>
        <v>0</v>
      </c>
      <c r="F91" s="76"/>
      <c r="G91" s="77"/>
      <c r="H91" s="75">
        <f>SUM(H92:J98)</f>
        <v>0</v>
      </c>
      <c r="I91" s="76"/>
      <c r="J91" s="77"/>
      <c r="K91" s="75">
        <f>SUM(K92:M98)</f>
        <v>20605.490000000002</v>
      </c>
      <c r="L91" s="76"/>
      <c r="M91" s="77"/>
      <c r="N91" s="75">
        <f>SUM(N92:P98)</f>
        <v>2309.17</v>
      </c>
      <c r="O91" s="76"/>
      <c r="P91" s="77"/>
      <c r="Q91" s="75">
        <f>SUM(Q92:S98)</f>
        <v>22914.660000000003</v>
      </c>
      <c r="R91" s="76"/>
      <c r="S91" s="77"/>
      <c r="T91" s="48">
        <v>3.3165466034522167E-3</v>
      </c>
      <c r="U91" s="105">
        <f>SUM(U92:V98)</f>
        <v>444364.75000000006</v>
      </c>
      <c r="V91" s="106"/>
    </row>
    <row r="92" spans="1:22" x14ac:dyDescent="0.25">
      <c r="A92" s="16" t="s">
        <v>70</v>
      </c>
      <c r="B92" s="125">
        <f>151055.04</f>
        <v>151055.04000000001</v>
      </c>
      <c r="C92" s="126"/>
      <c r="D92" s="127"/>
      <c r="E92" s="65">
        <f>0</f>
        <v>0</v>
      </c>
      <c r="F92" s="66"/>
      <c r="G92" s="67"/>
      <c r="H92" s="65">
        <f>0</f>
        <v>0</v>
      </c>
      <c r="I92" s="66"/>
      <c r="J92" s="67"/>
      <c r="K92" s="65">
        <f>1920.79+1580.69</f>
        <v>3501.48</v>
      </c>
      <c r="L92" s="66"/>
      <c r="M92" s="67"/>
      <c r="N92" s="65">
        <f>0</f>
        <v>0</v>
      </c>
      <c r="O92" s="66"/>
      <c r="P92" s="67"/>
      <c r="Q92" s="60">
        <f>0+E92+H92+K92+N92</f>
        <v>3501.48</v>
      </c>
      <c r="R92" s="61"/>
      <c r="S92" s="62"/>
      <c r="T92" s="43">
        <v>0</v>
      </c>
      <c r="U92" s="103">
        <f>151055.04+Q92</f>
        <v>154556.52000000002</v>
      </c>
      <c r="V92" s="103"/>
    </row>
    <row r="93" spans="1:22" x14ac:dyDescent="0.25">
      <c r="A93" s="16" t="s">
        <v>71</v>
      </c>
      <c r="B93" s="125">
        <f>37857.68</f>
        <v>37857.68</v>
      </c>
      <c r="C93" s="126"/>
      <c r="D93" s="127"/>
      <c r="E93" s="65">
        <f>0</f>
        <v>0</v>
      </c>
      <c r="F93" s="66"/>
      <c r="G93" s="67"/>
      <c r="H93" s="65">
        <f>0</f>
        <v>0</v>
      </c>
      <c r="I93" s="66"/>
      <c r="J93" s="67"/>
      <c r="K93" s="65">
        <f>1628.66</f>
        <v>1628.66</v>
      </c>
      <c r="L93" s="66"/>
      <c r="M93" s="67"/>
      <c r="N93" s="65">
        <f>2232.3</f>
        <v>2232.3000000000002</v>
      </c>
      <c r="O93" s="66"/>
      <c r="P93" s="67"/>
      <c r="Q93" s="60">
        <f t="shared" ref="Q93:Q98" si="15">0+E93+H93+K93+N93</f>
        <v>3860.96</v>
      </c>
      <c r="R93" s="61"/>
      <c r="S93" s="62"/>
      <c r="T93" s="43">
        <v>0</v>
      </c>
      <c r="U93" s="101">
        <f>37857.68+Q93</f>
        <v>41718.639999999999</v>
      </c>
      <c r="V93" s="102"/>
    </row>
    <row r="94" spans="1:22" x14ac:dyDescent="0.25">
      <c r="A94" s="16" t="s">
        <v>72</v>
      </c>
      <c r="B94" s="125">
        <f>65989.94</f>
        <v>65989.94</v>
      </c>
      <c r="C94" s="126"/>
      <c r="D94" s="127"/>
      <c r="E94" s="65">
        <f>0</f>
        <v>0</v>
      </c>
      <c r="F94" s="66"/>
      <c r="G94" s="67"/>
      <c r="H94" s="65">
        <f>0</f>
        <v>0</v>
      </c>
      <c r="I94" s="66"/>
      <c r="J94" s="67"/>
      <c r="K94" s="65">
        <f>2987.95+3574.95+191.02</f>
        <v>6753.92</v>
      </c>
      <c r="L94" s="66"/>
      <c r="M94" s="67"/>
      <c r="N94" s="65">
        <f>0</f>
        <v>0</v>
      </c>
      <c r="O94" s="66"/>
      <c r="P94" s="67"/>
      <c r="Q94" s="60">
        <f t="shared" si="15"/>
        <v>6753.92</v>
      </c>
      <c r="R94" s="61"/>
      <c r="S94" s="62"/>
      <c r="T94" s="43">
        <v>0</v>
      </c>
      <c r="U94" s="101">
        <f>65989.94+Q94</f>
        <v>72743.86</v>
      </c>
      <c r="V94" s="102"/>
    </row>
    <row r="95" spans="1:22" x14ac:dyDescent="0.25">
      <c r="A95" s="16" t="s">
        <v>73</v>
      </c>
      <c r="B95" s="125">
        <f>37264.31</f>
        <v>37264.31</v>
      </c>
      <c r="C95" s="126"/>
      <c r="D95" s="127"/>
      <c r="E95" s="65">
        <f>0</f>
        <v>0</v>
      </c>
      <c r="F95" s="66"/>
      <c r="G95" s="67"/>
      <c r="H95" s="65">
        <f>0</f>
        <v>0</v>
      </c>
      <c r="I95" s="66"/>
      <c r="J95" s="67"/>
      <c r="K95" s="65">
        <f>3549.09+2829.23</f>
        <v>6378.32</v>
      </c>
      <c r="L95" s="66"/>
      <c r="M95" s="67"/>
      <c r="N95" s="65">
        <f>0</f>
        <v>0</v>
      </c>
      <c r="O95" s="66"/>
      <c r="P95" s="67"/>
      <c r="Q95" s="60">
        <f t="shared" si="15"/>
        <v>6378.32</v>
      </c>
      <c r="R95" s="61"/>
      <c r="S95" s="62"/>
      <c r="T95" s="43">
        <v>0</v>
      </c>
      <c r="U95" s="101">
        <f>37264.31+Q95</f>
        <v>43642.63</v>
      </c>
      <c r="V95" s="102"/>
    </row>
    <row r="96" spans="1:22" x14ac:dyDescent="0.25">
      <c r="A96" s="16" t="s">
        <v>74</v>
      </c>
      <c r="B96" s="125">
        <f>32633.28</f>
        <v>32633.279999999999</v>
      </c>
      <c r="C96" s="126"/>
      <c r="D96" s="127"/>
      <c r="E96" s="65">
        <f>0</f>
        <v>0</v>
      </c>
      <c r="F96" s="66"/>
      <c r="G96" s="67"/>
      <c r="H96" s="65">
        <f>0</f>
        <v>0</v>
      </c>
      <c r="I96" s="66"/>
      <c r="J96" s="67"/>
      <c r="K96" s="65">
        <f>501.41+1245.58</f>
        <v>1746.99</v>
      </c>
      <c r="L96" s="66"/>
      <c r="M96" s="67"/>
      <c r="N96" s="65">
        <f>0</f>
        <v>0</v>
      </c>
      <c r="O96" s="66"/>
      <c r="P96" s="67"/>
      <c r="Q96" s="60">
        <f t="shared" si="15"/>
        <v>1746.99</v>
      </c>
      <c r="R96" s="61"/>
      <c r="S96" s="62"/>
      <c r="T96" s="43">
        <v>3.3165466034522167E-3</v>
      </c>
      <c r="U96" s="101">
        <f>32633.28+Q96</f>
        <v>34380.269999999997</v>
      </c>
      <c r="V96" s="102"/>
    </row>
    <row r="97" spans="1:22" x14ac:dyDescent="0.25">
      <c r="A97" s="16" t="s">
        <v>75</v>
      </c>
      <c r="B97" s="125">
        <f>49285.39</f>
        <v>49285.39</v>
      </c>
      <c r="C97" s="126"/>
      <c r="D97" s="127"/>
      <c r="E97" s="65">
        <f>0</f>
        <v>0</v>
      </c>
      <c r="F97" s="66"/>
      <c r="G97" s="67"/>
      <c r="H97" s="65">
        <f>0</f>
        <v>0</v>
      </c>
      <c r="I97" s="66"/>
      <c r="J97" s="67"/>
      <c r="K97" s="65">
        <f>596.12</f>
        <v>596.12</v>
      </c>
      <c r="L97" s="66"/>
      <c r="M97" s="67"/>
      <c r="N97" s="65">
        <f>76.87</f>
        <v>76.87</v>
      </c>
      <c r="O97" s="66"/>
      <c r="P97" s="67"/>
      <c r="Q97" s="60">
        <f t="shared" si="15"/>
        <v>672.99</v>
      </c>
      <c r="R97" s="61"/>
      <c r="S97" s="62"/>
      <c r="T97" s="43">
        <v>0</v>
      </c>
      <c r="U97" s="101">
        <f>49285.39+Q97</f>
        <v>49958.38</v>
      </c>
      <c r="V97" s="102"/>
    </row>
    <row r="98" spans="1:22" x14ac:dyDescent="0.25">
      <c r="A98" s="16" t="s">
        <v>76</v>
      </c>
      <c r="B98" s="125">
        <f>47364.45</f>
        <v>47364.45</v>
      </c>
      <c r="C98" s="126"/>
      <c r="D98" s="127"/>
      <c r="E98" s="65">
        <f>0</f>
        <v>0</v>
      </c>
      <c r="F98" s="66"/>
      <c r="G98" s="67"/>
      <c r="H98" s="65">
        <f>0</f>
        <v>0</v>
      </c>
      <c r="I98" s="66"/>
      <c r="J98" s="67"/>
      <c r="K98" s="65">
        <f>0</f>
        <v>0</v>
      </c>
      <c r="L98" s="66"/>
      <c r="M98" s="67"/>
      <c r="N98" s="65">
        <f>0</f>
        <v>0</v>
      </c>
      <c r="O98" s="66"/>
      <c r="P98" s="67"/>
      <c r="Q98" s="60">
        <f t="shared" si="15"/>
        <v>0</v>
      </c>
      <c r="R98" s="61"/>
      <c r="S98" s="62"/>
      <c r="T98" s="43">
        <v>0</v>
      </c>
      <c r="U98" s="101">
        <f>47364.45+Q98</f>
        <v>47364.45</v>
      </c>
      <c r="V98" s="102"/>
    </row>
    <row r="99" spans="1:22" x14ac:dyDescent="0.25">
      <c r="A99" s="17" t="s">
        <v>77</v>
      </c>
      <c r="B99" s="141">
        <f>B33+B42+B46+B50+B62+B67+B81+B86+B91</f>
        <v>5831741.2000000002</v>
      </c>
      <c r="C99" s="142"/>
      <c r="D99" s="143"/>
      <c r="E99" s="68">
        <f>E33+E42+E46+E50+E62+E67+E81+E86+E91</f>
        <v>27808.55</v>
      </c>
      <c r="F99" s="69"/>
      <c r="G99" s="70"/>
      <c r="H99" s="68">
        <f>H33+H42+H46+H50+H62+H67+H81+H86+H91</f>
        <v>47258.81</v>
      </c>
      <c r="I99" s="69"/>
      <c r="J99" s="70"/>
      <c r="K99" s="68">
        <f>K33+K42+K46+K50+K62+K67+K81+K86+K91</f>
        <v>48967.31</v>
      </c>
      <c r="L99" s="69"/>
      <c r="M99" s="70"/>
      <c r="N99" s="68">
        <f>N33+N42+N46+N50+N62+N67+N81+N86+N91</f>
        <v>55689.08</v>
      </c>
      <c r="O99" s="69"/>
      <c r="P99" s="70"/>
      <c r="Q99" s="68">
        <f>Q91+Q86+Q81+Q67+Q62+Q50+Q46+Q42+Q33</f>
        <v>179723.74999999997</v>
      </c>
      <c r="R99" s="69"/>
      <c r="S99" s="70"/>
      <c r="T99" s="47">
        <v>1</v>
      </c>
      <c r="U99" s="113">
        <f>U33+U42+U46+U50+U62+U67+U81+U86+U91</f>
        <v>6011464.9499999993</v>
      </c>
      <c r="V99" s="114"/>
    </row>
    <row r="100" spans="1:22" x14ac:dyDescent="0.25">
      <c r="A100" s="18" t="s">
        <v>78</v>
      </c>
      <c r="B100" s="144">
        <v>4776783.2000000011</v>
      </c>
      <c r="C100" s="145"/>
      <c r="D100" s="146"/>
      <c r="E100" s="71">
        <f>G27-E99</f>
        <v>24259.26</v>
      </c>
      <c r="F100" s="72"/>
      <c r="G100" s="73"/>
      <c r="H100" s="71">
        <f>J27-H99</f>
        <v>202954.91999999998</v>
      </c>
      <c r="I100" s="72"/>
      <c r="J100" s="73"/>
      <c r="K100" s="71">
        <f>M27-K99</f>
        <v>7477.4900000000052</v>
      </c>
      <c r="L100" s="72"/>
      <c r="M100" s="73"/>
      <c r="N100" s="71">
        <f>P27-N99</f>
        <v>-4981.1500000000015</v>
      </c>
      <c r="O100" s="72"/>
      <c r="P100" s="73"/>
      <c r="Q100" s="122">
        <v>8160.9600000000064</v>
      </c>
      <c r="R100" s="122"/>
      <c r="S100" s="122"/>
      <c r="T100" s="115">
        <f>V27-U99</f>
        <v>4663302.8500000015</v>
      </c>
      <c r="U100" s="116"/>
      <c r="V100" s="116"/>
    </row>
    <row r="101" spans="1:22" x14ac:dyDescent="0.25">
      <c r="A101" s="19" t="s">
        <v>98</v>
      </c>
      <c r="B101" s="147">
        <f>D27-B99</f>
        <v>4433592.330000001</v>
      </c>
      <c r="C101" s="147"/>
      <c r="D101" s="147"/>
    </row>
    <row r="104" spans="1:22" x14ac:dyDescent="0.25">
      <c r="A104" s="20" t="s">
        <v>79</v>
      </c>
      <c r="B104" s="74" t="s">
        <v>97</v>
      </c>
      <c r="C104" s="74"/>
      <c r="D104" s="74"/>
      <c r="E104" s="74" t="s">
        <v>1</v>
      </c>
      <c r="F104" s="74"/>
      <c r="G104" s="74"/>
      <c r="H104" s="74" t="s">
        <v>87</v>
      </c>
      <c r="I104" s="74"/>
      <c r="J104" s="74"/>
      <c r="K104" s="74" t="s">
        <v>88</v>
      </c>
      <c r="L104" s="74"/>
      <c r="M104" s="74"/>
      <c r="N104" s="74" t="s">
        <v>89</v>
      </c>
      <c r="O104" s="74"/>
      <c r="P104" s="74"/>
      <c r="R104" s="50"/>
    </row>
    <row r="105" spans="1:22" x14ac:dyDescent="0.25">
      <c r="A105" s="21" t="s">
        <v>80</v>
      </c>
      <c r="B105" s="63">
        <f>49517.87</f>
        <v>49517.87</v>
      </c>
      <c r="C105" s="63"/>
      <c r="D105" s="63"/>
      <c r="E105" s="63">
        <f>B105-26602.55-31.62-41.42+357.02</f>
        <v>23199.300000000007</v>
      </c>
      <c r="F105" s="63"/>
      <c r="G105" s="63"/>
      <c r="H105" s="63">
        <f>E105-23119.82-90.67+73.51</f>
        <v>62.320000000006843</v>
      </c>
      <c r="I105" s="63"/>
      <c r="J105" s="63"/>
      <c r="K105" s="63">
        <f>H105+80147.63+675.95-34699.41-40.79-66.55-62.32</f>
        <v>46016.83</v>
      </c>
      <c r="L105" s="63"/>
      <c r="M105" s="63"/>
      <c r="N105" s="63">
        <f>K105-36714.98-98.94+124.8</f>
        <v>9327.7099999999973</v>
      </c>
      <c r="O105" s="63"/>
      <c r="P105" s="63"/>
      <c r="S105" s="52"/>
    </row>
    <row r="106" spans="1:22" x14ac:dyDescent="0.25">
      <c r="A106" s="21" t="s">
        <v>81</v>
      </c>
      <c r="B106" s="63">
        <f>3324670.51</f>
        <v>3324670.51</v>
      </c>
      <c r="C106" s="63"/>
      <c r="D106" s="63"/>
      <c r="E106" s="63">
        <f>B106+38391.42</f>
        <v>3363061.9299999997</v>
      </c>
      <c r="F106" s="63"/>
      <c r="G106" s="63"/>
      <c r="H106" s="63">
        <f>E106+33867.27</f>
        <v>3396929.1999999997</v>
      </c>
      <c r="I106" s="63"/>
      <c r="J106" s="63"/>
      <c r="K106" s="63">
        <f>H106+34163.33+5678.1</f>
        <v>3436770.63</v>
      </c>
      <c r="L106" s="63"/>
      <c r="M106" s="63"/>
      <c r="N106" s="63">
        <f>K106+37305.42</f>
        <v>3474076.05</v>
      </c>
      <c r="O106" s="63"/>
      <c r="P106" s="63"/>
    </row>
    <row r="107" spans="1:22" x14ac:dyDescent="0.25">
      <c r="A107" s="21" t="s">
        <v>95</v>
      </c>
      <c r="B107" s="150">
        <f>1059050.31</f>
        <v>1059050.31</v>
      </c>
      <c r="C107" s="151"/>
      <c r="D107" s="152"/>
      <c r="E107" s="150">
        <f>B107+12259.37</f>
        <v>1071309.6800000002</v>
      </c>
      <c r="F107" s="151"/>
      <c r="G107" s="152"/>
      <c r="H107" s="150">
        <f>E107-50000-474.89+10702.95</f>
        <v>1031537.7400000001</v>
      </c>
      <c r="I107" s="151"/>
      <c r="J107" s="152"/>
      <c r="K107" s="150">
        <f>H107+11864.03+141888.08</f>
        <v>1185289.8500000001</v>
      </c>
      <c r="L107" s="151"/>
      <c r="M107" s="152"/>
      <c r="N107" s="150">
        <f>K107-40000-504.3+12687.71</f>
        <v>1157473.26</v>
      </c>
      <c r="O107" s="151"/>
      <c r="P107" s="152"/>
    </row>
    <row r="108" spans="1:22" x14ac:dyDescent="0.25">
      <c r="A108" s="21" t="s">
        <v>96</v>
      </c>
      <c r="B108" s="63">
        <f>0</f>
        <v>0</v>
      </c>
      <c r="C108" s="63"/>
      <c r="D108" s="63"/>
      <c r="E108" s="63">
        <f>0</f>
        <v>0</v>
      </c>
      <c r="F108" s="63"/>
      <c r="G108" s="63"/>
      <c r="H108" s="63">
        <f>0</f>
        <v>0</v>
      </c>
      <c r="I108" s="63"/>
      <c r="J108" s="63"/>
      <c r="K108" s="63">
        <f>0</f>
        <v>0</v>
      </c>
      <c r="L108" s="63"/>
      <c r="M108" s="63"/>
      <c r="N108" s="63">
        <f>0</f>
        <v>0</v>
      </c>
      <c r="O108" s="63"/>
      <c r="P108" s="63"/>
    </row>
    <row r="109" spans="1:22" x14ac:dyDescent="0.25">
      <c r="A109" s="22" t="s">
        <v>82</v>
      </c>
      <c r="B109" s="64">
        <f>SUM(B105:D108)</f>
        <v>4433238.6899999995</v>
      </c>
      <c r="C109" s="64"/>
      <c r="D109" s="64"/>
      <c r="E109" s="64">
        <f>SUM(E105:G108)</f>
        <v>4457570.91</v>
      </c>
      <c r="F109" s="64"/>
      <c r="G109" s="64"/>
      <c r="H109" s="64">
        <f>SUM(H105:J108)</f>
        <v>4428529.26</v>
      </c>
      <c r="I109" s="64"/>
      <c r="J109" s="64"/>
      <c r="K109" s="64">
        <f>SUM(K105:M108)</f>
        <v>4668077.3100000005</v>
      </c>
      <c r="L109" s="64"/>
      <c r="M109" s="64"/>
      <c r="N109" s="64">
        <f>SUM(N105:P108)</f>
        <v>4640877.0199999996</v>
      </c>
      <c r="O109" s="64"/>
      <c r="P109" s="64"/>
      <c r="V109" s="51"/>
    </row>
    <row r="110" spans="1:22" x14ac:dyDescent="0.25">
      <c r="A110" s="23" t="s">
        <v>83</v>
      </c>
    </row>
    <row r="111" spans="1:22" x14ac:dyDescent="0.25">
      <c r="A111" s="24" t="s">
        <v>84</v>
      </c>
    </row>
    <row r="112" spans="1:22" x14ac:dyDescent="0.25">
      <c r="A112" s="24" t="s">
        <v>85</v>
      </c>
    </row>
    <row r="113" spans="1:1" x14ac:dyDescent="0.25">
      <c r="A113" s="25" t="s">
        <v>86</v>
      </c>
    </row>
  </sheetData>
  <sheetProtection algorithmName="SHA-512" hashValue="KvDq/pA/OjmRSYMUXuioAEPeBV/7Ikq+GAbY376diXHwP+N0ydIX6ohUaJWSrqQfuMSeTaOLxetGJKhbD+ue6Q==" saltValue="1ANG/zkebtqH9iRTk39v8Q==" spinCount="100000" sheet="1" objects="1" scenarios="1"/>
  <mergeCells count="594">
    <mergeCell ref="E27:F27"/>
    <mergeCell ref="E32:G32"/>
    <mergeCell ref="E33:G33"/>
    <mergeCell ref="E34:G34"/>
    <mergeCell ref="E35:G35"/>
    <mergeCell ref="E83:G83"/>
    <mergeCell ref="E42:G42"/>
    <mergeCell ref="B107:D107"/>
    <mergeCell ref="H107:J107"/>
    <mergeCell ref="K107:M107"/>
    <mergeCell ref="N107:P107"/>
    <mergeCell ref="B79:D79"/>
    <mergeCell ref="B64:D64"/>
    <mergeCell ref="B65:D65"/>
    <mergeCell ref="B66:D66"/>
    <mergeCell ref="B67:D67"/>
    <mergeCell ref="B41:D41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B40:D40"/>
    <mergeCell ref="B38:D38"/>
    <mergeCell ref="B37:D37"/>
    <mergeCell ref="B39:D39"/>
    <mergeCell ref="B36:D36"/>
    <mergeCell ref="B35:D35"/>
    <mergeCell ref="B68:D68"/>
    <mergeCell ref="B69:D69"/>
    <mergeCell ref="B70:D70"/>
    <mergeCell ref="B52:D52"/>
    <mergeCell ref="A1:V4"/>
    <mergeCell ref="A5:V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E41:G41"/>
    <mergeCell ref="E43:G43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07:G107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B55:D55"/>
    <mergeCell ref="B56:D56"/>
    <mergeCell ref="B57:D57"/>
    <mergeCell ref="B86:D86"/>
    <mergeCell ref="B34:D34"/>
    <mergeCell ref="E106:G106"/>
    <mergeCell ref="E108:G108"/>
    <mergeCell ref="E86:G86"/>
    <mergeCell ref="E87:G87"/>
    <mergeCell ref="E88:G88"/>
    <mergeCell ref="E89:G89"/>
    <mergeCell ref="E90:G90"/>
    <mergeCell ref="E81:G81"/>
    <mergeCell ref="E84:G84"/>
    <mergeCell ref="E85:G85"/>
    <mergeCell ref="E82:G82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Q27:R27"/>
    <mergeCell ref="Q32:S32"/>
    <mergeCell ref="Q33:S33"/>
    <mergeCell ref="Q34:S34"/>
    <mergeCell ref="Q42:S42"/>
    <mergeCell ref="Q43:S43"/>
    <mergeCell ref="E96:G96"/>
    <mergeCell ref="E97:G97"/>
    <mergeCell ref="E98:G98"/>
    <mergeCell ref="E75:G75"/>
    <mergeCell ref="E76:G76"/>
    <mergeCell ref="E80:G80"/>
    <mergeCell ref="E77:G77"/>
    <mergeCell ref="E78:G78"/>
    <mergeCell ref="E53:G53"/>
    <mergeCell ref="E54:G54"/>
    <mergeCell ref="E55:G55"/>
    <mergeCell ref="E44:G44"/>
    <mergeCell ref="E45:G45"/>
    <mergeCell ref="E36:G36"/>
    <mergeCell ref="E39:G39"/>
    <mergeCell ref="E37:G37"/>
    <mergeCell ref="E38:G38"/>
    <mergeCell ref="E40:G40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E72:G72"/>
    <mergeCell ref="E73:G73"/>
    <mergeCell ref="E74:G74"/>
    <mergeCell ref="E67:G67"/>
    <mergeCell ref="E68:G68"/>
    <mergeCell ref="E69:G69"/>
    <mergeCell ref="E70:G70"/>
    <mergeCell ref="E79:G79"/>
    <mergeCell ref="Q81:S81"/>
    <mergeCell ref="Q67:S67"/>
    <mergeCell ref="Q46:S46"/>
    <mergeCell ref="Q47:S47"/>
    <mergeCell ref="Q62:S62"/>
    <mergeCell ref="Q50:S50"/>
    <mergeCell ref="Q51:S51"/>
    <mergeCell ref="Q99:S99"/>
    <mergeCell ref="Q100:S100"/>
    <mergeCell ref="Q92:S92"/>
    <mergeCell ref="Q87:S87"/>
    <mergeCell ref="Q91:S91"/>
    <mergeCell ref="Q82:S82"/>
    <mergeCell ref="Q86:S86"/>
    <mergeCell ref="Q68:S68"/>
    <mergeCell ref="U46:V46"/>
    <mergeCell ref="U47:V47"/>
    <mergeCell ref="U48:V48"/>
    <mergeCell ref="U49:V49"/>
    <mergeCell ref="U33:V33"/>
    <mergeCell ref="U34:V34"/>
    <mergeCell ref="U35:V35"/>
    <mergeCell ref="U44:V44"/>
    <mergeCell ref="U43:V43"/>
    <mergeCell ref="U42:V42"/>
    <mergeCell ref="U41:V41"/>
    <mergeCell ref="U40:V40"/>
    <mergeCell ref="T100:V100"/>
    <mergeCell ref="U21:V21"/>
    <mergeCell ref="T21:T22"/>
    <mergeCell ref="U92:V92"/>
    <mergeCell ref="U93:V93"/>
    <mergeCell ref="U94:V94"/>
    <mergeCell ref="U95:V95"/>
    <mergeCell ref="U96:V96"/>
    <mergeCell ref="U87:V87"/>
    <mergeCell ref="U88:V88"/>
    <mergeCell ref="U89:V89"/>
    <mergeCell ref="U90:V90"/>
    <mergeCell ref="U91:V91"/>
    <mergeCell ref="U82:V82"/>
    <mergeCell ref="U83:V83"/>
    <mergeCell ref="U84:V84"/>
    <mergeCell ref="U85:V85"/>
    <mergeCell ref="U86:V86"/>
    <mergeCell ref="U76:V76"/>
    <mergeCell ref="U80:V80"/>
    <mergeCell ref="U77:V77"/>
    <mergeCell ref="U78:V78"/>
    <mergeCell ref="U36:V36"/>
    <mergeCell ref="U50:V50"/>
    <mergeCell ref="U72:V72"/>
    <mergeCell ref="U60:V60"/>
    <mergeCell ref="U61:V61"/>
    <mergeCell ref="U32:V32"/>
    <mergeCell ref="T18:V18"/>
    <mergeCell ref="T11:V11"/>
    <mergeCell ref="T12:V12"/>
    <mergeCell ref="H33:J33"/>
    <mergeCell ref="U99:V99"/>
    <mergeCell ref="U73:V73"/>
    <mergeCell ref="U74:V74"/>
    <mergeCell ref="U75:V75"/>
    <mergeCell ref="U68:V68"/>
    <mergeCell ref="U69:V69"/>
    <mergeCell ref="U70:V70"/>
    <mergeCell ref="U79:V79"/>
    <mergeCell ref="U71:V71"/>
    <mergeCell ref="T17:V17"/>
    <mergeCell ref="T16:V16"/>
    <mergeCell ref="T15:V15"/>
    <mergeCell ref="U52:V52"/>
    <mergeCell ref="U51:V51"/>
    <mergeCell ref="U53:V53"/>
    <mergeCell ref="U45:V45"/>
    <mergeCell ref="A9:V9"/>
    <mergeCell ref="A30:V30"/>
    <mergeCell ref="T13:V13"/>
    <mergeCell ref="T14:V14"/>
    <mergeCell ref="U97:V97"/>
    <mergeCell ref="U98:V98"/>
    <mergeCell ref="U63:V63"/>
    <mergeCell ref="U64:V64"/>
    <mergeCell ref="U65:V65"/>
    <mergeCell ref="U66:V66"/>
    <mergeCell ref="U67:V67"/>
    <mergeCell ref="U58:V58"/>
    <mergeCell ref="U62:V62"/>
    <mergeCell ref="U54:V54"/>
    <mergeCell ref="U55:V55"/>
    <mergeCell ref="U56:V56"/>
    <mergeCell ref="U57:V57"/>
    <mergeCell ref="U38:V38"/>
    <mergeCell ref="U37:V37"/>
    <mergeCell ref="U39:V39"/>
    <mergeCell ref="U59:V59"/>
    <mergeCell ref="H11:J11"/>
    <mergeCell ref="H12:J12"/>
    <mergeCell ref="U81:V8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N67:P67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75:P75"/>
    <mergeCell ref="N76:P76"/>
    <mergeCell ref="N80:P80"/>
    <mergeCell ref="N77:P77"/>
    <mergeCell ref="N78:P78"/>
    <mergeCell ref="N81:P81"/>
    <mergeCell ref="N82:P82"/>
    <mergeCell ref="N83:P83"/>
    <mergeCell ref="N68:P68"/>
    <mergeCell ref="N69:P69"/>
    <mergeCell ref="N70:P70"/>
    <mergeCell ref="N79:P79"/>
    <mergeCell ref="N71:P71"/>
    <mergeCell ref="N72:P72"/>
    <mergeCell ref="N73:P73"/>
    <mergeCell ref="N74:P7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105:P105"/>
    <mergeCell ref="N106:P106"/>
    <mergeCell ref="N108:P108"/>
    <mergeCell ref="N109:P109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Q44:S44"/>
    <mergeCell ref="Q45:S45"/>
    <mergeCell ref="Q48:S48"/>
    <mergeCell ref="Q49:S49"/>
    <mergeCell ref="Q35:S35"/>
    <mergeCell ref="Q36:S36"/>
    <mergeCell ref="Q39:S39"/>
    <mergeCell ref="Q37:S37"/>
    <mergeCell ref="Q38:S38"/>
    <mergeCell ref="Q40:S40"/>
    <mergeCell ref="Q41:S41"/>
    <mergeCell ref="Q58:S58"/>
    <mergeCell ref="Q59:S59"/>
    <mergeCell ref="Q60:S60"/>
    <mergeCell ref="Q61:S61"/>
    <mergeCell ref="Q64:S64"/>
    <mergeCell ref="Q65:S65"/>
    <mergeCell ref="Q66:S66"/>
    <mergeCell ref="Q52:S52"/>
    <mergeCell ref="Q53:S53"/>
    <mergeCell ref="Q54:S54"/>
    <mergeCell ref="Q55:S55"/>
    <mergeCell ref="Q56:S56"/>
    <mergeCell ref="Q57:S57"/>
    <mergeCell ref="Q63:S63"/>
    <mergeCell ref="Q75:S75"/>
    <mergeCell ref="Q76:S76"/>
    <mergeCell ref="Q80:S80"/>
    <mergeCell ref="Q77:S77"/>
    <mergeCell ref="Q78:S78"/>
    <mergeCell ref="Q83:S83"/>
    <mergeCell ref="Q69:S69"/>
    <mergeCell ref="Q70:S70"/>
    <mergeCell ref="Q71:S71"/>
    <mergeCell ref="Q72:S72"/>
    <mergeCell ref="Q73:S73"/>
    <mergeCell ref="Q74:S74"/>
    <mergeCell ref="Q79:S79"/>
    <mergeCell ref="Q93:S93"/>
    <mergeCell ref="Q94:S94"/>
    <mergeCell ref="Q95:S95"/>
    <mergeCell ref="Q96:S96"/>
    <mergeCell ref="Q97:S97"/>
    <mergeCell ref="Q98:S98"/>
    <mergeCell ref="Q84:S84"/>
    <mergeCell ref="Q85:S85"/>
    <mergeCell ref="Q88:S88"/>
    <mergeCell ref="Q89:S89"/>
    <mergeCell ref="Q90:S9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Q91 Q86 Q81 Q62 Q46 Q42 E42 E46 N62 N46 N42 N43:P45 O42:P42 O46:P46 O62:P62 N81:P81 H91 N50 E81 E67 E86 E62 E50:G61 E63:G66 F62:G62 E87:G91 F86:G86 E68:G80 F67:G67 E82:G85 F81:G81 H89 H50 K42 K46 K50 K56 K70 K67 K81:M86 N60 N67 O86:P86 N84:P85 N87:P96 N86 N97 H81 H67 H66:J66 H68:J80 I67:J67 H82:J82 I81:J81 H57 K92:M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2026-05-11T19:08:32Z</dcterms:modified>
</cp:coreProperties>
</file>