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6\01. JAN\Histórico Mensal\"/>
    </mc:Choice>
  </mc:AlternateContent>
  <xr:revisionPtr revIDLastSave="0" documentId="13_ncr:1_{3541237A-D970-47F1-9D18-EEC27F12B09D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J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H93" i="1" l="1"/>
  <c r="H94" i="1"/>
  <c r="H95" i="1"/>
  <c r="H96" i="1"/>
  <c r="H97" i="1"/>
  <c r="H98" i="1"/>
  <c r="H88" i="1"/>
  <c r="H89" i="1"/>
  <c r="H90" i="1"/>
  <c r="H92" i="1"/>
  <c r="H87" i="1"/>
  <c r="H83" i="1"/>
  <c r="H84" i="1"/>
  <c r="H85" i="1"/>
  <c r="H69" i="1"/>
  <c r="H70" i="1"/>
  <c r="H71" i="1"/>
  <c r="H72" i="1"/>
  <c r="H73" i="1"/>
  <c r="H74" i="1"/>
  <c r="H75" i="1"/>
  <c r="H76" i="1"/>
  <c r="H77" i="1"/>
  <c r="H78" i="1"/>
  <c r="H79" i="1"/>
  <c r="H80" i="1"/>
  <c r="H82" i="1"/>
  <c r="H68" i="1"/>
  <c r="H64" i="1"/>
  <c r="H65" i="1"/>
  <c r="H66" i="1"/>
  <c r="H52" i="1"/>
  <c r="H53" i="1"/>
  <c r="H54" i="1"/>
  <c r="H55" i="1"/>
  <c r="H56" i="1"/>
  <c r="H57" i="1"/>
  <c r="H58" i="1"/>
  <c r="H59" i="1"/>
  <c r="H60" i="1"/>
  <c r="H61" i="1"/>
  <c r="H63" i="1"/>
  <c r="H51" i="1"/>
  <c r="H48" i="1"/>
  <c r="H49" i="1"/>
  <c r="H44" i="1"/>
  <c r="H45" i="1"/>
  <c r="H47" i="1"/>
  <c r="H43" i="1"/>
  <c r="H35" i="1"/>
  <c r="H36" i="1"/>
  <c r="H37" i="1"/>
  <c r="H38" i="1"/>
  <c r="H39" i="1"/>
  <c r="H40" i="1"/>
  <c r="H41" i="1"/>
  <c r="H34" i="1"/>
  <c r="J25" i="1"/>
  <c r="J24" i="1"/>
  <c r="I24" i="1"/>
  <c r="H24" i="1"/>
  <c r="E94" i="1"/>
  <c r="E95" i="1"/>
  <c r="E96" i="1"/>
  <c r="E97" i="1"/>
  <c r="E98" i="1"/>
  <c r="E93" i="1"/>
  <c r="E92" i="1"/>
  <c r="E90" i="1"/>
  <c r="E89" i="1"/>
  <c r="E88" i="1"/>
  <c r="E87" i="1"/>
  <c r="E85" i="1"/>
  <c r="E83" i="1"/>
  <c r="E82" i="1"/>
  <c r="E76" i="1"/>
  <c r="E71" i="1"/>
  <c r="E70" i="1"/>
  <c r="E69" i="1"/>
  <c r="E68" i="1"/>
  <c r="E66" i="1"/>
  <c r="E58" i="1"/>
  <c r="E57" i="1"/>
  <c r="E55" i="1"/>
  <c r="E51" i="1"/>
  <c r="E38" i="1"/>
  <c r="G24" i="1"/>
  <c r="E63" i="1"/>
  <c r="E64" i="1"/>
  <c r="E75" i="1"/>
  <c r="E74" i="1"/>
  <c r="K17" i="1"/>
  <c r="K16" i="1"/>
  <c r="E108" i="1" l="1"/>
  <c r="G25" i="1"/>
  <c r="M25" i="1" s="1"/>
  <c r="M24" i="1"/>
  <c r="E65" i="1"/>
  <c r="L65" i="1" s="1"/>
  <c r="E35" i="1"/>
  <c r="L35" i="1" s="1"/>
  <c r="E84" i="1"/>
  <c r="E78" i="1"/>
  <c r="L78" i="1" s="1"/>
  <c r="E56" i="1"/>
  <c r="L56" i="1" s="1"/>
  <c r="E36" i="1"/>
  <c r="L36" i="1" s="1"/>
  <c r="E53" i="1"/>
  <c r="E52" i="1"/>
  <c r="E54" i="1"/>
  <c r="L54" i="1" s="1"/>
  <c r="E73" i="1"/>
  <c r="L73" i="1" s="1"/>
  <c r="E37" i="1"/>
  <c r="E77" i="1"/>
  <c r="L77" i="1" s="1"/>
  <c r="E72" i="1"/>
  <c r="L72" i="1" s="1"/>
  <c r="E34" i="1"/>
  <c r="L34" i="1" s="1"/>
  <c r="F24" i="1"/>
  <c r="E24" i="1"/>
  <c r="B24" i="1"/>
  <c r="L37" i="1"/>
  <c r="L51" i="1"/>
  <c r="L52" i="1"/>
  <c r="L53" i="1"/>
  <c r="L55" i="1"/>
  <c r="L57" i="1"/>
  <c r="L63" i="1"/>
  <c r="L64" i="1"/>
  <c r="L68" i="1"/>
  <c r="L70" i="1"/>
  <c r="L71" i="1"/>
  <c r="L74" i="1"/>
  <c r="L75" i="1"/>
  <c r="L76" i="1"/>
  <c r="L82" i="1"/>
  <c r="L83" i="1"/>
  <c r="L84" i="1"/>
  <c r="L85" i="1"/>
  <c r="L87" i="1"/>
  <c r="L92" i="1"/>
  <c r="L93" i="1"/>
  <c r="L94" i="1"/>
  <c r="L95" i="1"/>
  <c r="L96" i="1"/>
  <c r="L97" i="1"/>
  <c r="L98" i="1"/>
  <c r="L24" i="1" l="1"/>
  <c r="B105" i="1"/>
  <c r="E105" i="1" s="1"/>
  <c r="B107" i="1"/>
  <c r="E107" i="1" s="1"/>
  <c r="B106" i="1"/>
  <c r="E106" i="1" s="1"/>
  <c r="B83" i="1"/>
  <c r="B98" i="1"/>
  <c r="B97" i="1"/>
  <c r="B96" i="1"/>
  <c r="B95" i="1"/>
  <c r="B94" i="1"/>
  <c r="B93" i="1"/>
  <c r="B92" i="1"/>
  <c r="B89" i="1"/>
  <c r="B88" i="1"/>
  <c r="B87" i="1"/>
  <c r="B85" i="1"/>
  <c r="B84" i="1"/>
  <c r="B82" i="1"/>
  <c r="B78" i="1"/>
  <c r="B76" i="1"/>
  <c r="B75" i="1"/>
  <c r="B74" i="1"/>
  <c r="B73" i="1"/>
  <c r="B72" i="1"/>
  <c r="B71" i="1"/>
  <c r="B70" i="1"/>
  <c r="B66" i="1"/>
  <c r="B65" i="1"/>
  <c r="B64" i="1"/>
  <c r="B63" i="1"/>
  <c r="B58" i="1"/>
  <c r="B56" i="1"/>
  <c r="B55" i="1"/>
  <c r="B54" i="1"/>
  <c r="B53" i="1"/>
  <c r="B52" i="1"/>
  <c r="B51" i="1"/>
  <c r="B39" i="1"/>
  <c r="B38" i="1"/>
  <c r="B37" i="1"/>
  <c r="B36" i="1"/>
  <c r="B35" i="1"/>
  <c r="D25" i="1"/>
  <c r="D24" i="1"/>
  <c r="B17" i="1"/>
  <c r="B16" i="1"/>
  <c r="B18" i="1" s="1"/>
  <c r="E80" i="1" l="1"/>
  <c r="E79" i="1"/>
  <c r="E41" i="1"/>
  <c r="E40" i="1"/>
  <c r="E39" i="1"/>
  <c r="L39" i="1" l="1"/>
  <c r="B69" i="1"/>
  <c r="E61" i="1"/>
  <c r="E67" i="1" l="1"/>
  <c r="E91" i="1"/>
  <c r="B108" i="1"/>
  <c r="B80" i="1"/>
  <c r="B61" i="1"/>
  <c r="B60" i="1"/>
  <c r="B49" i="1"/>
  <c r="B47" i="1"/>
  <c r="L27" i="1"/>
  <c r="B50" i="1" l="1"/>
  <c r="L61" i="1"/>
  <c r="L66" i="1"/>
  <c r="L69" i="1" l="1"/>
  <c r="L79" i="1" l="1"/>
  <c r="H67" i="1"/>
  <c r="L88" i="1" l="1"/>
  <c r="L40" i="1" l="1"/>
  <c r="L38" i="1"/>
  <c r="L58" i="1" l="1"/>
  <c r="L90" i="1" l="1"/>
  <c r="L89" i="1"/>
  <c r="E60" i="1"/>
  <c r="E59" i="1"/>
  <c r="E48" i="1"/>
  <c r="E49" i="1"/>
  <c r="E47" i="1"/>
  <c r="E45" i="1"/>
  <c r="E44" i="1"/>
  <c r="E43" i="1"/>
  <c r="E86" i="1"/>
  <c r="L47" i="1" l="1"/>
  <c r="L60" i="1"/>
  <c r="L49" i="1"/>
  <c r="E33" i="1"/>
  <c r="E50" i="1"/>
  <c r="E81" i="1"/>
  <c r="L59" i="1"/>
  <c r="L41" i="1"/>
  <c r="B109" i="1"/>
  <c r="D26" i="1"/>
  <c r="B41" i="1"/>
  <c r="B40" i="1"/>
  <c r="B68" i="1"/>
  <c r="B67" i="1" s="1"/>
  <c r="B45" i="1"/>
  <c r="H50" i="1" l="1"/>
  <c r="L50" i="1"/>
  <c r="L44" i="1" l="1"/>
  <c r="L45" i="1"/>
  <c r="L43" i="1"/>
  <c r="G27" i="1" l="1"/>
  <c r="B27" i="1"/>
  <c r="D27" i="1"/>
  <c r="B91" i="1"/>
  <c r="B86" i="1"/>
  <c r="B81" i="1"/>
  <c r="E62" i="1"/>
  <c r="B62" i="1"/>
  <c r="E46" i="1"/>
  <c r="E42" i="1"/>
  <c r="B46" i="1"/>
  <c r="B42" i="1"/>
  <c r="B33" i="1"/>
  <c r="H27" i="1" l="1"/>
  <c r="E27" i="1"/>
  <c r="E99" i="1"/>
  <c r="E100" i="1" s="1"/>
  <c r="E109" i="1"/>
  <c r="B99" i="1"/>
  <c r="B101" i="1" s="1"/>
  <c r="H62" i="1"/>
  <c r="J27" i="1"/>
  <c r="L80" i="1"/>
  <c r="L67" i="1" s="1"/>
  <c r="L48" i="1"/>
  <c r="H86" i="1"/>
  <c r="L86" i="1" l="1"/>
  <c r="L62" i="1"/>
  <c r="H46" i="1"/>
  <c r="L46" i="1"/>
  <c r="H33" i="1"/>
  <c r="L91" i="1"/>
  <c r="L33" i="1"/>
  <c r="H91" i="1"/>
  <c r="H42" i="1"/>
  <c r="L42" i="1"/>
  <c r="H81" i="1"/>
  <c r="L81" i="1"/>
  <c r="M27" i="1" l="1"/>
  <c r="L99" i="1"/>
  <c r="H99" i="1"/>
  <c r="K18" i="1" l="1"/>
  <c r="K100" i="1"/>
</calcChain>
</file>

<file path=xl/sharedStrings.xml><?xml version="1.0" encoding="utf-8"?>
<sst xmlns="http://schemas.openxmlformats.org/spreadsheetml/2006/main" count="122" uniqueCount="104">
  <si>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</si>
  <si>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</si>
  <si>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</si>
  <si>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</si>
  <si>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</si>
  <si>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</si>
  <si>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</si>
  <si>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</si>
  <si>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</si>
  <si>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</si>
  <si>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</si>
  <si>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</si>
  <si>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</si>
  <si>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</si>
  <si>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</si>
  <si>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</si>
  <si>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</si>
  <si>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</si>
  <si>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</si>
  <si>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</si>
  <si>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</si>
  <si>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</si>
  <si>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</si>
  <si>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</si>
  <si>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</si>
  <si>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</si>
  <si>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</si>
  <si>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</si>
  <si>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</si>
  <si>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</si>
  <si>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</si>
  <si>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</si>
  <si>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</si>
  <si>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</si>
  <si>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</si>
  <si>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</si>
  <si>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</si>
  <si>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</si>
  <si>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</si>
  <si>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</si>
  <si>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</si>
  <si>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</si>
  <si>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</si>
  <si>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</si>
  <si>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</si>
  <si>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</si>
  <si>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</si>
  <si>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</si>
  <si>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</si>
  <si>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</si>
  <si>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</si>
  <si>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</si>
  <si>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</si>
  <si>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</si>
  <si>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</si>
  <si>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</si>
  <si>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</si>
  <si>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</si>
  <si>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</si>
  <si>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</si>
  <si>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</si>
  <si>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</si>
  <si>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</si>
  <si>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</si>
  <si>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</si>
  <si>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</si>
  <si>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</si>
  <si>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</si>
  <si>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</si>
  <si>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</si>
  <si>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</si>
  <si>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</si>
  <si>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</si>
  <si>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</si>
  <si>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</si>
  <si>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</si>
  <si>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</si>
  <si>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</si>
  <si>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</si>
  <si>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</si>
  <si>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</si>
  <si>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</si>
  <si>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</si>
  <si>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</si>
  <si>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</si>
  <si>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</si>
  <si>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</si>
  <si>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Softwares (Office, Antivírus, Adobe mensal, Zoom)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</si>
  <si>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</si>
  <si>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</si>
  <si>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</si>
  <si>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</si>
  <si>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</si>
  <si>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</si>
  <si>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</si>
  <si>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</si>
  <si>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</si>
  <si>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</si>
  <si>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</si>
  <si>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</si>
  <si>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</si>
  <si>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t>Deslocamento (para serviços externos)/fretes</t>
  </si>
  <si>
    <r>
      <t xml:space="preserve">CONTROLE FINANCEIRO 2025
</t>
    </r>
    <r>
      <rPr>
        <b/>
        <sz val="12"/>
        <rFont val="Calibri"/>
        <family val="2"/>
        <scheme val="minor"/>
      </rPr>
      <t>Posição JANEIRO</t>
    </r>
  </si>
  <si>
    <t>Acumulado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</si>
</sst>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10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M113"/>
  <sheetViews>
    <sheetView tabSelected="1" zoomScaleNormal="100" workbookViewId="0">
      <pane xSplit="1" topLeftCell="B1" activePane="topRight" state="frozen"/>
      <selection activeCell="A76" sqref="A76"/>
      <selection pane="topRight" sqref="A1:M4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3" max="13" width="12.7109375" bestFit="1" customWidth="1"/>
    <col min="14" max="14" width="4.140625" customWidth="1"/>
  </cols>
  <sheetData>
    <row r="1" spans="1:13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13" x14ac:dyDescent="0.25">
      <c r="A5" s="136" t="s">
        <v>102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8"/>
    </row>
    <row r="6" spans="1:13" ht="24" customHeigh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1"/>
    </row>
    <row r="9" spans="1:13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</row>
    <row r="11" spans="1:13" x14ac:dyDescent="0.25">
      <c r="A11" s="2" t="s">
        <v>0</v>
      </c>
      <c r="B11" s="131" t="s">
        <v>94</v>
      </c>
      <c r="C11" s="132"/>
      <c r="D11" s="133"/>
      <c r="E11" s="81" t="s">
        <v>1</v>
      </c>
      <c r="F11" s="81"/>
      <c r="G11" s="81"/>
      <c r="H11" s="81" t="s">
        <v>103</v>
      </c>
      <c r="I11" s="81"/>
      <c r="J11" s="81"/>
      <c r="K11" s="111" t="s">
        <v>2</v>
      </c>
      <c r="L11" s="111"/>
      <c r="M11" s="111"/>
    </row>
    <row r="12" spans="1:13" x14ac:dyDescent="0.25">
      <c r="A12" s="3" t="s">
        <v>3</v>
      </c>
      <c r="B12" s="112">
        <v>9586.0300000000007</v>
      </c>
      <c r="C12" s="112"/>
      <c r="D12" s="112"/>
      <c r="E12" s="82"/>
      <c r="F12" s="83"/>
      <c r="G12" s="84"/>
      <c r="H12" s="82"/>
      <c r="I12" s="83"/>
      <c r="J12" s="84"/>
      <c r="K12" s="112">
        <v>9586.0300000000007</v>
      </c>
      <c r="L12" s="112"/>
      <c r="M12" s="112"/>
    </row>
    <row r="13" spans="1:13" x14ac:dyDescent="0.25">
      <c r="A13" s="4" t="s">
        <v>4</v>
      </c>
      <c r="B13" s="74"/>
      <c r="C13" s="74"/>
      <c r="D13" s="74"/>
      <c r="E13" s="85"/>
      <c r="F13" s="86"/>
      <c r="G13" s="87"/>
      <c r="H13" s="82"/>
      <c r="I13" s="83"/>
      <c r="J13" s="84"/>
      <c r="K13" s="74"/>
      <c r="L13" s="74"/>
      <c r="M13" s="74"/>
    </row>
    <row r="14" spans="1:13" x14ac:dyDescent="0.25">
      <c r="A14" s="4" t="s">
        <v>5</v>
      </c>
      <c r="B14" s="74"/>
      <c r="C14" s="74"/>
      <c r="D14" s="74"/>
      <c r="E14" s="85"/>
      <c r="F14" s="86"/>
      <c r="G14" s="87"/>
      <c r="H14" s="82"/>
      <c r="I14" s="83"/>
      <c r="J14" s="84"/>
      <c r="K14" s="74"/>
      <c r="L14" s="74"/>
      <c r="M14" s="74"/>
    </row>
    <row r="15" spans="1:13" x14ac:dyDescent="0.25">
      <c r="A15" s="4" t="s">
        <v>6</v>
      </c>
      <c r="B15" s="74"/>
      <c r="C15" s="74"/>
      <c r="D15" s="74"/>
      <c r="E15" s="85"/>
      <c r="F15" s="86"/>
      <c r="G15" s="87"/>
      <c r="H15" s="82"/>
      <c r="I15" s="83"/>
      <c r="J15" s="84"/>
      <c r="K15" s="74"/>
      <c r="L15" s="74"/>
      <c r="M15" s="74"/>
    </row>
    <row r="16" spans="1:13" x14ac:dyDescent="0.25">
      <c r="A16" s="5" t="s">
        <v>7</v>
      </c>
      <c r="B16" s="120">
        <f>10265333.53</f>
        <v>10265333.529999999</v>
      </c>
      <c r="C16" s="120"/>
      <c r="D16" s="120"/>
      <c r="E16" s="88"/>
      <c r="F16" s="89"/>
      <c r="G16" s="90"/>
      <c r="H16" s="88"/>
      <c r="I16" s="89"/>
      <c r="J16" s="90"/>
      <c r="K16" s="120">
        <f>10265333.53</f>
        <v>10265333.529999999</v>
      </c>
      <c r="L16" s="120"/>
      <c r="M16" s="120"/>
    </row>
    <row r="17" spans="1:13" x14ac:dyDescent="0.25">
      <c r="A17" s="6" t="s">
        <v>8</v>
      </c>
      <c r="B17" s="119">
        <f>5831741.2</f>
        <v>5831741.2000000002</v>
      </c>
      <c r="C17" s="119"/>
      <c r="D17" s="119"/>
      <c r="E17" s="91"/>
      <c r="F17" s="92"/>
      <c r="G17" s="93"/>
      <c r="H17" s="91"/>
      <c r="I17" s="92"/>
      <c r="J17" s="93"/>
      <c r="K17" s="119">
        <f>5831741.2</f>
        <v>5831741.2000000002</v>
      </c>
      <c r="L17" s="119"/>
      <c r="M17" s="119"/>
    </row>
    <row r="18" spans="1:13" x14ac:dyDescent="0.25">
      <c r="A18" s="5" t="s">
        <v>9</v>
      </c>
      <c r="B18" s="110">
        <f>B16-B17+B12</f>
        <v>4443178.3599999994</v>
      </c>
      <c r="C18" s="110"/>
      <c r="D18" s="110"/>
      <c r="E18" s="94"/>
      <c r="F18" s="95"/>
      <c r="G18" s="96"/>
      <c r="H18" s="94"/>
      <c r="I18" s="95"/>
      <c r="J18" s="96"/>
      <c r="K18" s="110">
        <f>K16-K17+K12</f>
        <v>4443178.3599999994</v>
      </c>
      <c r="L18" s="110"/>
      <c r="M18" s="110"/>
    </row>
    <row r="21" spans="1:13" x14ac:dyDescent="0.25">
      <c r="A21" s="151" t="s">
        <v>10</v>
      </c>
      <c r="B21" s="131" t="s">
        <v>94</v>
      </c>
      <c r="C21" s="132"/>
      <c r="D21" s="133"/>
      <c r="E21" s="81" t="s">
        <v>1</v>
      </c>
      <c r="F21" s="81"/>
      <c r="G21" s="81"/>
      <c r="H21" s="81" t="s">
        <v>103</v>
      </c>
      <c r="I21" s="81"/>
      <c r="J21" s="81"/>
      <c r="K21" s="117" t="s">
        <v>11</v>
      </c>
      <c r="L21" s="108" t="s">
        <v>2</v>
      </c>
      <c r="M21" s="109"/>
    </row>
    <row r="22" spans="1:13" x14ac:dyDescent="0.25">
      <c r="A22" s="152"/>
      <c r="B22" s="142" t="s">
        <v>12</v>
      </c>
      <c r="C22" s="143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118"/>
      <c r="L22" s="30" t="s">
        <v>12</v>
      </c>
      <c r="M22" s="34" t="s">
        <v>13</v>
      </c>
    </row>
    <row r="23" spans="1:13" x14ac:dyDescent="0.25">
      <c r="A23" s="7" t="s">
        <v>16</v>
      </c>
      <c r="B23" s="126">
        <v>158</v>
      </c>
      <c r="C23" s="126"/>
      <c r="D23" s="27">
        <v>208300.66</v>
      </c>
      <c r="E23" s="29"/>
      <c r="F23" s="29"/>
      <c r="G23" s="37"/>
      <c r="H23" s="29"/>
      <c r="I23" s="29"/>
      <c r="J23" s="33"/>
      <c r="K23" s="39"/>
      <c r="L23" s="42">
        <v>158</v>
      </c>
      <c r="M23" s="35">
        <v>208300.66</v>
      </c>
    </row>
    <row r="24" spans="1:13" x14ac:dyDescent="0.25">
      <c r="A24" s="4" t="s">
        <v>17</v>
      </c>
      <c r="B24" s="126">
        <f>6944</f>
        <v>6944</v>
      </c>
      <c r="C24" s="126"/>
      <c r="D24" s="27">
        <f>7824488.85</f>
        <v>7824488.8499999996</v>
      </c>
      <c r="E24" s="29">
        <f>-18</f>
        <v>-18</v>
      </c>
      <c r="F24" s="29">
        <f>4</f>
        <v>4</v>
      </c>
      <c r="G24" s="33">
        <f>240+20+630+140+30</f>
        <v>1060</v>
      </c>
      <c r="H24" s="39">
        <f>E24</f>
        <v>-18</v>
      </c>
      <c r="I24" s="39">
        <f>F24</f>
        <v>4</v>
      </c>
      <c r="J24" s="33">
        <f>G24</f>
        <v>1060</v>
      </c>
      <c r="K24" s="43">
        <v>3.4008245866014308E-2</v>
      </c>
      <c r="L24" s="40">
        <f>6944+H24+I24</f>
        <v>6930</v>
      </c>
      <c r="M24" s="1">
        <f>7824488.85+J24</f>
        <v>7825548.8499999996</v>
      </c>
    </row>
    <row r="25" spans="1:13" x14ac:dyDescent="0.25">
      <c r="A25" s="8" t="s">
        <v>18</v>
      </c>
      <c r="B25" s="126"/>
      <c r="C25" s="126"/>
      <c r="D25" s="27">
        <f>2181429.29</f>
        <v>2181429.29</v>
      </c>
      <c r="E25" s="29"/>
      <c r="F25" s="29"/>
      <c r="G25" s="33">
        <f>357.02+38391.42+12259.37</f>
        <v>51007.81</v>
      </c>
      <c r="H25" s="29"/>
      <c r="I25" s="29"/>
      <c r="J25" s="33">
        <f>G25</f>
        <v>51007.81</v>
      </c>
      <c r="K25" s="44">
        <v>0.96599175413398575</v>
      </c>
      <c r="L25" s="42"/>
      <c r="M25" s="1">
        <f>2181429.29+J25</f>
        <v>2232437.1</v>
      </c>
    </row>
    <row r="26" spans="1:13" x14ac:dyDescent="0.25">
      <c r="A26" s="9" t="s">
        <v>19</v>
      </c>
      <c r="B26" s="126"/>
      <c r="C26" s="126"/>
      <c r="D26" s="27">
        <f>51114.73</f>
        <v>51114.73</v>
      </c>
      <c r="E26" s="29"/>
      <c r="F26" s="29"/>
      <c r="G26" s="37"/>
      <c r="H26" s="29"/>
      <c r="I26" s="29"/>
      <c r="J26" s="37"/>
      <c r="K26" s="45">
        <v>0</v>
      </c>
      <c r="L26" s="42"/>
      <c r="M26" s="35">
        <f>51114.73+J26</f>
        <v>51114.73</v>
      </c>
    </row>
    <row r="27" spans="1:13" x14ac:dyDescent="0.25">
      <c r="A27" s="10" t="s">
        <v>20</v>
      </c>
      <c r="B27" s="127">
        <f>SUM(B23:C26)</f>
        <v>7102</v>
      </c>
      <c r="C27" s="127"/>
      <c r="D27" s="28">
        <f>SUM(D23:D26)</f>
        <v>10265333.530000001</v>
      </c>
      <c r="E27" s="97">
        <f>B27+E24+F24</f>
        <v>7088</v>
      </c>
      <c r="F27" s="98"/>
      <c r="G27" s="38">
        <f>SUM(G24:G26)</f>
        <v>52067.81</v>
      </c>
      <c r="H27" s="97">
        <f>B27+H24+I24</f>
        <v>7088</v>
      </c>
      <c r="I27" s="98"/>
      <c r="J27" s="38">
        <f>SUM(J24:J26)</f>
        <v>52067.81</v>
      </c>
      <c r="K27" s="46">
        <v>1</v>
      </c>
      <c r="L27" s="41">
        <f>SUM(L23:L26)</f>
        <v>7088</v>
      </c>
      <c r="M27" s="36">
        <f>SUM(M23:M26)</f>
        <v>10317401.34</v>
      </c>
    </row>
    <row r="30" spans="1:13" ht="15.75" x14ac:dyDescent="0.25">
      <c r="A30" s="100" t="s">
        <v>21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</row>
    <row r="32" spans="1:13" x14ac:dyDescent="0.25">
      <c r="A32" s="11" t="s">
        <v>8</v>
      </c>
      <c r="B32" s="131" t="s">
        <v>94</v>
      </c>
      <c r="C32" s="132"/>
      <c r="D32" s="133"/>
      <c r="E32" s="81" t="s">
        <v>1</v>
      </c>
      <c r="F32" s="81"/>
      <c r="G32" s="81"/>
      <c r="H32" s="81" t="s">
        <v>103</v>
      </c>
      <c r="I32" s="81"/>
      <c r="J32" s="81"/>
      <c r="K32" s="31" t="s">
        <v>11</v>
      </c>
      <c r="L32" s="108" t="s">
        <v>2</v>
      </c>
      <c r="M32" s="109"/>
    </row>
    <row r="33" spans="1:13" x14ac:dyDescent="0.25">
      <c r="A33" s="12" t="s">
        <v>22</v>
      </c>
      <c r="B33" s="69">
        <f>SUM(B34:D41)</f>
        <v>1379140.7599999998</v>
      </c>
      <c r="C33" s="70"/>
      <c r="D33" s="71"/>
      <c r="E33" s="69">
        <f>SUM(E34:G41)</f>
        <v>10127</v>
      </c>
      <c r="F33" s="70"/>
      <c r="G33" s="71"/>
      <c r="H33" s="69">
        <f>SUM(H34:J41)</f>
        <v>10127</v>
      </c>
      <c r="I33" s="70"/>
      <c r="J33" s="71"/>
      <c r="K33" s="49">
        <v>0.53162074279436378</v>
      </c>
      <c r="L33" s="105">
        <f>SUM(L34:M41)</f>
        <v>1389267.7599999998</v>
      </c>
      <c r="M33" s="106"/>
    </row>
    <row r="34" spans="1:13" x14ac:dyDescent="0.25">
      <c r="A34" s="13" t="s">
        <v>23</v>
      </c>
      <c r="B34" s="128">
        <v>86065.64</v>
      </c>
      <c r="C34" s="129"/>
      <c r="D34" s="130"/>
      <c r="E34" s="60">
        <f>0</f>
        <v>0</v>
      </c>
      <c r="F34" s="61"/>
      <c r="G34" s="62"/>
      <c r="H34" s="122">
        <f>0+E34</f>
        <v>0</v>
      </c>
      <c r="I34" s="123"/>
      <c r="J34" s="124"/>
      <c r="K34" s="43">
        <v>0</v>
      </c>
      <c r="L34" s="103">
        <f>86065.64+H34</f>
        <v>86065.64</v>
      </c>
      <c r="M34" s="103"/>
    </row>
    <row r="35" spans="1:13" x14ac:dyDescent="0.25">
      <c r="A35" s="14" t="s">
        <v>24</v>
      </c>
      <c r="B35" s="128">
        <f>532500</f>
        <v>532500</v>
      </c>
      <c r="C35" s="129"/>
      <c r="D35" s="130"/>
      <c r="E35" s="60">
        <f>4100</f>
        <v>4100</v>
      </c>
      <c r="F35" s="61"/>
      <c r="G35" s="62"/>
      <c r="H35" s="122">
        <f t="shared" ref="H35:H41" si="0">0+E35</f>
        <v>4100</v>
      </c>
      <c r="I35" s="123"/>
      <c r="J35" s="124"/>
      <c r="K35" s="43">
        <v>0.22120141863843154</v>
      </c>
      <c r="L35" s="103">
        <f>532500+H35</f>
        <v>536600</v>
      </c>
      <c r="M35" s="103"/>
    </row>
    <row r="36" spans="1:13" x14ac:dyDescent="0.25">
      <c r="A36" s="13" t="s">
        <v>25</v>
      </c>
      <c r="B36" s="128">
        <f>142253.19</f>
        <v>142253.19</v>
      </c>
      <c r="C36" s="129"/>
      <c r="D36" s="130"/>
      <c r="E36" s="60">
        <f>2154</f>
        <v>2154</v>
      </c>
      <c r="F36" s="61"/>
      <c r="G36" s="62"/>
      <c r="H36" s="122">
        <f t="shared" si="0"/>
        <v>2154</v>
      </c>
      <c r="I36" s="123"/>
      <c r="J36" s="124"/>
      <c r="K36" s="43">
        <v>5.9724383032376517E-2</v>
      </c>
      <c r="L36" s="103">
        <f>142253.19+H36</f>
        <v>144407.19</v>
      </c>
      <c r="M36" s="103"/>
    </row>
    <row r="37" spans="1:13" x14ac:dyDescent="0.25">
      <c r="A37" s="15" t="s">
        <v>27</v>
      </c>
      <c r="B37" s="75">
        <f>291313.15</f>
        <v>291313.15000000002</v>
      </c>
      <c r="C37" s="76"/>
      <c r="D37" s="77"/>
      <c r="E37" s="60">
        <f>3873</f>
        <v>3873</v>
      </c>
      <c r="F37" s="61"/>
      <c r="G37" s="62"/>
      <c r="H37" s="122">
        <f t="shared" si="0"/>
        <v>3873</v>
      </c>
      <c r="I37" s="123"/>
      <c r="J37" s="124"/>
      <c r="K37" s="43">
        <v>0.1290341608724184</v>
      </c>
      <c r="L37" s="103">
        <f>291313.15+H37</f>
        <v>295186.15000000002</v>
      </c>
      <c r="M37" s="103"/>
    </row>
    <row r="38" spans="1:13" x14ac:dyDescent="0.25">
      <c r="A38" s="15" t="s">
        <v>28</v>
      </c>
      <c r="B38" s="75">
        <f>100893.66</f>
        <v>100893.66</v>
      </c>
      <c r="C38" s="76"/>
      <c r="D38" s="77"/>
      <c r="E38" s="60">
        <f>0</f>
        <v>0</v>
      </c>
      <c r="F38" s="61"/>
      <c r="G38" s="62"/>
      <c r="H38" s="122">
        <f t="shared" si="0"/>
        <v>0</v>
      </c>
      <c r="I38" s="123"/>
      <c r="J38" s="124"/>
      <c r="K38" s="43">
        <v>0.12166078025113736</v>
      </c>
      <c r="L38" s="103">
        <f>100893.66+H38</f>
        <v>100893.66</v>
      </c>
      <c r="M38" s="103"/>
    </row>
    <row r="39" spans="1:13" x14ac:dyDescent="0.25">
      <c r="A39" s="57" t="s">
        <v>26</v>
      </c>
      <c r="B39" s="128">
        <f>215821.12</f>
        <v>215821.12</v>
      </c>
      <c r="C39" s="129"/>
      <c r="D39" s="130"/>
      <c r="E39" s="75">
        <f>0</f>
        <v>0</v>
      </c>
      <c r="F39" s="76"/>
      <c r="G39" s="77"/>
      <c r="H39" s="122">
        <f t="shared" si="0"/>
        <v>0</v>
      </c>
      <c r="I39" s="123"/>
      <c r="J39" s="124"/>
      <c r="K39" s="58">
        <v>0</v>
      </c>
      <c r="L39" s="107">
        <f>215821.12+H39</f>
        <v>215821.12</v>
      </c>
      <c r="M39" s="107"/>
    </row>
    <row r="40" spans="1:13" x14ac:dyDescent="0.25">
      <c r="A40" s="56" t="s">
        <v>29</v>
      </c>
      <c r="B40" s="75">
        <f>8289</f>
        <v>8289</v>
      </c>
      <c r="C40" s="76"/>
      <c r="D40" s="77"/>
      <c r="E40" s="75">
        <f>0</f>
        <v>0</v>
      </c>
      <c r="F40" s="76"/>
      <c r="G40" s="77"/>
      <c r="H40" s="122">
        <f t="shared" si="0"/>
        <v>0</v>
      </c>
      <c r="I40" s="123"/>
      <c r="J40" s="124"/>
      <c r="K40" s="58">
        <v>0</v>
      </c>
      <c r="L40" s="107">
        <f>8289+H40</f>
        <v>8289</v>
      </c>
      <c r="M40" s="107"/>
    </row>
    <row r="41" spans="1:13" x14ac:dyDescent="0.25">
      <c r="A41" s="57" t="s">
        <v>30</v>
      </c>
      <c r="B41" s="128">
        <f>2005</f>
        <v>2005</v>
      </c>
      <c r="C41" s="129"/>
      <c r="D41" s="130"/>
      <c r="E41" s="75">
        <f>0</f>
        <v>0</v>
      </c>
      <c r="F41" s="76"/>
      <c r="G41" s="77"/>
      <c r="H41" s="122">
        <f t="shared" si="0"/>
        <v>0</v>
      </c>
      <c r="I41" s="123"/>
      <c r="J41" s="124"/>
      <c r="K41" s="58">
        <v>0</v>
      </c>
      <c r="L41" s="107">
        <f>2005+H41</f>
        <v>2005</v>
      </c>
      <c r="M41" s="107"/>
    </row>
    <row r="42" spans="1:13" x14ac:dyDescent="0.25">
      <c r="A42" s="12" t="s">
        <v>31</v>
      </c>
      <c r="B42" s="69">
        <f>SUM(B43:D45)</f>
        <v>751546.74</v>
      </c>
      <c r="C42" s="70"/>
      <c r="D42" s="71"/>
      <c r="E42" s="69">
        <f>SUM(E43:G45)</f>
        <v>0</v>
      </c>
      <c r="F42" s="70"/>
      <c r="G42" s="71"/>
      <c r="H42" s="69">
        <f>SUM(H43:J45)</f>
        <v>0</v>
      </c>
      <c r="I42" s="70"/>
      <c r="J42" s="71"/>
      <c r="K42" s="48">
        <v>0</v>
      </c>
      <c r="L42" s="105">
        <f>SUM(L43:M45)</f>
        <v>751546.74</v>
      </c>
      <c r="M42" s="106"/>
    </row>
    <row r="43" spans="1:13" x14ac:dyDescent="0.25">
      <c r="A43" s="13" t="s">
        <v>32</v>
      </c>
      <c r="B43" s="128">
        <v>583007.5</v>
      </c>
      <c r="C43" s="129"/>
      <c r="D43" s="130"/>
      <c r="E43" s="60">
        <f>0</f>
        <v>0</v>
      </c>
      <c r="F43" s="61"/>
      <c r="G43" s="62"/>
      <c r="H43" s="122">
        <f>0+E43</f>
        <v>0</v>
      </c>
      <c r="I43" s="123"/>
      <c r="J43" s="124"/>
      <c r="K43" s="43">
        <v>0</v>
      </c>
      <c r="L43" s="103">
        <f>583007.5+H43</f>
        <v>583007.5</v>
      </c>
      <c r="M43" s="103"/>
    </row>
    <row r="44" spans="1:13" x14ac:dyDescent="0.25">
      <c r="A44" s="13" t="s">
        <v>33</v>
      </c>
      <c r="B44" s="128">
        <v>151996.63</v>
      </c>
      <c r="C44" s="129"/>
      <c r="D44" s="130"/>
      <c r="E44" s="60">
        <f>0</f>
        <v>0</v>
      </c>
      <c r="F44" s="61"/>
      <c r="G44" s="62"/>
      <c r="H44" s="122">
        <f t="shared" ref="H44:H45" si="1">0+E44</f>
        <v>0</v>
      </c>
      <c r="I44" s="123"/>
      <c r="J44" s="124"/>
      <c r="K44" s="43">
        <v>0</v>
      </c>
      <c r="L44" s="101">
        <f>151996.63+H44</f>
        <v>151996.63</v>
      </c>
      <c r="M44" s="102"/>
    </row>
    <row r="45" spans="1:13" x14ac:dyDescent="0.25">
      <c r="A45" s="13" t="s">
        <v>34</v>
      </c>
      <c r="B45" s="128">
        <f>16542.61</f>
        <v>16542.61</v>
      </c>
      <c r="C45" s="129"/>
      <c r="D45" s="130"/>
      <c r="E45" s="60">
        <f>0</f>
        <v>0</v>
      </c>
      <c r="F45" s="61"/>
      <c r="G45" s="62"/>
      <c r="H45" s="122">
        <f t="shared" si="1"/>
        <v>0</v>
      </c>
      <c r="I45" s="123"/>
      <c r="J45" s="124"/>
      <c r="K45" s="43">
        <v>0</v>
      </c>
      <c r="L45" s="101">
        <f>16542.61+H45</f>
        <v>16542.61</v>
      </c>
      <c r="M45" s="102"/>
    </row>
    <row r="46" spans="1:13" x14ac:dyDescent="0.25">
      <c r="A46" s="12" t="s">
        <v>35</v>
      </c>
      <c r="B46" s="69">
        <f>SUM(B47:D49)</f>
        <v>126209</v>
      </c>
      <c r="C46" s="70"/>
      <c r="D46" s="71"/>
      <c r="E46" s="69">
        <f>SUM(E47:G49)</f>
        <v>0</v>
      </c>
      <c r="F46" s="70"/>
      <c r="G46" s="71"/>
      <c r="H46" s="69">
        <f>SUM(H47:J49)</f>
        <v>0</v>
      </c>
      <c r="I46" s="70"/>
      <c r="J46" s="71"/>
      <c r="K46" s="48">
        <v>0</v>
      </c>
      <c r="L46" s="105">
        <f>SUM(L47:M49)</f>
        <v>126209</v>
      </c>
      <c r="M46" s="106"/>
    </row>
    <row r="47" spans="1:13" x14ac:dyDescent="0.25">
      <c r="A47" s="13" t="s">
        <v>36</v>
      </c>
      <c r="B47" s="75">
        <f>6921.51</f>
        <v>6921.51</v>
      </c>
      <c r="C47" s="76"/>
      <c r="D47" s="77"/>
      <c r="E47" s="60">
        <f>0</f>
        <v>0</v>
      </c>
      <c r="F47" s="61"/>
      <c r="G47" s="62"/>
      <c r="H47" s="122">
        <f>0+E47</f>
        <v>0</v>
      </c>
      <c r="I47" s="123"/>
      <c r="J47" s="124"/>
      <c r="K47" s="43">
        <v>0</v>
      </c>
      <c r="L47" s="121">
        <f>6921.51+H47</f>
        <v>6921.51</v>
      </c>
      <c r="M47" s="121"/>
    </row>
    <row r="48" spans="1:13" x14ac:dyDescent="0.25">
      <c r="A48" s="13" t="s">
        <v>37</v>
      </c>
      <c r="B48" s="128">
        <v>13191.49</v>
      </c>
      <c r="C48" s="129"/>
      <c r="D48" s="130"/>
      <c r="E48" s="60">
        <f>0</f>
        <v>0</v>
      </c>
      <c r="F48" s="61"/>
      <c r="G48" s="62"/>
      <c r="H48" s="122">
        <f t="shared" ref="H48:H49" si="2">0+E48</f>
        <v>0</v>
      </c>
      <c r="I48" s="123"/>
      <c r="J48" s="124"/>
      <c r="K48" s="43">
        <v>0</v>
      </c>
      <c r="L48" s="101">
        <f>13191.49+H48</f>
        <v>13191.49</v>
      </c>
      <c r="M48" s="102"/>
    </row>
    <row r="49" spans="1:13" x14ac:dyDescent="0.25">
      <c r="A49" s="13" t="s">
        <v>38</v>
      </c>
      <c r="B49" s="128">
        <f>106096</f>
        <v>106096</v>
      </c>
      <c r="C49" s="129"/>
      <c r="D49" s="130"/>
      <c r="E49" s="60">
        <f>0</f>
        <v>0</v>
      </c>
      <c r="F49" s="61"/>
      <c r="G49" s="62"/>
      <c r="H49" s="122">
        <f t="shared" si="2"/>
        <v>0</v>
      </c>
      <c r="I49" s="123"/>
      <c r="J49" s="124"/>
      <c r="K49" s="43">
        <v>0</v>
      </c>
      <c r="L49" s="101">
        <f>106096+H49</f>
        <v>106096</v>
      </c>
      <c r="M49" s="102"/>
    </row>
    <row r="50" spans="1:13" x14ac:dyDescent="0.25">
      <c r="A50" s="12" t="s">
        <v>39</v>
      </c>
      <c r="B50" s="69">
        <f>SUM(B51:D61)</f>
        <v>633337.52999999991</v>
      </c>
      <c r="C50" s="70"/>
      <c r="D50" s="71"/>
      <c r="E50" s="69">
        <f>SUM(E51:G61)</f>
        <v>4900.9699999999993</v>
      </c>
      <c r="F50" s="70"/>
      <c r="G50" s="71"/>
      <c r="H50" s="69">
        <f>SUM(H51:J61)</f>
        <v>4900.9699999999993</v>
      </c>
      <c r="I50" s="70"/>
      <c r="J50" s="71"/>
      <c r="K50" s="48">
        <v>0.18400750610147248</v>
      </c>
      <c r="L50" s="105">
        <f>SUM(L51:M61)</f>
        <v>638238.5</v>
      </c>
      <c r="M50" s="106"/>
    </row>
    <row r="51" spans="1:13" x14ac:dyDescent="0.25">
      <c r="A51" s="53" t="s">
        <v>96</v>
      </c>
      <c r="B51" s="128">
        <f>63050</f>
        <v>63050</v>
      </c>
      <c r="C51" s="129"/>
      <c r="D51" s="130"/>
      <c r="E51" s="60">
        <f>0</f>
        <v>0</v>
      </c>
      <c r="F51" s="61"/>
      <c r="G51" s="62"/>
      <c r="H51" s="122">
        <f>0+E51</f>
        <v>0</v>
      </c>
      <c r="I51" s="123"/>
      <c r="J51" s="124"/>
      <c r="K51" s="43">
        <v>1.990812767745884E-2</v>
      </c>
      <c r="L51" s="101">
        <f>63050+H51</f>
        <v>63050</v>
      </c>
      <c r="M51" s="102"/>
    </row>
    <row r="52" spans="1:13" x14ac:dyDescent="0.25">
      <c r="A52" s="54" t="s">
        <v>97</v>
      </c>
      <c r="B52" s="128">
        <f>43922.08</f>
        <v>43922.080000000002</v>
      </c>
      <c r="C52" s="129"/>
      <c r="D52" s="130"/>
      <c r="E52" s="60">
        <f>700</f>
        <v>700</v>
      </c>
      <c r="F52" s="61"/>
      <c r="G52" s="62"/>
      <c r="H52" s="122">
        <f t="shared" ref="H52:H61" si="3">0+E52</f>
        <v>700</v>
      </c>
      <c r="I52" s="123"/>
      <c r="J52" s="124"/>
      <c r="K52" s="43">
        <v>0</v>
      </c>
      <c r="L52" s="103">
        <f>43922.08+H52</f>
        <v>44622.080000000002</v>
      </c>
      <c r="M52" s="103"/>
    </row>
    <row r="53" spans="1:13" x14ac:dyDescent="0.25">
      <c r="A53" s="55" t="s">
        <v>98</v>
      </c>
      <c r="B53" s="128">
        <f>420450.98</f>
        <v>420450.98</v>
      </c>
      <c r="C53" s="129"/>
      <c r="D53" s="130"/>
      <c r="E53" s="60">
        <f>3764.06</f>
        <v>3764.06</v>
      </c>
      <c r="F53" s="61"/>
      <c r="G53" s="62"/>
      <c r="H53" s="122">
        <f t="shared" si="3"/>
        <v>3764.06</v>
      </c>
      <c r="I53" s="123"/>
      <c r="J53" s="124"/>
      <c r="K53" s="43">
        <v>0</v>
      </c>
      <c r="L53" s="101">
        <f>420450.98+H53</f>
        <v>424215.03999999998</v>
      </c>
      <c r="M53" s="102"/>
    </row>
    <row r="54" spans="1:13" x14ac:dyDescent="0.25">
      <c r="A54" s="13" t="s">
        <v>40</v>
      </c>
      <c r="B54" s="128">
        <f>33403.74</f>
        <v>33403.74</v>
      </c>
      <c r="C54" s="129"/>
      <c r="D54" s="130"/>
      <c r="E54" s="60">
        <f>391.66</f>
        <v>391.66</v>
      </c>
      <c r="F54" s="61"/>
      <c r="G54" s="62"/>
      <c r="H54" s="122">
        <f t="shared" si="3"/>
        <v>391.66</v>
      </c>
      <c r="I54" s="123"/>
      <c r="J54" s="124"/>
      <c r="K54" s="43">
        <v>1.3107658730451326E-2</v>
      </c>
      <c r="L54" s="101">
        <f>33403.74+H54</f>
        <v>33795.4</v>
      </c>
      <c r="M54" s="102"/>
    </row>
    <row r="55" spans="1:13" x14ac:dyDescent="0.25">
      <c r="A55" s="13" t="s">
        <v>41</v>
      </c>
      <c r="B55" s="128">
        <f>9319.68</f>
        <v>9319.68</v>
      </c>
      <c r="C55" s="129"/>
      <c r="D55" s="130"/>
      <c r="E55" s="60">
        <f>0</f>
        <v>0</v>
      </c>
      <c r="F55" s="61"/>
      <c r="G55" s="62"/>
      <c r="H55" s="122">
        <f t="shared" si="3"/>
        <v>0</v>
      </c>
      <c r="I55" s="123"/>
      <c r="J55" s="124"/>
      <c r="K55" s="43">
        <v>2.4022474064133667E-3</v>
      </c>
      <c r="L55" s="101">
        <f>9319.68+H55</f>
        <v>9319.68</v>
      </c>
      <c r="M55" s="102"/>
    </row>
    <row r="56" spans="1:13" x14ac:dyDescent="0.25">
      <c r="A56" s="13" t="s">
        <v>42</v>
      </c>
      <c r="B56" s="128">
        <f>2639.04</f>
        <v>2639.04</v>
      </c>
      <c r="C56" s="129"/>
      <c r="D56" s="130"/>
      <c r="E56" s="60">
        <f>45.25</f>
        <v>45.25</v>
      </c>
      <c r="F56" s="61"/>
      <c r="G56" s="62"/>
      <c r="H56" s="122">
        <f t="shared" si="3"/>
        <v>45.25</v>
      </c>
      <c r="I56" s="123"/>
      <c r="J56" s="124"/>
      <c r="K56" s="43">
        <v>1.437809221149805E-3</v>
      </c>
      <c r="L56" s="101">
        <f>2639.04+H56</f>
        <v>2684.29</v>
      </c>
      <c r="M56" s="102"/>
    </row>
    <row r="57" spans="1:13" x14ac:dyDescent="0.25">
      <c r="A57" s="13" t="s">
        <v>43</v>
      </c>
      <c r="B57" s="128">
        <v>32308.46</v>
      </c>
      <c r="C57" s="129"/>
      <c r="D57" s="130"/>
      <c r="E57" s="60">
        <f>0</f>
        <v>0</v>
      </c>
      <c r="F57" s="61"/>
      <c r="G57" s="62"/>
      <c r="H57" s="122">
        <f t="shared" si="3"/>
        <v>0</v>
      </c>
      <c r="I57" s="123"/>
      <c r="J57" s="124"/>
      <c r="K57" s="43">
        <v>0</v>
      </c>
      <c r="L57" s="101">
        <f>32308.46+H57</f>
        <v>32308.46</v>
      </c>
      <c r="M57" s="102"/>
    </row>
    <row r="58" spans="1:13" x14ac:dyDescent="0.25">
      <c r="A58" s="13" t="s">
        <v>90</v>
      </c>
      <c r="B58" s="128">
        <f>18941.84</f>
        <v>18941.84</v>
      </c>
      <c r="C58" s="129"/>
      <c r="D58" s="130"/>
      <c r="E58" s="60">
        <f>0</f>
        <v>0</v>
      </c>
      <c r="F58" s="61"/>
      <c r="G58" s="62"/>
      <c r="H58" s="122">
        <f t="shared" si="3"/>
        <v>0</v>
      </c>
      <c r="I58" s="123"/>
      <c r="J58" s="124"/>
      <c r="K58" s="43">
        <v>0</v>
      </c>
      <c r="L58" s="101">
        <f>18941.84+H58</f>
        <v>18941.84</v>
      </c>
      <c r="M58" s="102"/>
    </row>
    <row r="59" spans="1:13" x14ac:dyDescent="0.25">
      <c r="A59" s="13" t="s">
        <v>44</v>
      </c>
      <c r="B59" s="128">
        <v>5618.11</v>
      </c>
      <c r="C59" s="129"/>
      <c r="D59" s="130"/>
      <c r="E59" s="60">
        <f>0</f>
        <v>0</v>
      </c>
      <c r="F59" s="61"/>
      <c r="G59" s="62"/>
      <c r="H59" s="122">
        <f t="shared" si="3"/>
        <v>0</v>
      </c>
      <c r="I59" s="123"/>
      <c r="J59" s="124"/>
      <c r="K59" s="43">
        <v>0</v>
      </c>
      <c r="L59" s="101">
        <f>5618.11+H59</f>
        <v>5618.11</v>
      </c>
      <c r="M59" s="102"/>
    </row>
    <row r="60" spans="1:13" x14ac:dyDescent="0.25">
      <c r="A60" s="13" t="s">
        <v>45</v>
      </c>
      <c r="B60" s="128">
        <f>412</f>
        <v>412</v>
      </c>
      <c r="C60" s="129"/>
      <c r="D60" s="130"/>
      <c r="E60" s="60">
        <f>0</f>
        <v>0</v>
      </c>
      <c r="F60" s="61"/>
      <c r="G60" s="62"/>
      <c r="H60" s="122">
        <f t="shared" si="3"/>
        <v>0</v>
      </c>
      <c r="I60" s="123"/>
      <c r="J60" s="124"/>
      <c r="K60" s="43">
        <v>0</v>
      </c>
      <c r="L60" s="101">
        <f>412+H60</f>
        <v>412</v>
      </c>
      <c r="M60" s="102"/>
    </row>
    <row r="61" spans="1:13" x14ac:dyDescent="0.25">
      <c r="A61" s="13" t="s">
        <v>88</v>
      </c>
      <c r="B61" s="128">
        <f>3271.6</f>
        <v>3271.6</v>
      </c>
      <c r="C61" s="129"/>
      <c r="D61" s="130"/>
      <c r="E61" s="60">
        <f>0</f>
        <v>0</v>
      </c>
      <c r="F61" s="61"/>
      <c r="G61" s="62"/>
      <c r="H61" s="122">
        <f t="shared" si="3"/>
        <v>0</v>
      </c>
      <c r="I61" s="123"/>
      <c r="J61" s="124"/>
      <c r="K61" s="43">
        <v>0</v>
      </c>
      <c r="L61" s="101">
        <f>3271.6+H61</f>
        <v>3271.6</v>
      </c>
      <c r="M61" s="102"/>
    </row>
    <row r="62" spans="1:13" x14ac:dyDescent="0.25">
      <c r="A62" s="12" t="s">
        <v>46</v>
      </c>
      <c r="B62" s="69">
        <f>SUM(B63:D66)</f>
        <v>828435.89</v>
      </c>
      <c r="C62" s="70"/>
      <c r="D62" s="71"/>
      <c r="E62" s="69">
        <f>SUM(E63:G66)</f>
        <v>446.70000000000005</v>
      </c>
      <c r="F62" s="70"/>
      <c r="G62" s="71"/>
      <c r="H62" s="69">
        <f>SUM(H63:J66)</f>
        <v>446.70000000000005</v>
      </c>
      <c r="I62" s="70"/>
      <c r="J62" s="71"/>
      <c r="K62" s="48">
        <v>1.6136643489673582E-2</v>
      </c>
      <c r="L62" s="105">
        <f>SUM(L63:M66)</f>
        <v>828882.59000000008</v>
      </c>
      <c r="M62" s="106"/>
    </row>
    <row r="63" spans="1:13" x14ac:dyDescent="0.25">
      <c r="A63" s="13" t="s">
        <v>47</v>
      </c>
      <c r="B63" s="128">
        <f>480720.31</f>
        <v>480720.31</v>
      </c>
      <c r="C63" s="129"/>
      <c r="D63" s="130"/>
      <c r="E63" s="60">
        <f>8.5+21.89+99.5+5.97+8.5+1.99+1.99</f>
        <v>148.34</v>
      </c>
      <c r="F63" s="61"/>
      <c r="G63" s="62"/>
      <c r="H63" s="122">
        <f>0+E63</f>
        <v>148.34</v>
      </c>
      <c r="I63" s="123"/>
      <c r="J63" s="124"/>
      <c r="K63" s="43">
        <v>4.8808093022569927E-3</v>
      </c>
      <c r="L63" s="103">
        <f>480720.31+H63</f>
        <v>480868.65</v>
      </c>
      <c r="M63" s="103"/>
    </row>
    <row r="64" spans="1:13" x14ac:dyDescent="0.25">
      <c r="A64" s="13" t="s">
        <v>48</v>
      </c>
      <c r="B64" s="128">
        <f>91687.14</f>
        <v>91687.14</v>
      </c>
      <c r="C64" s="129"/>
      <c r="D64" s="130"/>
      <c r="E64" s="60">
        <f>125.18+10.01+75.11+15.02</f>
        <v>225.32000000000002</v>
      </c>
      <c r="F64" s="61"/>
      <c r="G64" s="62"/>
      <c r="H64" s="122">
        <f t="shared" ref="H64:H66" si="4">0+E64</f>
        <v>225.32000000000002</v>
      </c>
      <c r="I64" s="123"/>
      <c r="J64" s="124"/>
      <c r="K64" s="43">
        <v>7.3081262027827141E-3</v>
      </c>
      <c r="L64" s="101">
        <f>91687.14+H64</f>
        <v>91912.46</v>
      </c>
      <c r="M64" s="102"/>
    </row>
    <row r="65" spans="1:13" x14ac:dyDescent="0.25">
      <c r="A65" s="13" t="s">
        <v>49</v>
      </c>
      <c r="B65" s="128">
        <f>240217.14</f>
        <v>240217.14</v>
      </c>
      <c r="C65" s="129"/>
      <c r="D65" s="130"/>
      <c r="E65" s="60">
        <f>31.62+41.42</f>
        <v>73.040000000000006</v>
      </c>
      <c r="F65" s="61"/>
      <c r="G65" s="62"/>
      <c r="H65" s="122">
        <f t="shared" si="4"/>
        <v>73.040000000000006</v>
      </c>
      <c r="I65" s="123"/>
      <c r="J65" s="124"/>
      <c r="K65" s="43">
        <v>3.9477079846338753E-3</v>
      </c>
      <c r="L65" s="101">
        <f>240217.14+H65</f>
        <v>240290.18000000002</v>
      </c>
      <c r="M65" s="102"/>
    </row>
    <row r="66" spans="1:13" x14ac:dyDescent="0.25">
      <c r="A66" s="13" t="s">
        <v>91</v>
      </c>
      <c r="B66" s="128">
        <f>15811.3</f>
        <v>15811.3</v>
      </c>
      <c r="C66" s="129"/>
      <c r="D66" s="130"/>
      <c r="E66" s="60">
        <f>0</f>
        <v>0</v>
      </c>
      <c r="F66" s="61"/>
      <c r="G66" s="62"/>
      <c r="H66" s="122">
        <f t="shared" si="4"/>
        <v>0</v>
      </c>
      <c r="I66" s="123"/>
      <c r="J66" s="124"/>
      <c r="K66" s="43">
        <v>0</v>
      </c>
      <c r="L66" s="101">
        <f>15811.3+H66</f>
        <v>15811.3</v>
      </c>
      <c r="M66" s="102"/>
    </row>
    <row r="67" spans="1:13" x14ac:dyDescent="0.25">
      <c r="A67" s="12" t="s">
        <v>50</v>
      </c>
      <c r="B67" s="69">
        <f>SUM(B68:D80)</f>
        <v>1194191.3800000001</v>
      </c>
      <c r="C67" s="70"/>
      <c r="D67" s="71"/>
      <c r="E67" s="69">
        <f>SUM(E68:G80)</f>
        <v>12298.18</v>
      </c>
      <c r="F67" s="70"/>
      <c r="G67" s="71"/>
      <c r="H67" s="69">
        <f>SUM(H68:J80)</f>
        <v>12298.18</v>
      </c>
      <c r="I67" s="70"/>
      <c r="J67" s="71"/>
      <c r="K67" s="48">
        <v>0.26429182365822906</v>
      </c>
      <c r="L67" s="104">
        <f>SUM(L68:M80)</f>
        <v>1206489.5600000003</v>
      </c>
      <c r="M67" s="104"/>
    </row>
    <row r="68" spans="1:13" x14ac:dyDescent="0.25">
      <c r="A68" s="16" t="s">
        <v>51</v>
      </c>
      <c r="B68" s="128">
        <f>9958.81</f>
        <v>9958.81</v>
      </c>
      <c r="C68" s="129"/>
      <c r="D68" s="130"/>
      <c r="E68" s="60">
        <f>0</f>
        <v>0</v>
      </c>
      <c r="F68" s="61"/>
      <c r="G68" s="62"/>
      <c r="H68" s="122">
        <f>0+E68</f>
        <v>0</v>
      </c>
      <c r="I68" s="123"/>
      <c r="J68" s="124"/>
      <c r="K68" s="43">
        <v>0</v>
      </c>
      <c r="L68" s="103">
        <f>9958.81+H68</f>
        <v>9958.81</v>
      </c>
      <c r="M68" s="103"/>
    </row>
    <row r="69" spans="1:13" x14ac:dyDescent="0.25">
      <c r="A69" s="16" t="s">
        <v>99</v>
      </c>
      <c r="B69" s="128">
        <f>5767.4+16416.05</f>
        <v>22183.449999999997</v>
      </c>
      <c r="C69" s="129"/>
      <c r="D69" s="130"/>
      <c r="E69" s="60">
        <f>0</f>
        <v>0</v>
      </c>
      <c r="F69" s="61"/>
      <c r="G69" s="62"/>
      <c r="H69" s="122">
        <f t="shared" ref="H69:H80" si="5">0+E69</f>
        <v>0</v>
      </c>
      <c r="I69" s="123"/>
      <c r="J69" s="124"/>
      <c r="K69" s="43">
        <v>0</v>
      </c>
      <c r="L69" s="103">
        <f>22183.45+H69</f>
        <v>22183.45</v>
      </c>
      <c r="M69" s="103"/>
    </row>
    <row r="70" spans="1:13" x14ac:dyDescent="0.25">
      <c r="A70" s="16" t="s">
        <v>87</v>
      </c>
      <c r="B70" s="128">
        <f>22664.13</f>
        <v>22664.13</v>
      </c>
      <c r="C70" s="129"/>
      <c r="D70" s="130"/>
      <c r="E70" s="60">
        <f>0</f>
        <v>0</v>
      </c>
      <c r="F70" s="61"/>
      <c r="G70" s="62"/>
      <c r="H70" s="122">
        <f t="shared" si="5"/>
        <v>0</v>
      </c>
      <c r="I70" s="123"/>
      <c r="J70" s="124"/>
      <c r="K70" s="43">
        <v>0</v>
      </c>
      <c r="L70" s="103">
        <f>22664.13+H70</f>
        <v>22664.13</v>
      </c>
      <c r="M70" s="103"/>
    </row>
    <row r="71" spans="1:13" x14ac:dyDescent="0.25">
      <c r="A71" s="13" t="s">
        <v>53</v>
      </c>
      <c r="B71" s="128">
        <f>10061.45</f>
        <v>10061.450000000001</v>
      </c>
      <c r="C71" s="129"/>
      <c r="D71" s="130"/>
      <c r="E71" s="60">
        <f>0</f>
        <v>0</v>
      </c>
      <c r="F71" s="61"/>
      <c r="G71" s="62"/>
      <c r="H71" s="122">
        <f t="shared" si="5"/>
        <v>0</v>
      </c>
      <c r="I71" s="123"/>
      <c r="J71" s="124"/>
      <c r="K71" s="43">
        <v>0</v>
      </c>
      <c r="L71" s="103">
        <f>10061.45+H71</f>
        <v>10061.450000000001</v>
      </c>
      <c r="M71" s="103"/>
    </row>
    <row r="72" spans="1:13" x14ac:dyDescent="0.25">
      <c r="A72" s="16" t="s">
        <v>54</v>
      </c>
      <c r="B72" s="128">
        <f>202557.42</f>
        <v>202557.42</v>
      </c>
      <c r="C72" s="129"/>
      <c r="D72" s="130"/>
      <c r="E72" s="60">
        <f>2173.02</f>
        <v>2173.02</v>
      </c>
      <c r="F72" s="61"/>
      <c r="G72" s="62"/>
      <c r="H72" s="122">
        <f t="shared" si="5"/>
        <v>2173.02</v>
      </c>
      <c r="I72" s="123"/>
      <c r="J72" s="124"/>
      <c r="K72" s="43">
        <v>6.7828834342257588E-2</v>
      </c>
      <c r="L72" s="103">
        <f>202557.42+H72</f>
        <v>204730.44</v>
      </c>
      <c r="M72" s="103"/>
    </row>
    <row r="73" spans="1:13" x14ac:dyDescent="0.25">
      <c r="A73" s="16" t="s">
        <v>55</v>
      </c>
      <c r="B73" s="128">
        <f>38062.4</f>
        <v>38062.400000000001</v>
      </c>
      <c r="C73" s="129"/>
      <c r="D73" s="130"/>
      <c r="E73" s="60">
        <f>125.16+115.13+210.24</f>
        <v>450.53</v>
      </c>
      <c r="F73" s="61"/>
      <c r="G73" s="62"/>
      <c r="H73" s="122">
        <f t="shared" si="5"/>
        <v>450.53</v>
      </c>
      <c r="I73" s="123"/>
      <c r="J73" s="124"/>
      <c r="K73" s="43">
        <v>1.0950944898726618E-2</v>
      </c>
      <c r="L73" s="103">
        <f>38062.4+H73</f>
        <v>38512.93</v>
      </c>
      <c r="M73" s="103"/>
    </row>
    <row r="74" spans="1:13" x14ac:dyDescent="0.25">
      <c r="A74" s="16" t="s">
        <v>56</v>
      </c>
      <c r="B74" s="128">
        <f>11580.79</f>
        <v>11580.79</v>
      </c>
      <c r="C74" s="129"/>
      <c r="D74" s="130"/>
      <c r="E74" s="60">
        <f>8.99+22+24</f>
        <v>54.99</v>
      </c>
      <c r="F74" s="61"/>
      <c r="G74" s="62"/>
      <c r="H74" s="122">
        <f t="shared" si="5"/>
        <v>54.99</v>
      </c>
      <c r="I74" s="123"/>
      <c r="J74" s="124"/>
      <c r="K74" s="43">
        <v>0</v>
      </c>
      <c r="L74" s="103">
        <f>11580.79+H74</f>
        <v>11635.78</v>
      </c>
      <c r="M74" s="103"/>
    </row>
    <row r="75" spans="1:13" x14ac:dyDescent="0.25">
      <c r="A75" s="16" t="s">
        <v>57</v>
      </c>
      <c r="B75" s="128">
        <f>5658.25</f>
        <v>5658.25</v>
      </c>
      <c r="C75" s="129"/>
      <c r="D75" s="130"/>
      <c r="E75" s="60">
        <f>43.99</f>
        <v>43.99</v>
      </c>
      <c r="F75" s="61"/>
      <c r="G75" s="62"/>
      <c r="H75" s="122">
        <f t="shared" si="5"/>
        <v>43.99</v>
      </c>
      <c r="I75" s="123"/>
      <c r="J75" s="124"/>
      <c r="K75" s="43">
        <v>0</v>
      </c>
      <c r="L75" s="103">
        <f>5658.25+H75</f>
        <v>5702.24</v>
      </c>
      <c r="M75" s="103"/>
    </row>
    <row r="76" spans="1:13" x14ac:dyDescent="0.25">
      <c r="A76" s="16" t="s">
        <v>100</v>
      </c>
      <c r="B76" s="128">
        <f>4370.45</f>
        <v>4370.45</v>
      </c>
      <c r="C76" s="129"/>
      <c r="D76" s="130"/>
      <c r="E76" s="60">
        <f>0</f>
        <v>0</v>
      </c>
      <c r="F76" s="61"/>
      <c r="G76" s="62"/>
      <c r="H76" s="122">
        <f t="shared" si="5"/>
        <v>0</v>
      </c>
      <c r="I76" s="123"/>
      <c r="J76" s="124"/>
      <c r="K76" s="43">
        <v>0</v>
      </c>
      <c r="L76" s="103">
        <f>4370.45+H76</f>
        <v>4370.45</v>
      </c>
      <c r="M76" s="103"/>
    </row>
    <row r="77" spans="1:13" x14ac:dyDescent="0.25">
      <c r="A77" s="16" t="s">
        <v>59</v>
      </c>
      <c r="B77" s="128">
        <v>507931.69</v>
      </c>
      <c r="C77" s="129"/>
      <c r="D77" s="130"/>
      <c r="E77" s="60">
        <f>2582.23+2850</f>
        <v>5432.23</v>
      </c>
      <c r="F77" s="61"/>
      <c r="G77" s="62"/>
      <c r="H77" s="122">
        <f t="shared" si="5"/>
        <v>5432.23</v>
      </c>
      <c r="I77" s="123"/>
      <c r="J77" s="124"/>
      <c r="K77" s="43">
        <v>6.9171158284361794E-2</v>
      </c>
      <c r="L77" s="103">
        <f>507931.69+H77</f>
        <v>513363.92</v>
      </c>
      <c r="M77" s="103"/>
    </row>
    <row r="78" spans="1:13" x14ac:dyDescent="0.25">
      <c r="A78" s="16" t="s">
        <v>60</v>
      </c>
      <c r="B78" s="128">
        <f>355074.2</f>
        <v>355074.2</v>
      </c>
      <c r="C78" s="129"/>
      <c r="D78" s="130"/>
      <c r="E78" s="60">
        <f>316.67+510.61+1001.47+50.07+508.48+50.07+180.84+400.59+609.62+515</f>
        <v>4143.42</v>
      </c>
      <c r="F78" s="61"/>
      <c r="G78" s="62"/>
      <c r="H78" s="122">
        <f t="shared" si="5"/>
        <v>4143.42</v>
      </c>
      <c r="I78" s="123"/>
      <c r="J78" s="124"/>
      <c r="K78" s="43">
        <v>0.11634088613288307</v>
      </c>
      <c r="L78" s="103">
        <f>355074.2+H78</f>
        <v>359217.62</v>
      </c>
      <c r="M78" s="103"/>
    </row>
    <row r="79" spans="1:13" x14ac:dyDescent="0.25">
      <c r="A79" s="59" t="s">
        <v>52</v>
      </c>
      <c r="B79" s="128">
        <v>2031.58</v>
      </c>
      <c r="C79" s="129"/>
      <c r="D79" s="130"/>
      <c r="E79" s="75">
        <f>0</f>
        <v>0</v>
      </c>
      <c r="F79" s="76"/>
      <c r="G79" s="77"/>
      <c r="H79" s="122">
        <f t="shared" si="5"/>
        <v>0</v>
      </c>
      <c r="I79" s="123"/>
      <c r="J79" s="124"/>
      <c r="K79" s="58">
        <v>0</v>
      </c>
      <c r="L79" s="107">
        <f>2031.58+H79</f>
        <v>2031.58</v>
      </c>
      <c r="M79" s="107"/>
    </row>
    <row r="80" spans="1:13" x14ac:dyDescent="0.25">
      <c r="A80" s="59" t="s">
        <v>58</v>
      </c>
      <c r="B80" s="128">
        <f>2056.76</f>
        <v>2056.7600000000002</v>
      </c>
      <c r="C80" s="129"/>
      <c r="D80" s="130"/>
      <c r="E80" s="75">
        <f>0</f>
        <v>0</v>
      </c>
      <c r="F80" s="76"/>
      <c r="G80" s="77"/>
      <c r="H80" s="122">
        <f t="shared" si="5"/>
        <v>0</v>
      </c>
      <c r="I80" s="123"/>
      <c r="J80" s="124"/>
      <c r="K80" s="58">
        <v>0</v>
      </c>
      <c r="L80" s="107">
        <f>2056.76+H80</f>
        <v>2056.7600000000002</v>
      </c>
      <c r="M80" s="107"/>
    </row>
    <row r="81" spans="1:13" x14ac:dyDescent="0.25">
      <c r="A81" s="12" t="s">
        <v>61</v>
      </c>
      <c r="B81" s="69">
        <f>SUM(B82:D85)</f>
        <v>29605.649999999998</v>
      </c>
      <c r="C81" s="70"/>
      <c r="D81" s="71"/>
      <c r="E81" s="69">
        <f>SUM(E82:G85)</f>
        <v>35.700000000000003</v>
      </c>
      <c r="F81" s="70"/>
      <c r="G81" s="71"/>
      <c r="H81" s="69">
        <f>SUM(H82:J85)</f>
        <v>35.700000000000003</v>
      </c>
      <c r="I81" s="70"/>
      <c r="J81" s="71"/>
      <c r="K81" s="48">
        <v>6.2673735280888935E-4</v>
      </c>
      <c r="L81" s="105">
        <f>SUM(L82:M85)</f>
        <v>29641.35</v>
      </c>
      <c r="M81" s="106"/>
    </row>
    <row r="82" spans="1:13" x14ac:dyDescent="0.25">
      <c r="A82" s="13" t="s">
        <v>62</v>
      </c>
      <c r="B82" s="128">
        <f>8206.26</f>
        <v>8206.26</v>
      </c>
      <c r="C82" s="129"/>
      <c r="D82" s="130"/>
      <c r="E82" s="60">
        <f>0</f>
        <v>0</v>
      </c>
      <c r="F82" s="61"/>
      <c r="G82" s="62"/>
      <c r="H82" s="122">
        <f>0+E82</f>
        <v>0</v>
      </c>
      <c r="I82" s="123"/>
      <c r="J82" s="124"/>
      <c r="K82" s="43">
        <v>0</v>
      </c>
      <c r="L82" s="103">
        <f>8206.26+H82</f>
        <v>8206.26</v>
      </c>
      <c r="M82" s="103"/>
    </row>
    <row r="83" spans="1:13" x14ac:dyDescent="0.25">
      <c r="A83" s="13" t="s">
        <v>63</v>
      </c>
      <c r="B83" s="128">
        <f>2582.95</f>
        <v>2582.9499999999998</v>
      </c>
      <c r="C83" s="129"/>
      <c r="D83" s="130"/>
      <c r="E83" s="60">
        <f>0</f>
        <v>0</v>
      </c>
      <c r="F83" s="61"/>
      <c r="G83" s="62"/>
      <c r="H83" s="122">
        <f t="shared" ref="H83:H85" si="6">0+E83</f>
        <v>0</v>
      </c>
      <c r="I83" s="123"/>
      <c r="J83" s="124"/>
      <c r="K83" s="43">
        <v>2.0830882641257875E-3</v>
      </c>
      <c r="L83" s="103">
        <f>2582.95+H83</f>
        <v>2582.9499999999998</v>
      </c>
      <c r="M83" s="103"/>
    </row>
    <row r="84" spans="1:13" x14ac:dyDescent="0.25">
      <c r="A84" s="13" t="s">
        <v>64</v>
      </c>
      <c r="B84" s="128">
        <f>17511.46</f>
        <v>17511.46</v>
      </c>
      <c r="C84" s="129"/>
      <c r="D84" s="130"/>
      <c r="E84" s="60">
        <f>35.7</f>
        <v>35.700000000000003</v>
      </c>
      <c r="F84" s="61"/>
      <c r="G84" s="62"/>
      <c r="H84" s="122">
        <f t="shared" si="6"/>
        <v>35.700000000000003</v>
      </c>
      <c r="I84" s="123"/>
      <c r="J84" s="124"/>
      <c r="K84" s="43">
        <v>0</v>
      </c>
      <c r="L84" s="103">
        <f>17511.46+H84</f>
        <v>17547.16</v>
      </c>
      <c r="M84" s="103"/>
    </row>
    <row r="85" spans="1:13" x14ac:dyDescent="0.25">
      <c r="A85" s="13" t="s">
        <v>101</v>
      </c>
      <c r="B85" s="128">
        <f>1304.98</f>
        <v>1304.98</v>
      </c>
      <c r="C85" s="129"/>
      <c r="D85" s="130"/>
      <c r="E85" s="60">
        <f>0</f>
        <v>0</v>
      </c>
      <c r="F85" s="61"/>
      <c r="G85" s="62"/>
      <c r="H85" s="122">
        <f t="shared" si="6"/>
        <v>0</v>
      </c>
      <c r="I85" s="123"/>
      <c r="J85" s="124"/>
      <c r="K85" s="43">
        <v>0</v>
      </c>
      <c r="L85" s="103">
        <f>1304.98+H85</f>
        <v>1304.98</v>
      </c>
      <c r="M85" s="103"/>
    </row>
    <row r="86" spans="1:13" x14ac:dyDescent="0.25">
      <c r="A86" s="12" t="s">
        <v>65</v>
      </c>
      <c r="B86" s="69">
        <f>SUM(B87:D90)</f>
        <v>467824.16</v>
      </c>
      <c r="C86" s="70"/>
      <c r="D86" s="71"/>
      <c r="E86" s="69">
        <f>SUM(E87:G90)</f>
        <v>0</v>
      </c>
      <c r="F86" s="70"/>
      <c r="G86" s="71"/>
      <c r="H86" s="69">
        <f>SUM(H87:J90)</f>
        <v>0</v>
      </c>
      <c r="I86" s="70"/>
      <c r="J86" s="71"/>
      <c r="K86" s="48">
        <v>0</v>
      </c>
      <c r="L86" s="105">
        <f>SUM(L87:M90)</f>
        <v>467824.16</v>
      </c>
      <c r="M86" s="106"/>
    </row>
    <row r="87" spans="1:13" x14ac:dyDescent="0.25">
      <c r="A87" s="13" t="s">
        <v>66</v>
      </c>
      <c r="B87" s="128">
        <f>269861.62</f>
        <v>269861.62</v>
      </c>
      <c r="C87" s="129"/>
      <c r="D87" s="130"/>
      <c r="E87" s="60">
        <f>0</f>
        <v>0</v>
      </c>
      <c r="F87" s="61"/>
      <c r="G87" s="62"/>
      <c r="H87" s="122">
        <f>0+E87</f>
        <v>0</v>
      </c>
      <c r="I87" s="123"/>
      <c r="J87" s="124"/>
      <c r="K87" s="43">
        <v>0</v>
      </c>
      <c r="L87" s="103">
        <f>269861.62+H87</f>
        <v>269861.62</v>
      </c>
      <c r="M87" s="103"/>
    </row>
    <row r="88" spans="1:13" x14ac:dyDescent="0.25">
      <c r="A88" s="13" t="s">
        <v>89</v>
      </c>
      <c r="B88" s="128">
        <f>9871.05</f>
        <v>9871.0499999999993</v>
      </c>
      <c r="C88" s="129"/>
      <c r="D88" s="130"/>
      <c r="E88" s="60">
        <f>0</f>
        <v>0</v>
      </c>
      <c r="F88" s="61"/>
      <c r="G88" s="62"/>
      <c r="H88" s="122">
        <f t="shared" ref="H88:H90" si="7">0+E88</f>
        <v>0</v>
      </c>
      <c r="I88" s="123"/>
      <c r="J88" s="124"/>
      <c r="K88" s="43">
        <v>0</v>
      </c>
      <c r="L88" s="103">
        <f>9871.05+H88</f>
        <v>9871.0499999999993</v>
      </c>
      <c r="M88" s="103"/>
    </row>
    <row r="89" spans="1:13" x14ac:dyDescent="0.25">
      <c r="A89" s="13" t="s">
        <v>67</v>
      </c>
      <c r="B89" s="128">
        <f>183145.19</f>
        <v>183145.19</v>
      </c>
      <c r="C89" s="129"/>
      <c r="D89" s="130"/>
      <c r="E89" s="60">
        <f>0</f>
        <v>0</v>
      </c>
      <c r="F89" s="61"/>
      <c r="G89" s="62"/>
      <c r="H89" s="122">
        <f t="shared" si="7"/>
        <v>0</v>
      </c>
      <c r="I89" s="123"/>
      <c r="J89" s="124"/>
      <c r="K89" s="43">
        <v>0</v>
      </c>
      <c r="L89" s="103">
        <f>183145.19+H89</f>
        <v>183145.19</v>
      </c>
      <c r="M89" s="103"/>
    </row>
    <row r="90" spans="1:13" x14ac:dyDescent="0.25">
      <c r="A90" s="13" t="s">
        <v>68</v>
      </c>
      <c r="B90" s="128">
        <v>4946.3</v>
      </c>
      <c r="C90" s="129"/>
      <c r="D90" s="130"/>
      <c r="E90" s="60">
        <f>0</f>
        <v>0</v>
      </c>
      <c r="F90" s="61"/>
      <c r="G90" s="62"/>
      <c r="H90" s="122">
        <f t="shared" si="7"/>
        <v>0</v>
      </c>
      <c r="I90" s="123"/>
      <c r="J90" s="124"/>
      <c r="K90" s="43">
        <v>0</v>
      </c>
      <c r="L90" s="103">
        <f>4946.3+H90</f>
        <v>4946.3</v>
      </c>
      <c r="M90" s="103"/>
    </row>
    <row r="91" spans="1:13" x14ac:dyDescent="0.25">
      <c r="A91" s="12" t="s">
        <v>69</v>
      </c>
      <c r="B91" s="69">
        <f>SUM(B92:D98)</f>
        <v>421450.09</v>
      </c>
      <c r="C91" s="70"/>
      <c r="D91" s="71"/>
      <c r="E91" s="69">
        <f>SUM(E92:G98)</f>
        <v>0</v>
      </c>
      <c r="F91" s="70"/>
      <c r="G91" s="71"/>
      <c r="H91" s="69">
        <f>SUM(H92:J98)</f>
        <v>0</v>
      </c>
      <c r="I91" s="70"/>
      <c r="J91" s="71"/>
      <c r="K91" s="48">
        <v>3.3165466034522167E-3</v>
      </c>
      <c r="L91" s="105">
        <f>SUM(L92:M98)</f>
        <v>421450.09</v>
      </c>
      <c r="M91" s="106"/>
    </row>
    <row r="92" spans="1:13" x14ac:dyDescent="0.25">
      <c r="A92" s="16" t="s">
        <v>70</v>
      </c>
      <c r="B92" s="128">
        <f>151055.04</f>
        <v>151055.04000000001</v>
      </c>
      <c r="C92" s="129"/>
      <c r="D92" s="130"/>
      <c r="E92" s="60">
        <f>0</f>
        <v>0</v>
      </c>
      <c r="F92" s="61"/>
      <c r="G92" s="62"/>
      <c r="H92" s="122">
        <f>0+E92</f>
        <v>0</v>
      </c>
      <c r="I92" s="123"/>
      <c r="J92" s="124"/>
      <c r="K92" s="43">
        <v>0</v>
      </c>
      <c r="L92" s="103">
        <f>151055.04+H92</f>
        <v>151055.04000000001</v>
      </c>
      <c r="M92" s="103"/>
    </row>
    <row r="93" spans="1:13" x14ac:dyDescent="0.25">
      <c r="A93" s="16" t="s">
        <v>71</v>
      </c>
      <c r="B93" s="128">
        <f>37857.68</f>
        <v>37857.68</v>
      </c>
      <c r="C93" s="129"/>
      <c r="D93" s="130"/>
      <c r="E93" s="60">
        <f>0</f>
        <v>0</v>
      </c>
      <c r="F93" s="61"/>
      <c r="G93" s="62"/>
      <c r="H93" s="122">
        <f t="shared" ref="H93:H98" si="8">0+E93</f>
        <v>0</v>
      </c>
      <c r="I93" s="123"/>
      <c r="J93" s="124"/>
      <c r="K93" s="43">
        <v>0</v>
      </c>
      <c r="L93" s="101">
        <f>37857.68+H93</f>
        <v>37857.68</v>
      </c>
      <c r="M93" s="102"/>
    </row>
    <row r="94" spans="1:13" x14ac:dyDescent="0.25">
      <c r="A94" s="16" t="s">
        <v>72</v>
      </c>
      <c r="B94" s="128">
        <f>65989.94</f>
        <v>65989.94</v>
      </c>
      <c r="C94" s="129"/>
      <c r="D94" s="130"/>
      <c r="E94" s="60">
        <f>0</f>
        <v>0</v>
      </c>
      <c r="F94" s="61"/>
      <c r="G94" s="62"/>
      <c r="H94" s="122">
        <f t="shared" si="8"/>
        <v>0</v>
      </c>
      <c r="I94" s="123"/>
      <c r="J94" s="124"/>
      <c r="K94" s="43">
        <v>0</v>
      </c>
      <c r="L94" s="101">
        <f>65989.94+H94</f>
        <v>65989.94</v>
      </c>
      <c r="M94" s="102"/>
    </row>
    <row r="95" spans="1:13" x14ac:dyDescent="0.25">
      <c r="A95" s="16" t="s">
        <v>73</v>
      </c>
      <c r="B95" s="128">
        <f>37264.31</f>
        <v>37264.31</v>
      </c>
      <c r="C95" s="129"/>
      <c r="D95" s="130"/>
      <c r="E95" s="60">
        <f>0</f>
        <v>0</v>
      </c>
      <c r="F95" s="61"/>
      <c r="G95" s="62"/>
      <c r="H95" s="122">
        <f t="shared" si="8"/>
        <v>0</v>
      </c>
      <c r="I95" s="123"/>
      <c r="J95" s="124"/>
      <c r="K95" s="43">
        <v>0</v>
      </c>
      <c r="L95" s="101">
        <f>37264.31+H95</f>
        <v>37264.31</v>
      </c>
      <c r="M95" s="102"/>
    </row>
    <row r="96" spans="1:13" x14ac:dyDescent="0.25">
      <c r="A96" s="16" t="s">
        <v>74</v>
      </c>
      <c r="B96" s="128">
        <f>32633.28</f>
        <v>32633.279999999999</v>
      </c>
      <c r="C96" s="129"/>
      <c r="D96" s="130"/>
      <c r="E96" s="60">
        <f>0</f>
        <v>0</v>
      </c>
      <c r="F96" s="61"/>
      <c r="G96" s="62"/>
      <c r="H96" s="122">
        <f t="shared" si="8"/>
        <v>0</v>
      </c>
      <c r="I96" s="123"/>
      <c r="J96" s="124"/>
      <c r="K96" s="43">
        <v>3.3165466034522167E-3</v>
      </c>
      <c r="L96" s="101">
        <f>32633.28+H96</f>
        <v>32633.279999999999</v>
      </c>
      <c r="M96" s="102"/>
    </row>
    <row r="97" spans="1:13" x14ac:dyDescent="0.25">
      <c r="A97" s="16" t="s">
        <v>75</v>
      </c>
      <c r="B97" s="128">
        <f>49285.39</f>
        <v>49285.39</v>
      </c>
      <c r="C97" s="129"/>
      <c r="D97" s="130"/>
      <c r="E97" s="60">
        <f>0</f>
        <v>0</v>
      </c>
      <c r="F97" s="61"/>
      <c r="G97" s="62"/>
      <c r="H97" s="122">
        <f t="shared" si="8"/>
        <v>0</v>
      </c>
      <c r="I97" s="123"/>
      <c r="J97" s="124"/>
      <c r="K97" s="43">
        <v>0</v>
      </c>
      <c r="L97" s="101">
        <f>49285.39+H97</f>
        <v>49285.39</v>
      </c>
      <c r="M97" s="102"/>
    </row>
    <row r="98" spans="1:13" x14ac:dyDescent="0.25">
      <c r="A98" s="16" t="s">
        <v>76</v>
      </c>
      <c r="B98" s="128">
        <f>47364.45</f>
        <v>47364.45</v>
      </c>
      <c r="C98" s="129"/>
      <c r="D98" s="130"/>
      <c r="E98" s="60">
        <f>0</f>
        <v>0</v>
      </c>
      <c r="F98" s="61"/>
      <c r="G98" s="62"/>
      <c r="H98" s="122">
        <f t="shared" si="8"/>
        <v>0</v>
      </c>
      <c r="I98" s="123"/>
      <c r="J98" s="124"/>
      <c r="K98" s="43">
        <v>0</v>
      </c>
      <c r="L98" s="101">
        <f>47364.45+H98</f>
        <v>47364.45</v>
      </c>
      <c r="M98" s="102"/>
    </row>
    <row r="99" spans="1:13" x14ac:dyDescent="0.25">
      <c r="A99" s="17" t="s">
        <v>77</v>
      </c>
      <c r="B99" s="144">
        <f>B33+B42+B46+B50+B62+B67+B81+B86+B91</f>
        <v>5831741.2000000002</v>
      </c>
      <c r="C99" s="145"/>
      <c r="D99" s="146"/>
      <c r="E99" s="66">
        <f>E33+E42+E46+E50+E62+E67+E81+E86+E91</f>
        <v>27808.55</v>
      </c>
      <c r="F99" s="67"/>
      <c r="G99" s="68"/>
      <c r="H99" s="66">
        <f>H91+H86+H81+H67+H62+H50+H46+H42+H33</f>
        <v>27808.550000000003</v>
      </c>
      <c r="I99" s="67"/>
      <c r="J99" s="68"/>
      <c r="K99" s="47">
        <v>1</v>
      </c>
      <c r="L99" s="113">
        <f>L33+L42+L46+L50+L62+L67+L81+L86+L91</f>
        <v>5859549.75</v>
      </c>
      <c r="M99" s="114"/>
    </row>
    <row r="100" spans="1:13" x14ac:dyDescent="0.25">
      <c r="A100" s="18" t="s">
        <v>78</v>
      </c>
      <c r="B100" s="147">
        <v>4776783.2000000011</v>
      </c>
      <c r="C100" s="148"/>
      <c r="D100" s="149"/>
      <c r="E100" s="63">
        <f>G27-E99</f>
        <v>24259.26</v>
      </c>
      <c r="F100" s="64"/>
      <c r="G100" s="65"/>
      <c r="H100" s="125">
        <v>8160.9600000000064</v>
      </c>
      <c r="I100" s="125"/>
      <c r="J100" s="125"/>
      <c r="K100" s="115">
        <f>M27-L99</f>
        <v>4457851.59</v>
      </c>
      <c r="L100" s="116"/>
      <c r="M100" s="116"/>
    </row>
    <row r="101" spans="1:13" x14ac:dyDescent="0.25">
      <c r="A101" s="19" t="s">
        <v>95</v>
      </c>
      <c r="B101" s="150">
        <f>D27-B99</f>
        <v>4433592.330000001</v>
      </c>
      <c r="C101" s="150"/>
      <c r="D101" s="150"/>
    </row>
    <row r="104" spans="1:13" x14ac:dyDescent="0.25">
      <c r="A104" s="20" t="s">
        <v>79</v>
      </c>
      <c r="B104" s="72" t="s">
        <v>94</v>
      </c>
      <c r="C104" s="72"/>
      <c r="D104" s="72"/>
      <c r="E104" s="72" t="s">
        <v>1</v>
      </c>
      <c r="F104" s="72"/>
      <c r="G104" s="72"/>
      <c r="I104" s="50"/>
    </row>
    <row r="105" spans="1:13" x14ac:dyDescent="0.25">
      <c r="A105" s="21" t="s">
        <v>80</v>
      </c>
      <c r="B105" s="74">
        <f>49517.87</f>
        <v>49517.87</v>
      </c>
      <c r="C105" s="74"/>
      <c r="D105" s="74"/>
      <c r="E105" s="74">
        <f>B105-26602.55-31.62-41.42+357.02</f>
        <v>23199.300000000007</v>
      </c>
      <c r="F105" s="74"/>
      <c r="G105" s="74"/>
      <c r="J105" s="52"/>
    </row>
    <row r="106" spans="1:13" x14ac:dyDescent="0.25">
      <c r="A106" s="21" t="s">
        <v>81</v>
      </c>
      <c r="B106" s="74">
        <f>3324670.51</f>
        <v>3324670.51</v>
      </c>
      <c r="C106" s="74"/>
      <c r="D106" s="74"/>
      <c r="E106" s="74">
        <f>B106+38391.42</f>
        <v>3363061.9299999997</v>
      </c>
      <c r="F106" s="74"/>
      <c r="G106" s="74"/>
    </row>
    <row r="107" spans="1:13" x14ac:dyDescent="0.25">
      <c r="A107" s="21" t="s">
        <v>92</v>
      </c>
      <c r="B107" s="78">
        <f>1059050.31</f>
        <v>1059050.31</v>
      </c>
      <c r="C107" s="79"/>
      <c r="D107" s="80"/>
      <c r="E107" s="78">
        <f>B107+12259.37</f>
        <v>1071309.6800000002</v>
      </c>
      <c r="F107" s="79"/>
      <c r="G107" s="80"/>
    </row>
    <row r="108" spans="1:13" x14ac:dyDescent="0.25">
      <c r="A108" s="21" t="s">
        <v>93</v>
      </c>
      <c r="B108" s="74">
        <f>0</f>
        <v>0</v>
      </c>
      <c r="C108" s="74"/>
      <c r="D108" s="74"/>
      <c r="E108" s="74">
        <f>0</f>
        <v>0</v>
      </c>
      <c r="F108" s="74"/>
      <c r="G108" s="74"/>
    </row>
    <row r="109" spans="1:13" x14ac:dyDescent="0.25">
      <c r="A109" s="22" t="s">
        <v>82</v>
      </c>
      <c r="B109" s="73">
        <f>SUM(B105:D108)</f>
        <v>4433238.6899999995</v>
      </c>
      <c r="C109" s="73"/>
      <c r="D109" s="73"/>
      <c r="E109" s="73">
        <f>SUM(E105:G108)</f>
        <v>4457570.91</v>
      </c>
      <c r="F109" s="73"/>
      <c r="G109" s="73"/>
      <c r="M109" s="51"/>
    </row>
    <row r="110" spans="1:13" x14ac:dyDescent="0.25">
      <c r="A110" s="23" t="s">
        <v>83</v>
      </c>
    </row>
    <row r="111" spans="1:13" x14ac:dyDescent="0.25">
      <c r="A111" s="24" t="s">
        <v>84</v>
      </c>
    </row>
    <row r="112" spans="1:13" x14ac:dyDescent="0.25">
      <c r="A112" s="24" t="s">
        <v>85</v>
      </c>
    </row>
    <row r="113" spans="1:1" x14ac:dyDescent="0.25">
      <c r="A113" s="25" t="s">
        <v>86</v>
      </c>
    </row>
  </sheetData>
  <sheetProtection algorithmName="SHA-512" hashValue="lVXRe/3KkZoFf820jC+F4qVJNX5ktS8Td4l6ymWyGMQPzZ5PSZHJxT956Ka2qJ/DZ1OtlTsorB0ABZ8Dj3fWJw==" saltValue="ztu62/nS6ZzOqyHYARzqMA==" spinCount="100000" sheet="1" objects="1" scenarios="1"/>
  <mergeCells count="339">
    <mergeCell ref="B79:D79"/>
    <mergeCell ref="B64:D64"/>
    <mergeCell ref="B65:D65"/>
    <mergeCell ref="B66:D66"/>
    <mergeCell ref="B67:D67"/>
    <mergeCell ref="B41:D41"/>
    <mergeCell ref="B40:D40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E83:G83"/>
    <mergeCell ref="E42:G42"/>
    <mergeCell ref="B107:D107"/>
    <mergeCell ref="A1:M4"/>
    <mergeCell ref="A5:M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A21:A22"/>
    <mergeCell ref="B32:D32"/>
    <mergeCell ref="B42:D42"/>
    <mergeCell ref="B33:D33"/>
    <mergeCell ref="E107:G107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86:D86"/>
    <mergeCell ref="B34:D34"/>
    <mergeCell ref="B68:D68"/>
    <mergeCell ref="B69:D69"/>
    <mergeCell ref="B70:D70"/>
    <mergeCell ref="B52:D52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81:G81"/>
    <mergeCell ref="E84:G84"/>
    <mergeCell ref="E85:G85"/>
    <mergeCell ref="E75:G75"/>
    <mergeCell ref="E76:G76"/>
    <mergeCell ref="E80:G80"/>
    <mergeCell ref="E77:G77"/>
    <mergeCell ref="E78:G7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82:G82"/>
    <mergeCell ref="E53:G53"/>
    <mergeCell ref="E54:G54"/>
    <mergeCell ref="E55:G55"/>
    <mergeCell ref="E109:G109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72:G72"/>
    <mergeCell ref="E73:G73"/>
    <mergeCell ref="E74:G74"/>
    <mergeCell ref="E67:G67"/>
    <mergeCell ref="E68:G68"/>
    <mergeCell ref="E69:G69"/>
    <mergeCell ref="E70:G70"/>
    <mergeCell ref="E79:G79"/>
    <mergeCell ref="H80:J80"/>
    <mergeCell ref="H77:J77"/>
    <mergeCell ref="H78:J78"/>
    <mergeCell ref="H81:J81"/>
    <mergeCell ref="H11:J11"/>
    <mergeCell ref="H12:J12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33:J33"/>
    <mergeCell ref="H34:J34"/>
    <mergeCell ref="H40:J40"/>
    <mergeCell ref="H41:J41"/>
    <mergeCell ref="H42:J42"/>
    <mergeCell ref="H43:J43"/>
    <mergeCell ref="H44:J44"/>
    <mergeCell ref="H35:J35"/>
    <mergeCell ref="H36:J36"/>
    <mergeCell ref="H39:J39"/>
    <mergeCell ref="H37:J37"/>
    <mergeCell ref="H38:J38"/>
    <mergeCell ref="H50:J50"/>
    <mergeCell ref="H52:J52"/>
    <mergeCell ref="H51:J51"/>
    <mergeCell ref="H53:J53"/>
    <mergeCell ref="H73:J73"/>
    <mergeCell ref="H99:J99"/>
    <mergeCell ref="H100:J100"/>
    <mergeCell ref="H92:J92"/>
    <mergeCell ref="H93:J93"/>
    <mergeCell ref="H94:J94"/>
    <mergeCell ref="H95:J95"/>
    <mergeCell ref="H96:J96"/>
    <mergeCell ref="H87:J87"/>
    <mergeCell ref="H88:J88"/>
    <mergeCell ref="H89:J89"/>
    <mergeCell ref="H90:J90"/>
    <mergeCell ref="H91:J91"/>
    <mergeCell ref="H97:J97"/>
    <mergeCell ref="H98:J98"/>
    <mergeCell ref="H82:J82"/>
    <mergeCell ref="H83:J83"/>
    <mergeCell ref="H84:J84"/>
    <mergeCell ref="H85:J85"/>
    <mergeCell ref="H86:J86"/>
    <mergeCell ref="H72:J72"/>
    <mergeCell ref="H58:J58"/>
    <mergeCell ref="H59:J59"/>
    <mergeCell ref="H56:J56"/>
    <mergeCell ref="H68:J68"/>
    <mergeCell ref="H69:J69"/>
    <mergeCell ref="H70:J70"/>
    <mergeCell ref="H79:J79"/>
    <mergeCell ref="H71:J71"/>
    <mergeCell ref="H63:J63"/>
    <mergeCell ref="H64:J64"/>
    <mergeCell ref="H65:J65"/>
    <mergeCell ref="H66:J66"/>
    <mergeCell ref="H67:J67"/>
    <mergeCell ref="H45:J45"/>
    <mergeCell ref="H46:J46"/>
    <mergeCell ref="H47:J47"/>
    <mergeCell ref="H48:J48"/>
    <mergeCell ref="H49:J49"/>
    <mergeCell ref="H60:J60"/>
    <mergeCell ref="H61:J61"/>
    <mergeCell ref="H62:J62"/>
    <mergeCell ref="H54:J54"/>
    <mergeCell ref="H55:J55"/>
    <mergeCell ref="H57:J57"/>
    <mergeCell ref="H75:J75"/>
    <mergeCell ref="H76:J76"/>
    <mergeCell ref="H74:J74"/>
    <mergeCell ref="K17:M17"/>
    <mergeCell ref="K16:M16"/>
    <mergeCell ref="K15:M15"/>
    <mergeCell ref="L36:M36"/>
    <mergeCell ref="L50:M50"/>
    <mergeCell ref="L52:M52"/>
    <mergeCell ref="L51:M51"/>
    <mergeCell ref="L53:M53"/>
    <mergeCell ref="L45:M45"/>
    <mergeCell ref="L46:M46"/>
    <mergeCell ref="L47:M47"/>
    <mergeCell ref="L48:M48"/>
    <mergeCell ref="L49:M49"/>
    <mergeCell ref="L33:M33"/>
    <mergeCell ref="L34:M34"/>
    <mergeCell ref="L35:M35"/>
    <mergeCell ref="L44:M44"/>
    <mergeCell ref="L43:M43"/>
    <mergeCell ref="L42:M42"/>
    <mergeCell ref="L41:M41"/>
    <mergeCell ref="L40:M40"/>
    <mergeCell ref="L99:M99"/>
    <mergeCell ref="L73:M73"/>
    <mergeCell ref="L74:M74"/>
    <mergeCell ref="L75:M75"/>
    <mergeCell ref="L68:M68"/>
    <mergeCell ref="L69:M69"/>
    <mergeCell ref="L70:M70"/>
    <mergeCell ref="L79:M79"/>
    <mergeCell ref="L71:M71"/>
    <mergeCell ref="K100:M100"/>
    <mergeCell ref="L21:M21"/>
    <mergeCell ref="K21:K22"/>
    <mergeCell ref="L92:M92"/>
    <mergeCell ref="L93:M93"/>
    <mergeCell ref="L94:M94"/>
    <mergeCell ref="L95:M95"/>
    <mergeCell ref="L96:M96"/>
    <mergeCell ref="L87:M87"/>
    <mergeCell ref="L88:M88"/>
    <mergeCell ref="L89:M89"/>
    <mergeCell ref="L90:M90"/>
    <mergeCell ref="L91:M91"/>
    <mergeCell ref="L82:M82"/>
    <mergeCell ref="L83:M83"/>
    <mergeCell ref="L84:M84"/>
    <mergeCell ref="L85:M85"/>
    <mergeCell ref="L86:M86"/>
    <mergeCell ref="L76:M76"/>
    <mergeCell ref="L80:M80"/>
    <mergeCell ref="L77:M77"/>
    <mergeCell ref="L78:M78"/>
    <mergeCell ref="A9:M9"/>
    <mergeCell ref="A30:M30"/>
    <mergeCell ref="K13:M13"/>
    <mergeCell ref="K14:M14"/>
    <mergeCell ref="L97:M97"/>
    <mergeCell ref="L98:M98"/>
    <mergeCell ref="L63:M63"/>
    <mergeCell ref="L64:M64"/>
    <mergeCell ref="L65:M65"/>
    <mergeCell ref="L66:M66"/>
    <mergeCell ref="L67:M67"/>
    <mergeCell ref="L58:M58"/>
    <mergeCell ref="L62:M62"/>
    <mergeCell ref="L54:M54"/>
    <mergeCell ref="L55:M55"/>
    <mergeCell ref="L56:M56"/>
    <mergeCell ref="L57:M57"/>
    <mergeCell ref="L38:M38"/>
    <mergeCell ref="L37:M37"/>
    <mergeCell ref="L39:M39"/>
    <mergeCell ref="L59:M59"/>
    <mergeCell ref="L81:M81"/>
    <mergeCell ref="L72:M72"/>
    <mergeCell ref="L60:M60"/>
    <mergeCell ref="L61:M61"/>
    <mergeCell ref="L32:M32"/>
    <mergeCell ref="K18:M18"/>
    <mergeCell ref="K11:M11"/>
    <mergeCell ref="K12:M1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91 H86 H81 H62 H46 H42 E42 E46 E81 E67 E86 E62 E50:G61 E63:G66 F62:G62 E87:G91 F86:G86 E68:G80 F67:G67 E82:G85 F81:G8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cp:lastPrinted>2026-02-11T17:27:52Z</cp:lastPrinted>
  <dcterms:created xsi:type="dcterms:W3CDTF">2023-04-14T18:57:22Z</dcterms:created>
  <dcterms:modified xsi:type="dcterms:W3CDTF">2026-02-11T17:28:09Z</dcterms:modified>
</cp:coreProperties>
</file>