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INANCEIRO\02. FINANCEIRO\2025\06. JUN\Histórico Mensal\"/>
    </mc:Choice>
  </mc:AlternateContent>
  <xr:revisionPtr revIDLastSave="0" documentId="13_ncr:1_{B17ED0B2-A12C-4230-AB1B-E491D02B01FC}" xr6:coauthVersionLast="47" xr6:coauthVersionMax="47" xr10:uidLastSave="{00000000-0000-0000-0000-000000000000}"/>
  <bookViews>
    <workbookView xWindow="-120" yWindow="-120" windowWidth="20730" windowHeight="11160" tabRatio="597" xr2:uid="{39FDE74E-F6F9-46DB-BAE3-CEDA0E45484C}"/>
  </bookViews>
  <sheets>
    <sheet name="J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" l="1"/>
  <c r="Y24" i="1"/>
  <c r="AB26" i="1" l="1"/>
  <c r="W83" i="1"/>
  <c r="W84" i="1"/>
  <c r="W85" i="1"/>
  <c r="W88" i="1"/>
  <c r="W89" i="1"/>
  <c r="W90" i="1"/>
  <c r="W93" i="1"/>
  <c r="W94" i="1"/>
  <c r="W95" i="1"/>
  <c r="W96" i="1"/>
  <c r="W97" i="1"/>
  <c r="W98" i="1"/>
  <c r="W92" i="1"/>
  <c r="W87" i="1"/>
  <c r="W82" i="1"/>
  <c r="W69" i="1"/>
  <c r="W70" i="1"/>
  <c r="W71" i="1"/>
  <c r="W72" i="1"/>
  <c r="W73" i="1"/>
  <c r="W74" i="1"/>
  <c r="W75" i="1"/>
  <c r="W76" i="1"/>
  <c r="W77" i="1"/>
  <c r="W78" i="1"/>
  <c r="W79" i="1"/>
  <c r="W80" i="1"/>
  <c r="W64" i="1"/>
  <c r="W65" i="1"/>
  <c r="W66" i="1"/>
  <c r="W68" i="1"/>
  <c r="W63" i="1"/>
  <c r="W52" i="1"/>
  <c r="W53" i="1"/>
  <c r="W54" i="1"/>
  <c r="W55" i="1"/>
  <c r="W56" i="1"/>
  <c r="W57" i="1"/>
  <c r="W58" i="1"/>
  <c r="W59" i="1"/>
  <c r="W60" i="1"/>
  <c r="W61" i="1"/>
  <c r="W48" i="1"/>
  <c r="W49" i="1"/>
  <c r="W44" i="1"/>
  <c r="W45" i="1"/>
  <c r="W51" i="1"/>
  <c r="W47" i="1"/>
  <c r="W43" i="1"/>
  <c r="W35" i="1"/>
  <c r="W36" i="1"/>
  <c r="W37" i="1"/>
  <c r="W38" i="1"/>
  <c r="W39" i="1"/>
  <c r="W40" i="1"/>
  <c r="W41" i="1"/>
  <c r="W34" i="1"/>
  <c r="W24" i="1"/>
  <c r="X24" i="1"/>
  <c r="AA24" i="1"/>
  <c r="Q72" i="1"/>
  <c r="T77" i="1"/>
  <c r="T78" i="1"/>
  <c r="V25" i="1" l="1"/>
  <c r="T108" i="1"/>
  <c r="T65" i="1"/>
  <c r="T74" i="1"/>
  <c r="T75" i="1"/>
  <c r="T63" i="1"/>
  <c r="U24" i="1"/>
  <c r="T24" i="1"/>
  <c r="T80" i="1"/>
  <c r="T79" i="1"/>
  <c r="T41" i="1"/>
  <c r="T40" i="1"/>
  <c r="T39" i="1"/>
  <c r="T51" i="1"/>
  <c r="T66" i="1"/>
  <c r="T61" i="1"/>
  <c r="T49" i="1"/>
  <c r="T48" i="1"/>
  <c r="T47" i="1"/>
  <c r="T85" i="1"/>
  <c r="T84" i="1"/>
  <c r="T83" i="1"/>
  <c r="T60" i="1"/>
  <c r="T59" i="1"/>
  <c r="T58" i="1"/>
  <c r="T57" i="1"/>
  <c r="T71" i="1"/>
  <c r="T70" i="1"/>
  <c r="T69" i="1"/>
  <c r="T68" i="1"/>
  <c r="T76" i="1"/>
  <c r="T55" i="1"/>
  <c r="T56" i="1"/>
  <c r="T92" i="1"/>
  <c r="T94" i="1"/>
  <c r="T97" i="1"/>
  <c r="T95" i="1"/>
  <c r="T98" i="1"/>
  <c r="T96" i="1"/>
  <c r="T36" i="1"/>
  <c r="T64" i="1"/>
  <c r="T87" i="1"/>
  <c r="T73" i="1"/>
  <c r="T52" i="1"/>
  <c r="T53" i="1"/>
  <c r="T72" i="1"/>
  <c r="T54" i="1" l="1"/>
  <c r="V24" i="1"/>
  <c r="Q24" i="1"/>
  <c r="R24" i="1"/>
  <c r="Q80" i="1"/>
  <c r="Q79" i="1"/>
  <c r="Q108" i="1"/>
  <c r="Q41" i="1"/>
  <c r="Q40" i="1"/>
  <c r="Q39" i="1"/>
  <c r="N39" i="1"/>
  <c r="Q98" i="1"/>
  <c r="Q97" i="1"/>
  <c r="Q96" i="1"/>
  <c r="Q95" i="1"/>
  <c r="Q94" i="1"/>
  <c r="Q93" i="1"/>
  <c r="Q90" i="1"/>
  <c r="Q89" i="1"/>
  <c r="Q88" i="1"/>
  <c r="Q87" i="1"/>
  <c r="Q84" i="1"/>
  <c r="Q85" i="1"/>
  <c r="Q83" i="1"/>
  <c r="Q82" i="1"/>
  <c r="Q75" i="1"/>
  <c r="Q70" i="1"/>
  <c r="Q69" i="1"/>
  <c r="Q68" i="1"/>
  <c r="Q66" i="1"/>
  <c r="Q78" i="1"/>
  <c r="Q92" i="1" l="1"/>
  <c r="Q64" i="1"/>
  <c r="Q71" i="1"/>
  <c r="Q57" i="1"/>
  <c r="Q65" i="1"/>
  <c r="Q63" i="1"/>
  <c r="Q73" i="1"/>
  <c r="Q77" i="1"/>
  <c r="Q76" i="1"/>
  <c r="Q74" i="1"/>
  <c r="Q59" i="1"/>
  <c r="Q60" i="1"/>
  <c r="Q61" i="1"/>
  <c r="Q58" i="1"/>
  <c r="Q56" i="1"/>
  <c r="Q55" i="1"/>
  <c r="Q54" i="1"/>
  <c r="Q53" i="1"/>
  <c r="Q52" i="1"/>
  <c r="Q51" i="1"/>
  <c r="Q49" i="1"/>
  <c r="Q48" i="1"/>
  <c r="Q47" i="1"/>
  <c r="Q37" i="1"/>
  <c r="Q36" i="1"/>
  <c r="Q35" i="1"/>
  <c r="S25" i="1"/>
  <c r="S24" i="1"/>
  <c r="N108" i="1"/>
  <c r="N95" i="1"/>
  <c r="N96" i="1"/>
  <c r="N97" i="1"/>
  <c r="N98" i="1"/>
  <c r="N93" i="1"/>
  <c r="N88" i="1"/>
  <c r="N89" i="1"/>
  <c r="N90" i="1"/>
  <c r="N82" i="1"/>
  <c r="N83" i="1"/>
  <c r="N84" i="1"/>
  <c r="N40" i="1"/>
  <c r="N41" i="1"/>
  <c r="N66" i="1"/>
  <c r="N80" i="1"/>
  <c r="N79" i="1"/>
  <c r="N76" i="1"/>
  <c r="N75" i="1"/>
  <c r="N71" i="1"/>
  <c r="N70" i="1"/>
  <c r="N69" i="1"/>
  <c r="N68" i="1"/>
  <c r="N61" i="1"/>
  <c r="N60" i="1"/>
  <c r="N59" i="1"/>
  <c r="N58" i="1"/>
  <c r="N57" i="1"/>
  <c r="N49" i="1"/>
  <c r="N48" i="1"/>
  <c r="N47" i="1"/>
  <c r="P25" i="1"/>
  <c r="N65" i="1"/>
  <c r="P24" i="1"/>
  <c r="N74" i="1"/>
  <c r="N94" i="1"/>
  <c r="N78" i="1"/>
  <c r="N52" i="1"/>
  <c r="N36" i="1"/>
  <c r="N64" i="1"/>
  <c r="Q91" i="1" l="1"/>
  <c r="T91" i="1"/>
  <c r="N92" i="1"/>
  <c r="N91" i="1" s="1"/>
  <c r="N77" i="1"/>
  <c r="N87" i="1"/>
  <c r="N72" i="1"/>
  <c r="N73" i="1"/>
  <c r="N63" i="1"/>
  <c r="N56" i="1"/>
  <c r="N55" i="1"/>
  <c r="N54" i="1"/>
  <c r="N53" i="1"/>
  <c r="N51" i="1"/>
  <c r="N37" i="1"/>
  <c r="N35" i="1"/>
  <c r="O24" i="1"/>
  <c r="N24" i="1"/>
  <c r="K108" i="1"/>
  <c r="K35" i="1"/>
  <c r="K90" i="1"/>
  <c r="K95" i="1"/>
  <c r="K96" i="1"/>
  <c r="K97" i="1"/>
  <c r="K98" i="1"/>
  <c r="K94" i="1"/>
  <c r="K93" i="1"/>
  <c r="K92" i="1"/>
  <c r="K91" i="1" s="1"/>
  <c r="K89" i="1"/>
  <c r="K88" i="1"/>
  <c r="K87" i="1"/>
  <c r="K85" i="1"/>
  <c r="K84" i="1"/>
  <c r="K83" i="1"/>
  <c r="K82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6" i="1"/>
  <c r="K65" i="1"/>
  <c r="K64" i="1"/>
  <c r="K63" i="1"/>
  <c r="K61" i="1"/>
  <c r="K60" i="1"/>
  <c r="K59" i="1"/>
  <c r="K58" i="1"/>
  <c r="K57" i="1"/>
  <c r="K56" i="1"/>
  <c r="K55" i="1"/>
  <c r="K54" i="1"/>
  <c r="K53" i="1"/>
  <c r="K52" i="1"/>
  <c r="K51" i="1"/>
  <c r="K49" i="1"/>
  <c r="K48" i="1"/>
  <c r="K47" i="1"/>
  <c r="K41" i="1"/>
  <c r="K40" i="1"/>
  <c r="K39" i="1"/>
  <c r="K37" i="1"/>
  <c r="K36" i="1"/>
  <c r="M25" i="1"/>
  <c r="M24" i="1"/>
  <c r="L24" i="1"/>
  <c r="K24" i="1"/>
  <c r="H108" i="1" l="1"/>
  <c r="H93" i="1" l="1"/>
  <c r="H92" i="1"/>
  <c r="H98" i="1"/>
  <c r="H97" i="1"/>
  <c r="H96" i="1"/>
  <c r="H95" i="1"/>
  <c r="H94" i="1"/>
  <c r="H90" i="1"/>
  <c r="H89" i="1"/>
  <c r="H88" i="1"/>
  <c r="H87" i="1"/>
  <c r="H84" i="1"/>
  <c r="H85" i="1"/>
  <c r="H83" i="1"/>
  <c r="H71" i="1"/>
  <c r="H69" i="1"/>
  <c r="H68" i="1"/>
  <c r="H80" i="1"/>
  <c r="H79" i="1"/>
  <c r="H78" i="1"/>
  <c r="H77" i="1"/>
  <c r="H76" i="1"/>
  <c r="H75" i="1"/>
  <c r="H74" i="1" l="1"/>
  <c r="H73" i="1"/>
  <c r="H72" i="1"/>
  <c r="H70" i="1"/>
  <c r="H66" i="1"/>
  <c r="H65" i="1"/>
  <c r="H64" i="1"/>
  <c r="H63" i="1"/>
  <c r="H61" i="1"/>
  <c r="H56" i="1"/>
  <c r="H55" i="1"/>
  <c r="H54" i="1"/>
  <c r="H53" i="1"/>
  <c r="H51" i="1"/>
  <c r="H52" i="1"/>
  <c r="H41" i="1"/>
  <c r="H40" i="1"/>
  <c r="H39" i="1"/>
  <c r="H38" i="1"/>
  <c r="H37" i="1"/>
  <c r="H36" i="1"/>
  <c r="H35" i="1"/>
  <c r="J25" i="1"/>
  <c r="J24" i="1"/>
  <c r="I24" i="1"/>
  <c r="H24" i="1"/>
  <c r="E53" i="1"/>
  <c r="K67" i="1"/>
  <c r="N67" i="1"/>
  <c r="Q67" i="1"/>
  <c r="T67" i="1"/>
  <c r="K50" i="1"/>
  <c r="N50" i="1"/>
  <c r="Q50" i="1"/>
  <c r="T50" i="1"/>
  <c r="E80" i="1"/>
  <c r="E79" i="1"/>
  <c r="E41" i="1"/>
  <c r="E40" i="1"/>
  <c r="E39" i="1"/>
  <c r="H67" i="1" l="1"/>
  <c r="B69" i="1"/>
  <c r="B53" i="1"/>
  <c r="B51" i="1"/>
  <c r="N85" i="1"/>
  <c r="E98" i="1"/>
  <c r="E97" i="1"/>
  <c r="E96" i="1"/>
  <c r="E95" i="1"/>
  <c r="E94" i="1"/>
  <c r="E93" i="1"/>
  <c r="E90" i="1"/>
  <c r="E89" i="1"/>
  <c r="E88" i="1"/>
  <c r="E87" i="1"/>
  <c r="E85" i="1"/>
  <c r="E84" i="1"/>
  <c r="E83" i="1"/>
  <c r="E76" i="1"/>
  <c r="AA76" i="1" s="1"/>
  <c r="E71" i="1"/>
  <c r="AA71" i="1" s="1"/>
  <c r="E78" i="1"/>
  <c r="AA78" i="1" s="1"/>
  <c r="E64" i="1"/>
  <c r="AA64" i="1" s="1"/>
  <c r="E73" i="1"/>
  <c r="AA73" i="1" s="1"/>
  <c r="E92" i="1"/>
  <c r="E51" i="1"/>
  <c r="E77" i="1"/>
  <c r="AA77" i="1" s="1"/>
  <c r="E75" i="1"/>
  <c r="AA75" i="1" s="1"/>
  <c r="E74" i="1"/>
  <c r="AA74" i="1" s="1"/>
  <c r="E72" i="1"/>
  <c r="AA72" i="1" s="1"/>
  <c r="E70" i="1"/>
  <c r="E69" i="1"/>
  <c r="E68" i="1"/>
  <c r="E66" i="1"/>
  <c r="E65" i="1"/>
  <c r="AA65" i="1" s="1"/>
  <c r="E63" i="1"/>
  <c r="AA63" i="1" s="1"/>
  <c r="E61" i="1"/>
  <c r="E54" i="1"/>
  <c r="E56" i="1"/>
  <c r="AA56" i="1" s="1"/>
  <c r="E55" i="1"/>
  <c r="AA55" i="1" s="1"/>
  <c r="AA53" i="1"/>
  <c r="E52" i="1"/>
  <c r="E38" i="1"/>
  <c r="E37" i="1"/>
  <c r="AA37" i="1" s="1"/>
  <c r="AA39" i="1"/>
  <c r="E36" i="1"/>
  <c r="AA36" i="1" s="1"/>
  <c r="E35" i="1"/>
  <c r="AA35" i="1" s="1"/>
  <c r="G25" i="1"/>
  <c r="AB25" i="1" s="1"/>
  <c r="G24" i="1"/>
  <c r="F24" i="1"/>
  <c r="E24" i="1"/>
  <c r="E108" i="1"/>
  <c r="B24" i="1"/>
  <c r="AB24" i="1" l="1"/>
  <c r="AA54" i="1"/>
  <c r="AA51" i="1"/>
  <c r="E67" i="1"/>
  <c r="E91" i="1"/>
  <c r="B108" i="1"/>
  <c r="B107" i="1"/>
  <c r="E107" i="1" s="1"/>
  <c r="H107" i="1" s="1"/>
  <c r="K107" i="1" s="1"/>
  <c r="N107" i="1" s="1"/>
  <c r="Q107" i="1" s="1"/>
  <c r="T107" i="1" s="1"/>
  <c r="B106" i="1"/>
  <c r="E106" i="1" s="1"/>
  <c r="H106" i="1" s="1"/>
  <c r="K106" i="1" s="1"/>
  <c r="N106" i="1" s="1"/>
  <c r="Q106" i="1" s="1"/>
  <c r="T106" i="1" s="1"/>
  <c r="B105" i="1"/>
  <c r="E105" i="1" s="1"/>
  <c r="H105" i="1" s="1"/>
  <c r="K105" i="1" s="1"/>
  <c r="N105" i="1" s="1"/>
  <c r="Q105" i="1" s="1"/>
  <c r="T105" i="1" s="1"/>
  <c r="B63" i="1"/>
  <c r="B98" i="1"/>
  <c r="B97" i="1"/>
  <c r="B96" i="1"/>
  <c r="B95" i="1"/>
  <c r="B94" i="1"/>
  <c r="B93" i="1"/>
  <c r="B92" i="1"/>
  <c r="B88" i="1"/>
  <c r="B87" i="1"/>
  <c r="B85" i="1"/>
  <c r="B84" i="1"/>
  <c r="B83" i="1"/>
  <c r="B80" i="1"/>
  <c r="B78" i="1"/>
  <c r="B76" i="1"/>
  <c r="B75" i="1"/>
  <c r="B74" i="1"/>
  <c r="B73" i="1"/>
  <c r="B72" i="1"/>
  <c r="B71" i="1"/>
  <c r="B70" i="1"/>
  <c r="B66" i="1"/>
  <c r="B65" i="1"/>
  <c r="B64" i="1"/>
  <c r="B61" i="1"/>
  <c r="B60" i="1"/>
  <c r="B58" i="1"/>
  <c r="B56" i="1"/>
  <c r="B55" i="1"/>
  <c r="B54" i="1"/>
  <c r="B52" i="1"/>
  <c r="B49" i="1"/>
  <c r="B47" i="1"/>
  <c r="B38" i="1"/>
  <c r="B37" i="1"/>
  <c r="B36" i="1"/>
  <c r="B35" i="1"/>
  <c r="D25" i="1"/>
  <c r="D24" i="1"/>
  <c r="AA27" i="1"/>
  <c r="B50" i="1" l="1"/>
  <c r="AA61" i="1"/>
  <c r="AA66" i="1"/>
  <c r="AA84" i="1"/>
  <c r="AA83" i="1" l="1"/>
  <c r="AA79" i="1" l="1"/>
  <c r="AA69" i="1"/>
  <c r="AA70" i="1" l="1"/>
  <c r="W67" i="1"/>
  <c r="AA98" i="1" l="1"/>
  <c r="AA97" i="1"/>
  <c r="AA96" i="1"/>
  <c r="AA93" i="1"/>
  <c r="AA88" i="1"/>
  <c r="AA95" i="1" l="1"/>
  <c r="AA94" i="1"/>
  <c r="AA92" i="1"/>
  <c r="AA87" i="1"/>
  <c r="T82" i="1"/>
  <c r="T45" i="1"/>
  <c r="T44" i="1"/>
  <c r="T43" i="1"/>
  <c r="T38" i="1"/>
  <c r="T34" i="1"/>
  <c r="T33" i="1" l="1"/>
  <c r="Q34" i="1"/>
  <c r="Q45" i="1"/>
  <c r="Q44" i="1"/>
  <c r="Q43" i="1"/>
  <c r="Q38" i="1"/>
  <c r="Q33" i="1" l="1"/>
  <c r="N45" i="1"/>
  <c r="N44" i="1"/>
  <c r="N43" i="1"/>
  <c r="N38" i="1"/>
  <c r="N34" i="1"/>
  <c r="N33" i="1" s="1"/>
  <c r="AA85" i="1" l="1"/>
  <c r="K45" i="1"/>
  <c r="K44" i="1"/>
  <c r="K43" i="1"/>
  <c r="AA40" i="1"/>
  <c r="K38" i="1"/>
  <c r="AA38" i="1" s="1"/>
  <c r="K34" i="1"/>
  <c r="K33" i="1" s="1"/>
  <c r="H45" i="1" l="1"/>
  <c r="H44" i="1"/>
  <c r="H43" i="1"/>
  <c r="H34" i="1"/>
  <c r="H33" i="1" s="1"/>
  <c r="H49" i="1"/>
  <c r="H48" i="1"/>
  <c r="H47" i="1"/>
  <c r="H60" i="1"/>
  <c r="H59" i="1"/>
  <c r="H58" i="1"/>
  <c r="AA58" i="1" s="1"/>
  <c r="H57" i="1"/>
  <c r="H50" i="1" s="1"/>
  <c r="H82" i="1"/>
  <c r="AA52" i="1" l="1"/>
  <c r="H81" i="1"/>
  <c r="E57" i="1"/>
  <c r="AA90" i="1" l="1"/>
  <c r="AA89" i="1"/>
  <c r="E82" i="1"/>
  <c r="E60" i="1"/>
  <c r="AA60" i="1" s="1"/>
  <c r="E59" i="1"/>
  <c r="E48" i="1"/>
  <c r="E49" i="1"/>
  <c r="AA49" i="1" s="1"/>
  <c r="E47" i="1"/>
  <c r="AA47" i="1" s="1"/>
  <c r="E45" i="1"/>
  <c r="E44" i="1"/>
  <c r="E43" i="1"/>
  <c r="E34" i="1"/>
  <c r="E86" i="1"/>
  <c r="B17" i="1"/>
  <c r="B16" i="1"/>
  <c r="AA57" i="1" l="1"/>
  <c r="W50" i="1"/>
  <c r="E33" i="1"/>
  <c r="E50" i="1"/>
  <c r="AA82" i="1"/>
  <c r="E81" i="1"/>
  <c r="AA34" i="1"/>
  <c r="AA68" i="1"/>
  <c r="AA59" i="1"/>
  <c r="AA41" i="1"/>
  <c r="B109" i="1"/>
  <c r="D26" i="1"/>
  <c r="B41" i="1"/>
  <c r="B40" i="1"/>
  <c r="B89" i="1"/>
  <c r="B82" i="1"/>
  <c r="B68" i="1"/>
  <c r="B67" i="1" s="1"/>
  <c r="B45" i="1"/>
  <c r="B39" i="1"/>
  <c r="AA50" i="1" l="1"/>
  <c r="AA44" i="1"/>
  <c r="AA45" i="1"/>
  <c r="AA43" i="1"/>
  <c r="V27" i="1" l="1"/>
  <c r="S27" i="1" l="1"/>
  <c r="Q62" i="1" l="1"/>
  <c r="P27" i="1"/>
  <c r="K42" i="1" l="1"/>
  <c r="K46" i="1"/>
  <c r="G27" i="1"/>
  <c r="B27" i="1"/>
  <c r="D27" i="1"/>
  <c r="B18" i="1"/>
  <c r="N86" i="1"/>
  <c r="Q86" i="1"/>
  <c r="T86" i="1"/>
  <c r="N81" i="1"/>
  <c r="Q81" i="1"/>
  <c r="T81" i="1"/>
  <c r="B91" i="1"/>
  <c r="B86" i="1"/>
  <c r="B81" i="1"/>
  <c r="E62" i="1"/>
  <c r="N62" i="1"/>
  <c r="T62" i="1"/>
  <c r="B62" i="1"/>
  <c r="E46" i="1"/>
  <c r="N46" i="1"/>
  <c r="Q46" i="1"/>
  <c r="T46" i="1"/>
  <c r="E42" i="1"/>
  <c r="N42" i="1"/>
  <c r="Q42" i="1"/>
  <c r="T42" i="1"/>
  <c r="B46" i="1"/>
  <c r="B42" i="1"/>
  <c r="B33" i="1"/>
  <c r="W27" i="1" l="1"/>
  <c r="E27" i="1"/>
  <c r="E99" i="1"/>
  <c r="E100" i="1" s="1"/>
  <c r="E109" i="1"/>
  <c r="M27" i="1"/>
  <c r="B99" i="1"/>
  <c r="B101" i="1" s="1"/>
  <c r="H86" i="1"/>
  <c r="K81" i="1"/>
  <c r="K62" i="1"/>
  <c r="W62" i="1"/>
  <c r="Y27" i="1"/>
  <c r="AA80" i="1"/>
  <c r="AA67" i="1" s="1"/>
  <c r="AA48" i="1"/>
  <c r="J27" i="1"/>
  <c r="T99" i="1"/>
  <c r="T100" i="1" s="1"/>
  <c r="N109" i="1"/>
  <c r="K86" i="1"/>
  <c r="H46" i="1"/>
  <c r="H42" i="1"/>
  <c r="Q99" i="1"/>
  <c r="Q100" i="1" s="1"/>
  <c r="N99" i="1"/>
  <c r="N100" i="1" s="1"/>
  <c r="W86" i="1"/>
  <c r="K109" i="1"/>
  <c r="H62" i="1"/>
  <c r="H91" i="1"/>
  <c r="H109" i="1"/>
  <c r="H27" i="1" l="1"/>
  <c r="K27" i="1" s="1"/>
  <c r="N27" i="1" s="1"/>
  <c r="Q27" i="1" s="1"/>
  <c r="T27" i="1" s="1"/>
  <c r="AA86" i="1"/>
  <c r="AA62" i="1"/>
  <c r="W46" i="1"/>
  <c r="AA46" i="1"/>
  <c r="W33" i="1"/>
  <c r="Q109" i="1"/>
  <c r="AA91" i="1"/>
  <c r="AA33" i="1"/>
  <c r="W91" i="1"/>
  <c r="W42" i="1"/>
  <c r="AA42" i="1"/>
  <c r="W81" i="1"/>
  <c r="AA81" i="1"/>
  <c r="K99" i="1"/>
  <c r="K100" i="1" s="1"/>
  <c r="H99" i="1"/>
  <c r="H100" i="1" s="1"/>
  <c r="AB27" i="1" l="1"/>
  <c r="Z16" i="1" s="1"/>
  <c r="T109" i="1"/>
  <c r="AA99" i="1"/>
  <c r="Z17" i="1" s="1"/>
  <c r="W99" i="1"/>
  <c r="Z18" i="1" l="1"/>
  <c r="Z100" i="1"/>
</calcChain>
</file>

<file path=xl/sharedStrings.xml><?xml version="1.0" encoding="utf-8"?>
<sst xmlns="http://schemas.openxmlformats.org/spreadsheetml/2006/main" count="157" uniqueCount="109">
  <si>
    <t>Bens da ANIPA</t>
  </si>
  <si>
    <t>JAN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</si>
  <si>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</si>
  <si>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</si>
  <si>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</si>
  <si>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</si>
  <si>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</si>
  <si>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</si>
  <si>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</si>
  <si>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</si>
  <si>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</si>
  <si>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</si>
  <si>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</si>
  <si>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</si>
  <si>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</si>
  <si>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</si>
  <si>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</si>
  <si>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</si>
  <si>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</si>
  <si>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</si>
  <si>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</si>
  <si>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</si>
  <si>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</si>
  <si>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</si>
  <si>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</si>
  <si>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</si>
  <si>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</si>
  <si>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Assessoria Comunicação/Parlamentar</t>
  </si>
  <si>
    <t>Consultoria/Assessoria Técnica (Adm, Fin, Cont, TI)</t>
  </si>
  <si>
    <t>Telemarketing (associados regular termos)</t>
  </si>
  <si>
    <t xml:space="preserve">Serviços eventuais de apoio </t>
  </si>
  <si>
    <t>Custos das Ações</t>
  </si>
  <si>
    <r>
      <t>Honorários Advocatícios Iniciais Ações</t>
    </r>
    <r>
      <rPr>
        <sz val="8"/>
        <rFont val="Calibri"/>
        <family val="2"/>
        <scheme val="minor"/>
      </rPr>
      <t xml:space="preserve"> </t>
    </r>
  </si>
  <si>
    <t>Honorários mensais das ações</t>
  </si>
  <si>
    <t>Taxas de ajuizamento de ações / Custas processuais</t>
  </si>
  <si>
    <t>Registros/Cartórios/Publicações</t>
  </si>
  <si>
    <t>Registros e Taxas(Cart, Pref, RF...)</t>
  </si>
  <si>
    <t>Cartórios (Aut, Doc, Rec Firma)</t>
  </si>
  <si>
    <t>Publicações Legais/Editais em jornais</t>
  </si>
  <si>
    <t>Tecnologia</t>
  </si>
  <si>
    <t>Serviço de E-mail</t>
  </si>
  <si>
    <t xml:space="preserve">Serviço de Mensagens por celular </t>
  </si>
  <si>
    <t xml:space="preserve">Plataforma de assinatura eletrônica </t>
  </si>
  <si>
    <t>Desenv/Serviço Sist Assembleia Virtual</t>
  </si>
  <si>
    <t xml:space="preserve">Desenv/Serviço Fórum </t>
  </si>
  <si>
    <t>Registro Domínio ANIPA</t>
  </si>
  <si>
    <t>Bancos/Impostos/Juros</t>
  </si>
  <si>
    <t>Tarifas Bancárias CAIXA</t>
  </si>
  <si>
    <t>Impostos recolhidos à terceiros (INSS, IR, CONTR. FEDER...)</t>
  </si>
  <si>
    <t>IRRF/IOF operações financeiras (sobre os investimentos)</t>
  </si>
  <si>
    <t xml:space="preserve">Escritório ANIPA </t>
  </si>
  <si>
    <t>Móveis/Utensílios</t>
  </si>
  <si>
    <t>Assinatura de jornais, revistas, publicações e outros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</si>
  <si>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</si>
  <si>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</si>
  <si>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</si>
  <si>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</si>
  <si>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Higiene e Limpeza (material e serviço)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</si>
  <si>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</si>
  <si>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</si>
  <si>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</t>
    </r>
  </si>
  <si>
    <t>Outros Serviços</t>
  </si>
  <si>
    <t>Serv. Gráficos/Digitalizações/Cópias</t>
  </si>
  <si>
    <t>Motoboy</t>
  </si>
  <si>
    <t>Correios</t>
  </si>
  <si>
    <t>Deslocamento (para serviços externos)</t>
  </si>
  <si>
    <t>Outros</t>
  </si>
  <si>
    <t>Locação sala Eventos/Assembleia/Equipamentos/Hotel</t>
  </si>
  <si>
    <t>Devoluções/Recebimentos indevidos</t>
  </si>
  <si>
    <t>Participações em outras associações/em outros eventos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</si>
  <si>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</si>
  <si>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</si>
  <si>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</si>
  <si>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</si>
  <si>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</si>
  <si>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</si>
  <si>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</si>
  <si>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</si>
  <si>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</si>
  <si>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</si>
  <si>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Investimentos</t>
  </si>
  <si>
    <t>Caixa FIC GIRO EMPRESAS</t>
  </si>
  <si>
    <t>Caixa FIC RUBI</t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</si>
  <si>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</si>
  <si>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</si>
  <si>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</si>
  <si>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</si>
  <si>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</t>
  </si>
  <si>
    <t>FEV</t>
  </si>
  <si>
    <t>MAR</t>
  </si>
  <si>
    <t>ABR</t>
  </si>
  <si>
    <t>MAI</t>
  </si>
  <si>
    <t>JUN</t>
  </si>
  <si>
    <t>Softwares (Office, Antivírus, Adobe mensal, Zoom)</t>
  </si>
  <si>
    <t>Acumulado 2024</t>
  </si>
  <si>
    <t>Certificado Segurança Site / Certificado Digital / Assinatura Digital / e-CNPJ</t>
  </si>
  <si>
    <t>Apoio a mobilizações</t>
  </si>
  <si>
    <t xml:space="preserve">Desenv/Serviço Sist Eleição Virtual </t>
  </si>
  <si>
    <r>
      <t>Despesas com Juros/Outras despesas financeiras</t>
    </r>
    <r>
      <rPr>
        <sz val="8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 </t>
    </r>
  </si>
  <si>
    <t>Caixa FI MEGA REF DI LP</t>
  </si>
  <si>
    <t>CDB Flex Empresarial</t>
  </si>
  <si>
    <t>Acumulado 2025</t>
  </si>
  <si>
    <t>Despesas Acumuladas até 2024</t>
  </si>
  <si>
    <t>Manutenção/Aperfeiçoamento do Site Antigo</t>
  </si>
  <si>
    <t>Manutenção/Hospedagem/Aperfeiçoamento Site Novo</t>
  </si>
  <si>
    <t xml:space="preserve">Manutenção/Aperfeiçoamento Sistema de Cadastros  </t>
  </si>
  <si>
    <t>Computadores 5, impressoras 2, celular 2, webcam 1/Manutenção</t>
  </si>
  <si>
    <t>Manutenção sala (pintura, consertos)</t>
  </si>
  <si>
    <r>
      <t xml:space="preserve">CONTROLE FINANCEIRO 2025
</t>
    </r>
    <r>
      <rPr>
        <b/>
        <sz val="12"/>
        <rFont val="Calibri"/>
        <family val="2"/>
        <scheme val="minor"/>
      </rPr>
      <t>Posição JUNHO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</si>
</sst>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B0B0B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9ECA80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/>
    <xf numFmtId="0" fontId="4" fillId="3" borderId="1" xfId="0" applyFont="1" applyFill="1" applyBorder="1"/>
    <xf numFmtId="0" fontId="3" fillId="7" borderId="1" xfId="0" applyFont="1" applyFill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10" borderId="1" xfId="0" applyFont="1" applyFill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2" fillId="8" borderId="1" xfId="0" applyFont="1" applyFill="1" applyBorder="1" applyAlignment="1">
      <alignment horizontal="center"/>
    </xf>
    <xf numFmtId="4" fontId="0" fillId="3" borderId="6" xfId="0" applyNumberFormat="1" applyFill="1" applyBorder="1"/>
    <xf numFmtId="4" fontId="2" fillId="7" borderId="6" xfId="0" applyNumberFormat="1" applyFont="1" applyFill="1" applyBorder="1"/>
    <xf numFmtId="0" fontId="0" fillId="3" borderId="1" xfId="0" applyFill="1" applyBorder="1"/>
    <xf numFmtId="0" fontId="2" fillId="11" borderId="1" xfId="0" applyFont="1" applyFill="1" applyBorder="1" applyAlignment="1">
      <alignment horizontal="center"/>
    </xf>
    <xf numFmtId="9" fontId="2" fillId="10" borderId="1" xfId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/>
    </xf>
    <xf numFmtId="4" fontId="0" fillId="0" borderId="1" xfId="0" applyNumberFormat="1" applyBorder="1"/>
    <xf numFmtId="4" fontId="2" fillId="11" borderId="1" xfId="0" applyNumberFormat="1" applyFont="1" applyFill="1" applyBorder="1" applyAlignment="1">
      <alignment horizontal="center"/>
    </xf>
    <xf numFmtId="4" fontId="0" fillId="13" borderId="1" xfId="0" applyNumberFormat="1" applyFill="1" applyBorder="1" applyAlignment="1">
      <alignment horizontal="right"/>
    </xf>
    <xf numFmtId="4" fontId="2" fillId="12" borderId="1" xfId="0" applyNumberFormat="1" applyFont="1" applyFill="1" applyBorder="1" applyAlignment="1">
      <alignment horizontal="right"/>
    </xf>
    <xf numFmtId="4" fontId="0" fillId="3" borderId="1" xfId="0" applyNumberFormat="1" applyFill="1" applyBorder="1"/>
    <xf numFmtId="4" fontId="2" fillId="7" borderId="1" xfId="0" applyNumberFormat="1" applyFont="1" applyFill="1" applyBorder="1"/>
    <xf numFmtId="3" fontId="0" fillId="3" borderId="1" xfId="0" applyNumberFormat="1" applyFill="1" applyBorder="1"/>
    <xf numFmtId="3" fontId="0" fillId="0" borderId="1" xfId="0" applyNumberFormat="1" applyBorder="1" applyAlignment="1">
      <alignment horizontal="right"/>
    </xf>
    <xf numFmtId="3" fontId="2" fillId="12" borderId="1" xfId="0" applyNumberFormat="1" applyFont="1" applyFill="1" applyBorder="1" applyAlignment="1">
      <alignment horizontal="right"/>
    </xf>
    <xf numFmtId="3" fontId="0" fillId="13" borderId="1" xfId="0" applyNumberFormat="1" applyFill="1" applyBorder="1" applyAlignment="1">
      <alignment horizontal="right"/>
    </xf>
    <xf numFmtId="10" fontId="0" fillId="0" borderId="1" xfId="1" applyNumberFormat="1" applyFont="1" applyBorder="1" applyAlignment="1">
      <alignment horizontal="right"/>
    </xf>
    <xf numFmtId="10" fontId="0" fillId="4" borderId="1" xfId="1" applyNumberFormat="1" applyFont="1" applyFill="1" applyBorder="1"/>
    <xf numFmtId="10" fontId="0" fillId="3" borderId="1" xfId="1" applyNumberFormat="1" applyFont="1" applyFill="1" applyBorder="1"/>
    <xf numFmtId="10" fontId="2" fillId="12" borderId="1" xfId="1" applyNumberFormat="1" applyFont="1" applyFill="1" applyBorder="1" applyAlignment="1">
      <alignment horizontal="right"/>
    </xf>
    <xf numFmtId="9" fontId="0" fillId="9" borderId="1" xfId="1" applyFont="1" applyFill="1" applyBorder="1" applyAlignment="1">
      <alignment horizontal="right"/>
    </xf>
    <xf numFmtId="10" fontId="0" fillId="8" borderId="1" xfId="1" applyNumberFormat="1" applyFont="1" applyFill="1" applyBorder="1" applyAlignment="1">
      <alignment horizontal="right"/>
    </xf>
    <xf numFmtId="10" fontId="2" fillId="8" borderId="2" xfId="1" applyNumberFormat="1" applyFont="1" applyFill="1" applyBorder="1" applyAlignment="1">
      <alignment horizontal="right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18" fillId="4" borderId="4" xfId="0" applyFont="1" applyFill="1" applyBorder="1"/>
    <xf numFmtId="49" fontId="19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4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0" fontId="0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 applyProtection="1">
      <alignment horizontal="left"/>
      <protection locked="0"/>
    </xf>
    <xf numFmtId="4" fontId="20" fillId="0" borderId="1" xfId="0" applyNumberFormat="1" applyFont="1" applyBorder="1"/>
    <xf numFmtId="4" fontId="0" fillId="3" borderId="4" xfId="0" applyNumberFormat="1" applyFill="1" applyBorder="1" applyAlignment="1">
      <alignment horizontal="right"/>
    </xf>
    <xf numFmtId="4" fontId="0" fillId="3" borderId="5" xfId="0" applyNumberFormat="1" applyFill="1" applyBorder="1" applyAlignment="1">
      <alignment horizontal="right"/>
    </xf>
    <xf numFmtId="4" fontId="0" fillId="3" borderId="6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2" fillId="9" borderId="4" xfId="0" applyNumberFormat="1" applyFont="1" applyFill="1" applyBorder="1" applyAlignment="1">
      <alignment horizontal="right"/>
    </xf>
    <xf numFmtId="4" fontId="2" fillId="9" borderId="5" xfId="0" applyNumberFormat="1" applyFont="1" applyFill="1" applyBorder="1" applyAlignment="1">
      <alignment horizontal="right"/>
    </xf>
    <xf numFmtId="4" fontId="2" fillId="9" borderId="6" xfId="0" applyNumberFormat="1" applyFont="1" applyFill="1" applyBorder="1" applyAlignment="1">
      <alignment horizontal="right"/>
    </xf>
    <xf numFmtId="4" fontId="2" fillId="7" borderId="4" xfId="0" applyNumberFormat="1" applyFont="1" applyFill="1" applyBorder="1" applyAlignment="1">
      <alignment horizontal="right"/>
    </xf>
    <xf numFmtId="4" fontId="2" fillId="7" borderId="5" xfId="0" applyNumberFormat="1" applyFont="1" applyFill="1" applyBorder="1" applyAlignment="1">
      <alignment horizontal="right"/>
    </xf>
    <xf numFmtId="4" fontId="2" fillId="7" borderId="6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8" borderId="4" xfId="0" applyNumberFormat="1" applyFont="1" applyFill="1" applyBorder="1" applyAlignment="1">
      <alignment horizontal="right"/>
    </xf>
    <xf numFmtId="4" fontId="2" fillId="8" borderId="5" xfId="0" applyNumberFormat="1" applyFont="1" applyFill="1" applyBorder="1" applyAlignment="1">
      <alignment horizontal="right"/>
    </xf>
    <xf numFmtId="4" fontId="2" fillId="8" borderId="6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2" fillId="1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6" borderId="4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6" xfId="0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4" fontId="5" fillId="4" borderId="4" xfId="0" applyNumberFormat="1" applyFont="1" applyFill="1" applyBorder="1" applyAlignment="1">
      <alignment horizontal="right"/>
    </xf>
    <xf numFmtId="4" fontId="5" fillId="4" borderId="6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4" fontId="2" fillId="11" borderId="1" xfId="0" applyNumberFormat="1" applyFont="1" applyFill="1" applyBorder="1" applyAlignment="1">
      <alignment horizontal="right"/>
    </xf>
    <xf numFmtId="4" fontId="2" fillId="11" borderId="4" xfId="0" applyNumberFormat="1" applyFont="1" applyFill="1" applyBorder="1" applyAlignment="1">
      <alignment horizontal="right"/>
    </xf>
    <xf numFmtId="4" fontId="2" fillId="11" borderId="6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7" fillId="12" borderId="4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7" fillId="12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12" borderId="4" xfId="0" applyNumberFormat="1" applyFont="1" applyFill="1" applyBorder="1" applyAlignment="1">
      <alignment horizontal="right"/>
    </xf>
    <xf numFmtId="4" fontId="2" fillId="12" borderId="6" xfId="0" applyNumberFormat="1" applyFont="1" applyFill="1" applyBorder="1" applyAlignment="1">
      <alignment horizontal="right"/>
    </xf>
    <xf numFmtId="4" fontId="2" fillId="14" borderId="1" xfId="0" applyNumberFormat="1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/>
    </xf>
    <xf numFmtId="4" fontId="0" fillId="5" borderId="1" xfId="0" applyNumberForma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right"/>
    </xf>
    <xf numFmtId="4" fontId="5" fillId="3" borderId="5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3" fillId="14" borderId="7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4" fontId="3" fillId="9" borderId="4" xfId="0" applyNumberFormat="1" applyFont="1" applyFill="1" applyBorder="1" applyAlignment="1">
      <alignment horizontal="right"/>
    </xf>
    <xf numFmtId="4" fontId="3" fillId="9" borderId="5" xfId="0" applyNumberFormat="1" applyFont="1" applyFill="1" applyBorder="1" applyAlignment="1">
      <alignment horizontal="right"/>
    </xf>
    <xf numFmtId="4" fontId="3" fillId="9" borderId="6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4" fontId="7" fillId="7" borderId="5" xfId="0" applyNumberFormat="1" applyFont="1" applyFill="1" applyBorder="1" applyAlignment="1">
      <alignment horizontal="right"/>
    </xf>
    <xf numFmtId="4" fontId="7" fillId="7" borderId="6" xfId="0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190000</xdr:colOff>
      <xdr:row>3</xdr:row>
      <xdr:rowOff>105215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E3818C-3D7E-8E73-4A53-03AB92190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1947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630-5D09-475E-9573-03E70CEF9D42}">
  <dimension ref="A1:AB113"/>
  <sheetViews>
    <sheetView tabSelected="1" zoomScaleNormal="100" workbookViewId="0">
      <pane xSplit="1" topLeftCell="B1" activePane="topRight" state="frozen"/>
      <selection activeCell="A76" sqref="A76"/>
      <selection pane="topRight" activeCell="AB10" sqref="A1:AB1048576"/>
    </sheetView>
  </sheetViews>
  <sheetFormatPr defaultRowHeight="15" x14ac:dyDescent="0.25"/>
  <cols>
    <col min="1" max="1" width="61.140625" customWidth="1"/>
    <col min="2" max="3" width="5" customWidth="1"/>
    <col min="4" max="4" width="12.5703125" bestFit="1" customWidth="1"/>
    <col min="5" max="6" width="5" customWidth="1"/>
    <col min="7" max="7" width="9.85546875" bestFit="1" customWidth="1"/>
    <col min="8" max="9" width="5" customWidth="1"/>
    <col min="10" max="10" width="11.7109375" bestFit="1" customWidth="1"/>
    <col min="11" max="12" width="5" customWidth="1"/>
    <col min="14" max="15" width="5" customWidth="1"/>
    <col min="16" max="16" width="10.140625" bestFit="1" customWidth="1"/>
    <col min="17" max="18" width="5" customWidth="1"/>
    <col min="20" max="21" width="5" customWidth="1"/>
    <col min="22" max="22" width="10.140625" bestFit="1" customWidth="1"/>
    <col min="23" max="24" width="5" customWidth="1"/>
    <col min="25" max="25" width="11.7109375" bestFit="1" customWidth="1"/>
    <col min="28" max="28" width="12.7109375" bestFit="1" customWidth="1"/>
    <col min="29" max="29" width="4.140625" customWidth="1"/>
  </cols>
  <sheetData>
    <row r="1" spans="1:28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</row>
    <row r="2" spans="1:28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</row>
    <row r="3" spans="1:28" x14ac:dyDescent="0.25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</row>
    <row r="4" spans="1:28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</row>
    <row r="5" spans="1:28" x14ac:dyDescent="0.25">
      <c r="A5" s="134" t="s">
        <v>108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6"/>
    </row>
    <row r="6" spans="1:28" ht="24" customHeight="1" x14ac:dyDescent="0.25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9"/>
    </row>
    <row r="9" spans="1:28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</row>
    <row r="11" spans="1:28" x14ac:dyDescent="0.25">
      <c r="A11" s="2" t="s">
        <v>0</v>
      </c>
      <c r="B11" s="129" t="s">
        <v>94</v>
      </c>
      <c r="C11" s="130"/>
      <c r="D11" s="131"/>
      <c r="E11" s="82" t="s">
        <v>1</v>
      </c>
      <c r="F11" s="82"/>
      <c r="G11" s="82"/>
      <c r="H11" s="82" t="s">
        <v>88</v>
      </c>
      <c r="I11" s="82"/>
      <c r="J11" s="82"/>
      <c r="K11" s="82" t="s">
        <v>89</v>
      </c>
      <c r="L11" s="82"/>
      <c r="M11" s="82"/>
      <c r="N11" s="82" t="s">
        <v>90</v>
      </c>
      <c r="O11" s="82"/>
      <c r="P11" s="82"/>
      <c r="Q11" s="82" t="s">
        <v>91</v>
      </c>
      <c r="R11" s="82"/>
      <c r="S11" s="82"/>
      <c r="T11" s="82" t="s">
        <v>92</v>
      </c>
      <c r="U11" s="82"/>
      <c r="V11" s="82"/>
      <c r="W11" s="82" t="s">
        <v>101</v>
      </c>
      <c r="X11" s="82"/>
      <c r="Y11" s="82"/>
      <c r="Z11" s="112" t="s">
        <v>2</v>
      </c>
      <c r="AA11" s="112"/>
      <c r="AB11" s="112"/>
    </row>
    <row r="12" spans="1:28" x14ac:dyDescent="0.25">
      <c r="A12" s="3" t="s">
        <v>3</v>
      </c>
      <c r="B12" s="113">
        <v>9586.0300000000007</v>
      </c>
      <c r="C12" s="113"/>
      <c r="D12" s="113"/>
      <c r="E12" s="83"/>
      <c r="F12" s="84"/>
      <c r="G12" s="85"/>
      <c r="H12" s="83"/>
      <c r="I12" s="84"/>
      <c r="J12" s="85"/>
      <c r="K12" s="83"/>
      <c r="L12" s="84"/>
      <c r="M12" s="85"/>
      <c r="N12" s="83"/>
      <c r="O12" s="84"/>
      <c r="P12" s="85"/>
      <c r="Q12" s="83"/>
      <c r="R12" s="84"/>
      <c r="S12" s="85"/>
      <c r="T12" s="83"/>
      <c r="U12" s="84"/>
      <c r="V12" s="85"/>
      <c r="W12" s="83"/>
      <c r="X12" s="84"/>
      <c r="Y12" s="85"/>
      <c r="Z12" s="113">
        <v>9586.0300000000007</v>
      </c>
      <c r="AA12" s="113"/>
      <c r="AB12" s="113"/>
    </row>
    <row r="13" spans="1:28" x14ac:dyDescent="0.25">
      <c r="A13" s="4" t="s">
        <v>4</v>
      </c>
      <c r="B13" s="64">
        <v>13836</v>
      </c>
      <c r="C13" s="64"/>
      <c r="D13" s="64"/>
      <c r="E13" s="86"/>
      <c r="F13" s="87"/>
      <c r="G13" s="88"/>
      <c r="H13" s="86"/>
      <c r="I13" s="87"/>
      <c r="J13" s="88"/>
      <c r="K13" s="86"/>
      <c r="L13" s="87"/>
      <c r="M13" s="88"/>
      <c r="N13" s="86"/>
      <c r="O13" s="87"/>
      <c r="P13" s="88"/>
      <c r="Q13" s="86"/>
      <c r="R13" s="87"/>
      <c r="S13" s="88"/>
      <c r="T13" s="86"/>
      <c r="U13" s="87"/>
      <c r="V13" s="88"/>
      <c r="W13" s="83"/>
      <c r="X13" s="84"/>
      <c r="Y13" s="85"/>
      <c r="Z13" s="64"/>
      <c r="AA13" s="64"/>
      <c r="AB13" s="64"/>
    </row>
    <row r="14" spans="1:28" x14ac:dyDescent="0.25">
      <c r="A14" s="4" t="s">
        <v>5</v>
      </c>
      <c r="B14" s="64">
        <v>642.76</v>
      </c>
      <c r="C14" s="64"/>
      <c r="D14" s="64"/>
      <c r="E14" s="86"/>
      <c r="F14" s="87"/>
      <c r="G14" s="88"/>
      <c r="H14" s="86"/>
      <c r="I14" s="87"/>
      <c r="J14" s="88"/>
      <c r="K14" s="86"/>
      <c r="L14" s="87"/>
      <c r="M14" s="88"/>
      <c r="N14" s="86"/>
      <c r="O14" s="87"/>
      <c r="P14" s="88"/>
      <c r="Q14" s="86"/>
      <c r="R14" s="87"/>
      <c r="S14" s="88"/>
      <c r="T14" s="86"/>
      <c r="U14" s="87"/>
      <c r="V14" s="88"/>
      <c r="W14" s="83"/>
      <c r="X14" s="84"/>
      <c r="Y14" s="85"/>
      <c r="Z14" s="64"/>
      <c r="AA14" s="64"/>
      <c r="AB14" s="64"/>
    </row>
    <row r="15" spans="1:28" x14ac:dyDescent="0.25">
      <c r="A15" s="4" t="s">
        <v>6</v>
      </c>
      <c r="B15" s="64">
        <v>-4892.7299999999996</v>
      </c>
      <c r="C15" s="64"/>
      <c r="D15" s="64"/>
      <c r="E15" s="86"/>
      <c r="F15" s="87"/>
      <c r="G15" s="88"/>
      <c r="H15" s="86"/>
      <c r="I15" s="87"/>
      <c r="J15" s="88"/>
      <c r="K15" s="86"/>
      <c r="L15" s="87"/>
      <c r="M15" s="88"/>
      <c r="N15" s="86"/>
      <c r="O15" s="87"/>
      <c r="P15" s="88"/>
      <c r="Q15" s="86"/>
      <c r="R15" s="87"/>
      <c r="S15" s="88"/>
      <c r="T15" s="86"/>
      <c r="U15" s="87"/>
      <c r="V15" s="88"/>
      <c r="W15" s="83"/>
      <c r="X15" s="84"/>
      <c r="Y15" s="85"/>
      <c r="Z15" s="64"/>
      <c r="AA15" s="64"/>
      <c r="AB15" s="64"/>
    </row>
    <row r="16" spans="1:28" x14ac:dyDescent="0.25">
      <c r="A16" s="5" t="s">
        <v>7</v>
      </c>
      <c r="B16" s="121">
        <f>9053524.64</f>
        <v>9053524.6400000006</v>
      </c>
      <c r="C16" s="121"/>
      <c r="D16" s="121"/>
      <c r="E16" s="89"/>
      <c r="F16" s="90"/>
      <c r="G16" s="91"/>
      <c r="H16" s="89"/>
      <c r="I16" s="90"/>
      <c r="J16" s="91"/>
      <c r="K16" s="89"/>
      <c r="L16" s="90"/>
      <c r="M16" s="91"/>
      <c r="N16" s="89"/>
      <c r="O16" s="90"/>
      <c r="P16" s="91"/>
      <c r="Q16" s="89"/>
      <c r="R16" s="90"/>
      <c r="S16" s="91"/>
      <c r="T16" s="89"/>
      <c r="U16" s="90"/>
      <c r="V16" s="91"/>
      <c r="W16" s="89"/>
      <c r="X16" s="90"/>
      <c r="Y16" s="91"/>
      <c r="Z16" s="121">
        <f>AB27</f>
        <v>9753903.1799999997</v>
      </c>
      <c r="AA16" s="121"/>
      <c r="AB16" s="121"/>
    </row>
    <row r="17" spans="1:28" x14ac:dyDescent="0.25">
      <c r="A17" s="6" t="s">
        <v>8</v>
      </c>
      <c r="B17" s="120">
        <f>4734380.64</f>
        <v>4734380.6399999997</v>
      </c>
      <c r="C17" s="120"/>
      <c r="D17" s="120"/>
      <c r="E17" s="92"/>
      <c r="F17" s="93"/>
      <c r="G17" s="94"/>
      <c r="H17" s="92"/>
      <c r="I17" s="93"/>
      <c r="J17" s="94"/>
      <c r="K17" s="92"/>
      <c r="L17" s="93"/>
      <c r="M17" s="94"/>
      <c r="N17" s="92"/>
      <c r="O17" s="93"/>
      <c r="P17" s="94"/>
      <c r="Q17" s="92"/>
      <c r="R17" s="93"/>
      <c r="S17" s="94"/>
      <c r="T17" s="92"/>
      <c r="U17" s="93"/>
      <c r="V17" s="94"/>
      <c r="W17" s="92"/>
      <c r="X17" s="93"/>
      <c r="Y17" s="94"/>
      <c r="Z17" s="120">
        <f>AA99</f>
        <v>5521754.3800000008</v>
      </c>
      <c r="AA17" s="120"/>
      <c r="AB17" s="120"/>
    </row>
    <row r="18" spans="1:28" x14ac:dyDescent="0.25">
      <c r="A18" s="5" t="s">
        <v>9</v>
      </c>
      <c r="B18" s="111">
        <f>B16-B17</f>
        <v>4319144.0000000009</v>
      </c>
      <c r="C18" s="111"/>
      <c r="D18" s="111"/>
      <c r="E18" s="95"/>
      <c r="F18" s="96"/>
      <c r="G18" s="97"/>
      <c r="H18" s="95"/>
      <c r="I18" s="96"/>
      <c r="J18" s="97"/>
      <c r="K18" s="95"/>
      <c r="L18" s="96"/>
      <c r="M18" s="97"/>
      <c r="N18" s="95"/>
      <c r="O18" s="96"/>
      <c r="P18" s="97"/>
      <c r="Q18" s="95"/>
      <c r="R18" s="96"/>
      <c r="S18" s="97"/>
      <c r="T18" s="95"/>
      <c r="U18" s="96"/>
      <c r="V18" s="97"/>
      <c r="W18" s="95"/>
      <c r="X18" s="96"/>
      <c r="Y18" s="97"/>
      <c r="Z18" s="111">
        <f>Z16-Z17+Z12</f>
        <v>4241734.8299999991</v>
      </c>
      <c r="AA18" s="111"/>
      <c r="AB18" s="111"/>
    </row>
    <row r="21" spans="1:28" x14ac:dyDescent="0.25">
      <c r="A21" s="149" t="s">
        <v>10</v>
      </c>
      <c r="B21" s="129" t="s">
        <v>94</v>
      </c>
      <c r="C21" s="130"/>
      <c r="D21" s="131"/>
      <c r="E21" s="82" t="s">
        <v>1</v>
      </c>
      <c r="F21" s="82"/>
      <c r="G21" s="82"/>
      <c r="H21" s="82" t="s">
        <v>88</v>
      </c>
      <c r="I21" s="82"/>
      <c r="J21" s="82"/>
      <c r="K21" s="82" t="s">
        <v>89</v>
      </c>
      <c r="L21" s="82"/>
      <c r="M21" s="82"/>
      <c r="N21" s="82" t="s">
        <v>90</v>
      </c>
      <c r="O21" s="82"/>
      <c r="P21" s="82"/>
      <c r="Q21" s="82" t="s">
        <v>91</v>
      </c>
      <c r="R21" s="82"/>
      <c r="S21" s="82"/>
      <c r="T21" s="82" t="s">
        <v>92</v>
      </c>
      <c r="U21" s="82"/>
      <c r="V21" s="82"/>
      <c r="W21" s="82" t="s">
        <v>101</v>
      </c>
      <c r="X21" s="82"/>
      <c r="Y21" s="82"/>
      <c r="Z21" s="118" t="s">
        <v>11</v>
      </c>
      <c r="AA21" s="109" t="s">
        <v>2</v>
      </c>
      <c r="AB21" s="110"/>
    </row>
    <row r="22" spans="1:28" x14ac:dyDescent="0.25">
      <c r="A22" s="150"/>
      <c r="B22" s="140" t="s">
        <v>12</v>
      </c>
      <c r="C22" s="141"/>
      <c r="D22" s="26" t="s">
        <v>13</v>
      </c>
      <c r="E22" s="26" t="s">
        <v>14</v>
      </c>
      <c r="F22" s="26" t="s">
        <v>15</v>
      </c>
      <c r="G22" s="32" t="s">
        <v>13</v>
      </c>
      <c r="H22" s="26" t="s">
        <v>14</v>
      </c>
      <c r="I22" s="26" t="s">
        <v>15</v>
      </c>
      <c r="J22" s="32" t="s">
        <v>13</v>
      </c>
      <c r="K22" s="26" t="s">
        <v>14</v>
      </c>
      <c r="L22" s="26" t="s">
        <v>15</v>
      </c>
      <c r="M22" s="32" t="s">
        <v>13</v>
      </c>
      <c r="N22" s="26" t="s">
        <v>14</v>
      </c>
      <c r="O22" s="26" t="s">
        <v>15</v>
      </c>
      <c r="P22" s="32" t="s">
        <v>13</v>
      </c>
      <c r="Q22" s="26" t="s">
        <v>14</v>
      </c>
      <c r="R22" s="26" t="s">
        <v>15</v>
      </c>
      <c r="S22" s="32" t="s">
        <v>13</v>
      </c>
      <c r="T22" s="26" t="s">
        <v>14</v>
      </c>
      <c r="U22" s="26" t="s">
        <v>15</v>
      </c>
      <c r="V22" s="32" t="s">
        <v>13</v>
      </c>
      <c r="W22" s="26" t="s">
        <v>14</v>
      </c>
      <c r="X22" s="26" t="s">
        <v>15</v>
      </c>
      <c r="Y22" s="32" t="s">
        <v>13</v>
      </c>
      <c r="Z22" s="119"/>
      <c r="AA22" s="30" t="s">
        <v>12</v>
      </c>
      <c r="AB22" s="34" t="s">
        <v>13</v>
      </c>
    </row>
    <row r="23" spans="1:28" x14ac:dyDescent="0.25">
      <c r="A23" s="7" t="s">
        <v>16</v>
      </c>
      <c r="B23" s="124">
        <v>158</v>
      </c>
      <c r="C23" s="124"/>
      <c r="D23" s="27">
        <v>208300.66</v>
      </c>
      <c r="E23" s="29"/>
      <c r="F23" s="29"/>
      <c r="G23" s="37"/>
      <c r="H23" s="29"/>
      <c r="I23" s="29"/>
      <c r="J23" s="37"/>
      <c r="K23" s="29"/>
      <c r="L23" s="29"/>
      <c r="M23" s="37"/>
      <c r="N23" s="29"/>
      <c r="O23" s="29"/>
      <c r="P23" s="37"/>
      <c r="Q23" s="29"/>
      <c r="R23" s="29"/>
      <c r="S23" s="37"/>
      <c r="T23" s="29"/>
      <c r="U23" s="29"/>
      <c r="V23" s="37"/>
      <c r="W23" s="29"/>
      <c r="X23" s="29"/>
      <c r="Y23" s="33"/>
      <c r="Z23" s="39"/>
      <c r="AA23" s="42">
        <v>158</v>
      </c>
      <c r="AB23" s="35">
        <v>208300.66</v>
      </c>
    </row>
    <row r="24" spans="1:28" x14ac:dyDescent="0.25">
      <c r="A24" s="4" t="s">
        <v>17</v>
      </c>
      <c r="B24" s="124">
        <f>7221</f>
        <v>7221</v>
      </c>
      <c r="C24" s="124"/>
      <c r="D24" s="27">
        <f>7615729.13</f>
        <v>7615729.1299999999</v>
      </c>
      <c r="E24" s="29">
        <f>-4</f>
        <v>-4</v>
      </c>
      <c r="F24" s="29">
        <f>0</f>
        <v>0</v>
      </c>
      <c r="G24" s="33">
        <f>20</f>
        <v>20</v>
      </c>
      <c r="H24" s="29">
        <f>-1</f>
        <v>-1</v>
      </c>
      <c r="I24" s="29">
        <f>0</f>
        <v>0</v>
      </c>
      <c r="J24" s="33">
        <f>20</f>
        <v>20</v>
      </c>
      <c r="K24" s="29">
        <f>-1</f>
        <v>-1</v>
      </c>
      <c r="L24" s="29">
        <f>0</f>
        <v>0</v>
      </c>
      <c r="M24" s="33">
        <f>20</f>
        <v>20</v>
      </c>
      <c r="N24" s="29">
        <f>-4</f>
        <v>-4</v>
      </c>
      <c r="O24" s="29">
        <f>0</f>
        <v>0</v>
      </c>
      <c r="P24" s="33">
        <f>20</f>
        <v>20</v>
      </c>
      <c r="Q24" s="29">
        <f>-1</f>
        <v>-1</v>
      </c>
      <c r="R24" s="29">
        <f>0</f>
        <v>0</v>
      </c>
      <c r="S24" s="33">
        <f>20+150</f>
        <v>170</v>
      </c>
      <c r="T24" s="29">
        <f>0</f>
        <v>0</v>
      </c>
      <c r="U24" s="29">
        <f>0</f>
        <v>0</v>
      </c>
      <c r="V24" s="33">
        <f>20+315</f>
        <v>335</v>
      </c>
      <c r="W24" s="39">
        <f>E24+H24+K24+N24+Q24+T24</f>
        <v>-11</v>
      </c>
      <c r="X24" s="39">
        <f>F24+I24+L24+O24+R24+U24</f>
        <v>0</v>
      </c>
      <c r="Y24" s="33">
        <f>G24+J24+M24+P24+S24+V24</f>
        <v>585</v>
      </c>
      <c r="Z24" s="43">
        <v>3.4008245866014308E-2</v>
      </c>
      <c r="AA24" s="40">
        <f>7260</f>
        <v>7260</v>
      </c>
      <c r="AB24" s="1">
        <f>7615729.13+Y24</f>
        <v>7616314.1299999999</v>
      </c>
    </row>
    <row r="25" spans="1:28" x14ac:dyDescent="0.25">
      <c r="A25" s="8" t="s">
        <v>18</v>
      </c>
      <c r="B25" s="124"/>
      <c r="C25" s="124"/>
      <c r="D25" s="27">
        <f>1609947.68</f>
        <v>1609947.68</v>
      </c>
      <c r="E25" s="29"/>
      <c r="F25" s="29"/>
      <c r="G25" s="33">
        <f>2.65+31605.24+13505.4</f>
        <v>45113.29</v>
      </c>
      <c r="H25" s="29"/>
      <c r="I25" s="29"/>
      <c r="J25" s="33">
        <f>599.49+28930.8+12767.52</f>
        <v>42297.81</v>
      </c>
      <c r="K25" s="29"/>
      <c r="L25" s="29"/>
      <c r="M25" s="33">
        <f>579.11+28137.66+12512.33</f>
        <v>41229.1</v>
      </c>
      <c r="N25" s="29"/>
      <c r="O25" s="29"/>
      <c r="P25" s="33">
        <f>255.87+30624.16+13614.52</f>
        <v>44494.55</v>
      </c>
      <c r="Q25" s="29"/>
      <c r="R25" s="29"/>
      <c r="S25" s="33">
        <f>277.48+33848.41+14454.01</f>
        <v>48579.900000000009</v>
      </c>
      <c r="T25" s="29"/>
      <c r="U25" s="29"/>
      <c r="V25" s="60">
        <f>288.31+32590.05+13632.97</f>
        <v>46511.33</v>
      </c>
      <c r="W25" s="29"/>
      <c r="X25" s="29"/>
      <c r="Y25" s="33">
        <f>G25+J25+M25+P25+S25+V25</f>
        <v>268225.98000000004</v>
      </c>
      <c r="Z25" s="44">
        <v>0.96599175413398575</v>
      </c>
      <c r="AA25" s="42"/>
      <c r="AB25" s="1">
        <f>1609947.68+Y25</f>
        <v>1878173.66</v>
      </c>
    </row>
    <row r="26" spans="1:28" x14ac:dyDescent="0.25">
      <c r="A26" s="9" t="s">
        <v>19</v>
      </c>
      <c r="B26" s="124"/>
      <c r="C26" s="124"/>
      <c r="D26" s="27">
        <f>51114.73</f>
        <v>51114.73</v>
      </c>
      <c r="E26" s="29"/>
      <c r="F26" s="29"/>
      <c r="G26" s="37"/>
      <c r="H26" s="29"/>
      <c r="I26" s="29"/>
      <c r="J26" s="37"/>
      <c r="K26" s="29"/>
      <c r="L26" s="29"/>
      <c r="M26" s="37"/>
      <c r="N26" s="29"/>
      <c r="O26" s="29"/>
      <c r="P26" s="37"/>
      <c r="Q26" s="29"/>
      <c r="R26" s="29"/>
      <c r="S26" s="37"/>
      <c r="T26" s="29"/>
      <c r="U26" s="29"/>
      <c r="V26" s="37"/>
      <c r="W26" s="29"/>
      <c r="X26" s="29"/>
      <c r="Y26" s="37"/>
      <c r="Z26" s="45">
        <v>0</v>
      </c>
      <c r="AA26" s="42"/>
      <c r="AB26" s="35">
        <f>51114.73+Y26</f>
        <v>51114.73</v>
      </c>
    </row>
    <row r="27" spans="1:28" x14ac:dyDescent="0.25">
      <c r="A27" s="10" t="s">
        <v>20</v>
      </c>
      <c r="B27" s="125">
        <f>SUM(B23:C26)</f>
        <v>7379</v>
      </c>
      <c r="C27" s="125"/>
      <c r="D27" s="28">
        <f>SUM(D23:D26)</f>
        <v>9485092.2000000011</v>
      </c>
      <c r="E27" s="98">
        <f>B27+E24+F24</f>
        <v>7375</v>
      </c>
      <c r="F27" s="99"/>
      <c r="G27" s="38">
        <f>SUM(G24:G26)</f>
        <v>45133.29</v>
      </c>
      <c r="H27" s="98">
        <f>E27+H24+I24</f>
        <v>7374</v>
      </c>
      <c r="I27" s="99"/>
      <c r="J27" s="38">
        <f>SUM(J24:J26)</f>
        <v>42317.81</v>
      </c>
      <c r="K27" s="98">
        <f>H27+K24+L24</f>
        <v>7373</v>
      </c>
      <c r="L27" s="99"/>
      <c r="M27" s="38">
        <f>SUM(M24:M26)</f>
        <v>41249.1</v>
      </c>
      <c r="N27" s="98">
        <f>K27+N24+O24</f>
        <v>7369</v>
      </c>
      <c r="O27" s="99"/>
      <c r="P27" s="38">
        <f>SUM(P24:P26)</f>
        <v>44514.55</v>
      </c>
      <c r="Q27" s="98">
        <f>N27+Q24+R24</f>
        <v>7368</v>
      </c>
      <c r="R27" s="99"/>
      <c r="S27" s="38">
        <f>SUM(S24:S26)</f>
        <v>48749.900000000009</v>
      </c>
      <c r="T27" s="98">
        <f>Q27+T24+U24</f>
        <v>7368</v>
      </c>
      <c r="U27" s="99"/>
      <c r="V27" s="38">
        <f>SUM(V24:V26)</f>
        <v>46846.33</v>
      </c>
      <c r="W27" s="98">
        <f>B27+W24+X24</f>
        <v>7368</v>
      </c>
      <c r="X27" s="99"/>
      <c r="Y27" s="38">
        <f>SUM(Y24:Y26)</f>
        <v>268810.98000000004</v>
      </c>
      <c r="Z27" s="46">
        <v>1</v>
      </c>
      <c r="AA27" s="41">
        <f>SUM(AA23:AA26)</f>
        <v>7418</v>
      </c>
      <c r="AB27" s="36">
        <f>SUM(AB23:AB26)</f>
        <v>9753903.1799999997</v>
      </c>
    </row>
    <row r="30" spans="1:28" ht="15.75" x14ac:dyDescent="0.25">
      <c r="A30" s="101" t="s">
        <v>21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</row>
    <row r="32" spans="1:28" x14ac:dyDescent="0.25">
      <c r="A32" s="11" t="s">
        <v>8</v>
      </c>
      <c r="B32" s="129" t="s">
        <v>94</v>
      </c>
      <c r="C32" s="130"/>
      <c r="D32" s="131"/>
      <c r="E32" s="82" t="s">
        <v>1</v>
      </c>
      <c r="F32" s="82"/>
      <c r="G32" s="82"/>
      <c r="H32" s="82" t="s">
        <v>88</v>
      </c>
      <c r="I32" s="82"/>
      <c r="J32" s="82"/>
      <c r="K32" s="82" t="s">
        <v>89</v>
      </c>
      <c r="L32" s="82"/>
      <c r="M32" s="82"/>
      <c r="N32" s="82" t="s">
        <v>90</v>
      </c>
      <c r="O32" s="82"/>
      <c r="P32" s="82"/>
      <c r="Q32" s="82" t="s">
        <v>91</v>
      </c>
      <c r="R32" s="82"/>
      <c r="S32" s="82"/>
      <c r="T32" s="82" t="s">
        <v>92</v>
      </c>
      <c r="U32" s="82"/>
      <c r="V32" s="82"/>
      <c r="W32" s="82" t="s">
        <v>101</v>
      </c>
      <c r="X32" s="82"/>
      <c r="Y32" s="82"/>
      <c r="Z32" s="31" t="s">
        <v>11</v>
      </c>
      <c r="AA32" s="109" t="s">
        <v>2</v>
      </c>
      <c r="AB32" s="110"/>
    </row>
    <row r="33" spans="1:28" x14ac:dyDescent="0.25">
      <c r="A33" s="12" t="s">
        <v>22</v>
      </c>
      <c r="B33" s="76">
        <f>SUM(B34:D41)</f>
        <v>1213453.6299999999</v>
      </c>
      <c r="C33" s="77"/>
      <c r="D33" s="78"/>
      <c r="E33" s="76">
        <f>SUM(E34:G41)</f>
        <v>14032</v>
      </c>
      <c r="F33" s="77"/>
      <c r="G33" s="78"/>
      <c r="H33" s="76">
        <f t="shared" ref="H33" si="0">SUM(H34:J41)</f>
        <v>13764</v>
      </c>
      <c r="I33" s="77"/>
      <c r="J33" s="78"/>
      <c r="K33" s="76">
        <f t="shared" ref="K33" si="1">SUM(K34:M41)</f>
        <v>13509</v>
      </c>
      <c r="L33" s="77"/>
      <c r="M33" s="78"/>
      <c r="N33" s="76">
        <f t="shared" ref="N33" si="2">SUM(N34:P41)</f>
        <v>13859</v>
      </c>
      <c r="O33" s="77"/>
      <c r="P33" s="78"/>
      <c r="Q33" s="76">
        <f t="shared" ref="Q33" si="3">SUM(Q34:S41)</f>
        <v>13779</v>
      </c>
      <c r="R33" s="77"/>
      <c r="S33" s="78"/>
      <c r="T33" s="76">
        <f t="shared" ref="T33" si="4">SUM(T34:V41)</f>
        <v>13509</v>
      </c>
      <c r="U33" s="77"/>
      <c r="V33" s="78"/>
      <c r="W33" s="76">
        <f>SUM(W34:Y41)</f>
        <v>82452</v>
      </c>
      <c r="X33" s="77"/>
      <c r="Y33" s="78"/>
      <c r="Z33" s="49">
        <v>0.53162074279436378</v>
      </c>
      <c r="AA33" s="106">
        <f>SUM(AA34:AB41)</f>
        <v>1295905.6299999999</v>
      </c>
      <c r="AB33" s="107"/>
    </row>
    <row r="34" spans="1:28" x14ac:dyDescent="0.25">
      <c r="A34" s="13" t="s">
        <v>23</v>
      </c>
      <c r="B34" s="126">
        <v>86065.64</v>
      </c>
      <c r="C34" s="127"/>
      <c r="D34" s="128"/>
      <c r="E34" s="66">
        <f>0</f>
        <v>0</v>
      </c>
      <c r="F34" s="67"/>
      <c r="G34" s="68"/>
      <c r="H34" s="66">
        <f>0</f>
        <v>0</v>
      </c>
      <c r="I34" s="67"/>
      <c r="J34" s="68"/>
      <c r="K34" s="66">
        <f>0</f>
        <v>0</v>
      </c>
      <c r="L34" s="67"/>
      <c r="M34" s="68"/>
      <c r="N34" s="66">
        <f>0</f>
        <v>0</v>
      </c>
      <c r="O34" s="67"/>
      <c r="P34" s="68"/>
      <c r="Q34" s="66">
        <f>0</f>
        <v>0</v>
      </c>
      <c r="R34" s="67"/>
      <c r="S34" s="68"/>
      <c r="T34" s="66">
        <f>0</f>
        <v>0</v>
      </c>
      <c r="U34" s="67"/>
      <c r="V34" s="68"/>
      <c r="W34" s="61">
        <f>0+E34+H34+K34+N34+Q34+T34</f>
        <v>0</v>
      </c>
      <c r="X34" s="62"/>
      <c r="Y34" s="63"/>
      <c r="Z34" s="43">
        <v>0</v>
      </c>
      <c r="AA34" s="104">
        <f>86065.64+W34</f>
        <v>86065.64</v>
      </c>
      <c r="AB34" s="104"/>
    </row>
    <row r="35" spans="1:28" x14ac:dyDescent="0.25">
      <c r="A35" s="14" t="s">
        <v>24</v>
      </c>
      <c r="B35" s="126">
        <f>434100</f>
        <v>434100</v>
      </c>
      <c r="C35" s="127"/>
      <c r="D35" s="128"/>
      <c r="E35" s="66">
        <f>8200</f>
        <v>8200</v>
      </c>
      <c r="F35" s="67"/>
      <c r="G35" s="68"/>
      <c r="H35" s="66">
        <f>8200</f>
        <v>8200</v>
      </c>
      <c r="I35" s="67"/>
      <c r="J35" s="68"/>
      <c r="K35" s="66">
        <f>8200</f>
        <v>8200</v>
      </c>
      <c r="L35" s="67"/>
      <c r="M35" s="68"/>
      <c r="N35" s="66">
        <f>8200</f>
        <v>8200</v>
      </c>
      <c r="O35" s="67"/>
      <c r="P35" s="68"/>
      <c r="Q35" s="66">
        <f>8200</f>
        <v>8200</v>
      </c>
      <c r="R35" s="67"/>
      <c r="S35" s="68"/>
      <c r="T35" s="66">
        <v>8200</v>
      </c>
      <c r="U35" s="67"/>
      <c r="V35" s="68"/>
      <c r="W35" s="61">
        <f t="shared" ref="W35:W41" si="5">0+E35+H35+K35+N35+Q35+T35</f>
        <v>49200</v>
      </c>
      <c r="X35" s="62"/>
      <c r="Y35" s="63"/>
      <c r="Z35" s="43">
        <v>0.22120141863843154</v>
      </c>
      <c r="AA35" s="104">
        <f>434100+W35</f>
        <v>483300</v>
      </c>
      <c r="AB35" s="104"/>
    </row>
    <row r="36" spans="1:28" x14ac:dyDescent="0.25">
      <c r="A36" s="13" t="s">
        <v>25</v>
      </c>
      <c r="B36" s="126">
        <f>121442.06</f>
        <v>121442.06</v>
      </c>
      <c r="C36" s="127"/>
      <c r="D36" s="128"/>
      <c r="E36" s="66">
        <f>1959</f>
        <v>1959</v>
      </c>
      <c r="F36" s="67"/>
      <c r="G36" s="68"/>
      <c r="H36" s="66">
        <f>1691</f>
        <v>1691</v>
      </c>
      <c r="I36" s="67"/>
      <c r="J36" s="68"/>
      <c r="K36" s="66">
        <f>1436</f>
        <v>1436</v>
      </c>
      <c r="L36" s="67"/>
      <c r="M36" s="68"/>
      <c r="N36" s="66">
        <f>1786</f>
        <v>1786</v>
      </c>
      <c r="O36" s="67"/>
      <c r="P36" s="68"/>
      <c r="Q36" s="66">
        <f>1706</f>
        <v>1706</v>
      </c>
      <c r="R36" s="67"/>
      <c r="S36" s="68"/>
      <c r="T36" s="66">
        <f>1436</f>
        <v>1436</v>
      </c>
      <c r="U36" s="67"/>
      <c r="V36" s="68"/>
      <c r="W36" s="61">
        <f t="shared" si="5"/>
        <v>10014</v>
      </c>
      <c r="X36" s="62"/>
      <c r="Y36" s="63"/>
      <c r="Z36" s="43">
        <v>5.9724383032376517E-2</v>
      </c>
      <c r="AA36" s="104">
        <f>121442.06+W36</f>
        <v>131456.06</v>
      </c>
      <c r="AB36" s="104"/>
    </row>
    <row r="37" spans="1:28" x14ac:dyDescent="0.25">
      <c r="A37" s="15" t="s">
        <v>27</v>
      </c>
      <c r="B37" s="79">
        <f>244837.15</f>
        <v>244837.15</v>
      </c>
      <c r="C37" s="80"/>
      <c r="D37" s="81"/>
      <c r="E37" s="66">
        <f>3873</f>
        <v>3873</v>
      </c>
      <c r="F37" s="67"/>
      <c r="G37" s="68"/>
      <c r="H37" s="66">
        <f>3873</f>
        <v>3873</v>
      </c>
      <c r="I37" s="67"/>
      <c r="J37" s="68"/>
      <c r="K37" s="66">
        <f>3873</f>
        <v>3873</v>
      </c>
      <c r="L37" s="67"/>
      <c r="M37" s="68"/>
      <c r="N37" s="66">
        <f>3873</f>
        <v>3873</v>
      </c>
      <c r="O37" s="67"/>
      <c r="P37" s="68"/>
      <c r="Q37" s="66">
        <f>3873</f>
        <v>3873</v>
      </c>
      <c r="R37" s="67"/>
      <c r="S37" s="68"/>
      <c r="T37" s="66">
        <v>3873</v>
      </c>
      <c r="U37" s="67"/>
      <c r="V37" s="68"/>
      <c r="W37" s="61">
        <f t="shared" si="5"/>
        <v>23238</v>
      </c>
      <c r="X37" s="62"/>
      <c r="Y37" s="63"/>
      <c r="Z37" s="43">
        <v>0.1290341608724184</v>
      </c>
      <c r="AA37" s="104">
        <f>244837.15+W37</f>
        <v>268075.15000000002</v>
      </c>
      <c r="AB37" s="104"/>
    </row>
    <row r="38" spans="1:28" x14ac:dyDescent="0.25">
      <c r="A38" s="15" t="s">
        <v>28</v>
      </c>
      <c r="B38" s="79">
        <f>100893.66</f>
        <v>100893.66</v>
      </c>
      <c r="C38" s="80"/>
      <c r="D38" s="81"/>
      <c r="E38" s="66">
        <f>0</f>
        <v>0</v>
      </c>
      <c r="F38" s="67"/>
      <c r="G38" s="68"/>
      <c r="H38" s="66">
        <f>0</f>
        <v>0</v>
      </c>
      <c r="I38" s="67"/>
      <c r="J38" s="68"/>
      <c r="K38" s="66">
        <f>0</f>
        <v>0</v>
      </c>
      <c r="L38" s="67"/>
      <c r="M38" s="68"/>
      <c r="N38" s="66">
        <f>0</f>
        <v>0</v>
      </c>
      <c r="O38" s="67"/>
      <c r="P38" s="68"/>
      <c r="Q38" s="66">
        <f>0</f>
        <v>0</v>
      </c>
      <c r="R38" s="67"/>
      <c r="S38" s="68"/>
      <c r="T38" s="66">
        <f>0</f>
        <v>0</v>
      </c>
      <c r="U38" s="67"/>
      <c r="V38" s="68"/>
      <c r="W38" s="61">
        <f t="shared" si="5"/>
        <v>0</v>
      </c>
      <c r="X38" s="62"/>
      <c r="Y38" s="63"/>
      <c r="Z38" s="43">
        <v>0.12166078025113736</v>
      </c>
      <c r="AA38" s="104">
        <f>100893.66+W38</f>
        <v>100893.66</v>
      </c>
      <c r="AB38" s="104"/>
    </row>
    <row r="39" spans="1:28" x14ac:dyDescent="0.25">
      <c r="A39" s="57" t="s">
        <v>26</v>
      </c>
      <c r="B39" s="126">
        <f>215821.12</f>
        <v>215821.12</v>
      </c>
      <c r="C39" s="127"/>
      <c r="D39" s="128"/>
      <c r="E39" s="79">
        <f>0</f>
        <v>0</v>
      </c>
      <c r="F39" s="80"/>
      <c r="G39" s="81"/>
      <c r="H39" s="79">
        <f>0</f>
        <v>0</v>
      </c>
      <c r="I39" s="80"/>
      <c r="J39" s="81"/>
      <c r="K39" s="79">
        <f>0</f>
        <v>0</v>
      </c>
      <c r="L39" s="80"/>
      <c r="M39" s="81"/>
      <c r="N39" s="79">
        <f>0</f>
        <v>0</v>
      </c>
      <c r="O39" s="80"/>
      <c r="P39" s="81"/>
      <c r="Q39" s="79">
        <f>0</f>
        <v>0</v>
      </c>
      <c r="R39" s="80"/>
      <c r="S39" s="81"/>
      <c r="T39" s="79">
        <f>0</f>
        <v>0</v>
      </c>
      <c r="U39" s="80"/>
      <c r="V39" s="81"/>
      <c r="W39" s="61">
        <f t="shared" si="5"/>
        <v>0</v>
      </c>
      <c r="X39" s="62"/>
      <c r="Y39" s="63"/>
      <c r="Z39" s="58">
        <v>0</v>
      </c>
      <c r="AA39" s="108">
        <f>215821.12+W39</f>
        <v>215821.12</v>
      </c>
      <c r="AB39" s="108"/>
    </row>
    <row r="40" spans="1:28" x14ac:dyDescent="0.25">
      <c r="A40" s="56" t="s">
        <v>29</v>
      </c>
      <c r="B40" s="79">
        <f>8289</f>
        <v>8289</v>
      </c>
      <c r="C40" s="80"/>
      <c r="D40" s="81"/>
      <c r="E40" s="79">
        <f>0</f>
        <v>0</v>
      </c>
      <c r="F40" s="80"/>
      <c r="G40" s="81"/>
      <c r="H40" s="79">
        <f>0</f>
        <v>0</v>
      </c>
      <c r="I40" s="80"/>
      <c r="J40" s="81"/>
      <c r="K40" s="79">
        <f>0</f>
        <v>0</v>
      </c>
      <c r="L40" s="80"/>
      <c r="M40" s="81"/>
      <c r="N40" s="79">
        <f>0</f>
        <v>0</v>
      </c>
      <c r="O40" s="80"/>
      <c r="P40" s="81"/>
      <c r="Q40" s="79">
        <f>0</f>
        <v>0</v>
      </c>
      <c r="R40" s="80"/>
      <c r="S40" s="81"/>
      <c r="T40" s="79">
        <f>0</f>
        <v>0</v>
      </c>
      <c r="U40" s="80"/>
      <c r="V40" s="81"/>
      <c r="W40" s="61">
        <f t="shared" si="5"/>
        <v>0</v>
      </c>
      <c r="X40" s="62"/>
      <c r="Y40" s="63"/>
      <c r="Z40" s="58">
        <v>0</v>
      </c>
      <c r="AA40" s="108">
        <f>8289+W40</f>
        <v>8289</v>
      </c>
      <c r="AB40" s="108"/>
    </row>
    <row r="41" spans="1:28" x14ac:dyDescent="0.25">
      <c r="A41" s="57" t="s">
        <v>30</v>
      </c>
      <c r="B41" s="126">
        <f>2005</f>
        <v>2005</v>
      </c>
      <c r="C41" s="127"/>
      <c r="D41" s="128"/>
      <c r="E41" s="79">
        <f>0</f>
        <v>0</v>
      </c>
      <c r="F41" s="80"/>
      <c r="G41" s="81"/>
      <c r="H41" s="79">
        <f>0</f>
        <v>0</v>
      </c>
      <c r="I41" s="80"/>
      <c r="J41" s="81"/>
      <c r="K41" s="79">
        <f>0</f>
        <v>0</v>
      </c>
      <c r="L41" s="80"/>
      <c r="M41" s="81"/>
      <c r="N41" s="79">
        <f>0</f>
        <v>0</v>
      </c>
      <c r="O41" s="80"/>
      <c r="P41" s="81"/>
      <c r="Q41" s="79">
        <f>0</f>
        <v>0</v>
      </c>
      <c r="R41" s="80"/>
      <c r="S41" s="81"/>
      <c r="T41" s="79">
        <f>0</f>
        <v>0</v>
      </c>
      <c r="U41" s="80"/>
      <c r="V41" s="81"/>
      <c r="W41" s="61">
        <f t="shared" si="5"/>
        <v>0</v>
      </c>
      <c r="X41" s="62"/>
      <c r="Y41" s="63"/>
      <c r="Z41" s="58">
        <v>0</v>
      </c>
      <c r="AA41" s="108">
        <f>2005+W41</f>
        <v>2005</v>
      </c>
      <c r="AB41" s="108"/>
    </row>
    <row r="42" spans="1:28" x14ac:dyDescent="0.25">
      <c r="A42" s="12" t="s">
        <v>31</v>
      </c>
      <c r="B42" s="76">
        <f>SUM(B43:D45)</f>
        <v>751546.74</v>
      </c>
      <c r="C42" s="77"/>
      <c r="D42" s="78"/>
      <c r="E42" s="76">
        <f>SUM(E43:G45)</f>
        <v>0</v>
      </c>
      <c r="F42" s="77"/>
      <c r="G42" s="78"/>
      <c r="H42" s="76">
        <f>SUM(H43:J45)</f>
        <v>0</v>
      </c>
      <c r="I42" s="77"/>
      <c r="J42" s="78"/>
      <c r="K42" s="76">
        <f>SUM(K43:M45)</f>
        <v>0</v>
      </c>
      <c r="L42" s="77"/>
      <c r="M42" s="78"/>
      <c r="N42" s="76">
        <f>SUM(N43:P45)</f>
        <v>0</v>
      </c>
      <c r="O42" s="77"/>
      <c r="P42" s="78"/>
      <c r="Q42" s="76">
        <f>SUM(Q43:S45)</f>
        <v>0</v>
      </c>
      <c r="R42" s="77"/>
      <c r="S42" s="78"/>
      <c r="T42" s="76">
        <f>SUM(T43:V45)</f>
        <v>0</v>
      </c>
      <c r="U42" s="77"/>
      <c r="V42" s="78"/>
      <c r="W42" s="76">
        <f>SUM(W43:Y45)</f>
        <v>0</v>
      </c>
      <c r="X42" s="77"/>
      <c r="Y42" s="78"/>
      <c r="Z42" s="48">
        <v>0</v>
      </c>
      <c r="AA42" s="106">
        <f>SUM(AA43:AB45)</f>
        <v>751546.74</v>
      </c>
      <c r="AB42" s="107"/>
    </row>
    <row r="43" spans="1:28" x14ac:dyDescent="0.25">
      <c r="A43" s="13" t="s">
        <v>32</v>
      </c>
      <c r="B43" s="126">
        <v>583007.5</v>
      </c>
      <c r="C43" s="127"/>
      <c r="D43" s="128"/>
      <c r="E43" s="66">
        <f>0</f>
        <v>0</v>
      </c>
      <c r="F43" s="67"/>
      <c r="G43" s="68"/>
      <c r="H43" s="66">
        <f>0</f>
        <v>0</v>
      </c>
      <c r="I43" s="67"/>
      <c r="J43" s="68"/>
      <c r="K43" s="66">
        <f>0</f>
        <v>0</v>
      </c>
      <c r="L43" s="67"/>
      <c r="M43" s="68"/>
      <c r="N43" s="66">
        <f>0</f>
        <v>0</v>
      </c>
      <c r="O43" s="67"/>
      <c r="P43" s="68"/>
      <c r="Q43" s="66">
        <f>0</f>
        <v>0</v>
      </c>
      <c r="R43" s="67"/>
      <c r="S43" s="68"/>
      <c r="T43" s="66">
        <f>0</f>
        <v>0</v>
      </c>
      <c r="U43" s="67"/>
      <c r="V43" s="68"/>
      <c r="W43" s="61">
        <f>0+E43+H43+K43+N43+Q43+T43</f>
        <v>0</v>
      </c>
      <c r="X43" s="62"/>
      <c r="Y43" s="63"/>
      <c r="Z43" s="43">
        <v>0</v>
      </c>
      <c r="AA43" s="104">
        <f>583007.5+W43</f>
        <v>583007.5</v>
      </c>
      <c r="AB43" s="104"/>
    </row>
    <row r="44" spans="1:28" x14ac:dyDescent="0.25">
      <c r="A44" s="13" t="s">
        <v>33</v>
      </c>
      <c r="B44" s="126">
        <v>151996.63</v>
      </c>
      <c r="C44" s="127"/>
      <c r="D44" s="128"/>
      <c r="E44" s="66">
        <f>0</f>
        <v>0</v>
      </c>
      <c r="F44" s="67"/>
      <c r="G44" s="68"/>
      <c r="H44" s="66">
        <f>0</f>
        <v>0</v>
      </c>
      <c r="I44" s="67"/>
      <c r="J44" s="68"/>
      <c r="K44" s="66">
        <f>0</f>
        <v>0</v>
      </c>
      <c r="L44" s="67"/>
      <c r="M44" s="68"/>
      <c r="N44" s="66">
        <f>0</f>
        <v>0</v>
      </c>
      <c r="O44" s="67"/>
      <c r="P44" s="68"/>
      <c r="Q44" s="66">
        <f>0</f>
        <v>0</v>
      </c>
      <c r="R44" s="67"/>
      <c r="S44" s="68"/>
      <c r="T44" s="66">
        <f>0</f>
        <v>0</v>
      </c>
      <c r="U44" s="67"/>
      <c r="V44" s="68"/>
      <c r="W44" s="61">
        <f t="shared" ref="W44:W45" si="6">0+E44+H44+K44+N44+Q44+T44</f>
        <v>0</v>
      </c>
      <c r="X44" s="62"/>
      <c r="Y44" s="63"/>
      <c r="Z44" s="43">
        <v>0</v>
      </c>
      <c r="AA44" s="102">
        <f>151996.63+W44</f>
        <v>151996.63</v>
      </c>
      <c r="AB44" s="103"/>
    </row>
    <row r="45" spans="1:28" x14ac:dyDescent="0.25">
      <c r="A45" s="13" t="s">
        <v>34</v>
      </c>
      <c r="B45" s="126">
        <f>16542.61</f>
        <v>16542.61</v>
      </c>
      <c r="C45" s="127"/>
      <c r="D45" s="128"/>
      <c r="E45" s="66">
        <f>0</f>
        <v>0</v>
      </c>
      <c r="F45" s="67"/>
      <c r="G45" s="68"/>
      <c r="H45" s="66">
        <f>0</f>
        <v>0</v>
      </c>
      <c r="I45" s="67"/>
      <c r="J45" s="68"/>
      <c r="K45" s="66">
        <f>0</f>
        <v>0</v>
      </c>
      <c r="L45" s="67"/>
      <c r="M45" s="68"/>
      <c r="N45" s="66">
        <f>0</f>
        <v>0</v>
      </c>
      <c r="O45" s="67"/>
      <c r="P45" s="68"/>
      <c r="Q45" s="66">
        <f>0</f>
        <v>0</v>
      </c>
      <c r="R45" s="67"/>
      <c r="S45" s="68"/>
      <c r="T45" s="66">
        <f>0</f>
        <v>0</v>
      </c>
      <c r="U45" s="67"/>
      <c r="V45" s="68"/>
      <c r="W45" s="61">
        <f t="shared" si="6"/>
        <v>0</v>
      </c>
      <c r="X45" s="62"/>
      <c r="Y45" s="63"/>
      <c r="Z45" s="43">
        <v>0</v>
      </c>
      <c r="AA45" s="102">
        <f>16542.61+W45</f>
        <v>16542.61</v>
      </c>
      <c r="AB45" s="103"/>
    </row>
    <row r="46" spans="1:28" x14ac:dyDescent="0.25">
      <c r="A46" s="12" t="s">
        <v>35</v>
      </c>
      <c r="B46" s="76">
        <f>SUM(B47:D49)</f>
        <v>126209</v>
      </c>
      <c r="C46" s="77"/>
      <c r="D46" s="78"/>
      <c r="E46" s="76">
        <f>SUM(E47:G49)</f>
        <v>0</v>
      </c>
      <c r="F46" s="77"/>
      <c r="G46" s="78"/>
      <c r="H46" s="76">
        <f>SUM(H47:J49)</f>
        <v>0</v>
      </c>
      <c r="I46" s="77"/>
      <c r="J46" s="78"/>
      <c r="K46" s="76">
        <f>SUM(K47:M49)</f>
        <v>0</v>
      </c>
      <c r="L46" s="77"/>
      <c r="M46" s="78"/>
      <c r="N46" s="76">
        <f>SUM(N47:P49)</f>
        <v>0</v>
      </c>
      <c r="O46" s="77"/>
      <c r="P46" s="78"/>
      <c r="Q46" s="76">
        <f>SUM(Q47:S49)</f>
        <v>0</v>
      </c>
      <c r="R46" s="77"/>
      <c r="S46" s="78"/>
      <c r="T46" s="76">
        <f>SUM(T47:V49)</f>
        <v>0</v>
      </c>
      <c r="U46" s="77"/>
      <c r="V46" s="78"/>
      <c r="W46" s="76">
        <f>SUM(W47:Y49)</f>
        <v>0</v>
      </c>
      <c r="X46" s="77"/>
      <c r="Y46" s="78"/>
      <c r="Z46" s="48">
        <v>0</v>
      </c>
      <c r="AA46" s="106">
        <f>SUM(AA47:AB49)</f>
        <v>126209</v>
      </c>
      <c r="AB46" s="107"/>
    </row>
    <row r="47" spans="1:28" x14ac:dyDescent="0.25">
      <c r="A47" s="13" t="s">
        <v>36</v>
      </c>
      <c r="B47" s="79">
        <f>6921.51</f>
        <v>6921.51</v>
      </c>
      <c r="C47" s="80"/>
      <c r="D47" s="81"/>
      <c r="E47" s="66">
        <f>0</f>
        <v>0</v>
      </c>
      <c r="F47" s="67"/>
      <c r="G47" s="68"/>
      <c r="H47" s="66">
        <f>0</f>
        <v>0</v>
      </c>
      <c r="I47" s="67"/>
      <c r="J47" s="68"/>
      <c r="K47" s="66">
        <f>0</f>
        <v>0</v>
      </c>
      <c r="L47" s="67"/>
      <c r="M47" s="68"/>
      <c r="N47" s="66">
        <f>0</f>
        <v>0</v>
      </c>
      <c r="O47" s="67"/>
      <c r="P47" s="68"/>
      <c r="Q47" s="66">
        <f>0</f>
        <v>0</v>
      </c>
      <c r="R47" s="67"/>
      <c r="S47" s="68"/>
      <c r="T47" s="66">
        <f>0</f>
        <v>0</v>
      </c>
      <c r="U47" s="67"/>
      <c r="V47" s="68"/>
      <c r="W47" s="61">
        <f>0+E47+H47+K47+N47+Q47+T47</f>
        <v>0</v>
      </c>
      <c r="X47" s="62"/>
      <c r="Y47" s="63"/>
      <c r="Z47" s="43">
        <v>0</v>
      </c>
      <c r="AA47" s="122">
        <f>6921.51+W47</f>
        <v>6921.51</v>
      </c>
      <c r="AB47" s="122"/>
    </row>
    <row r="48" spans="1:28" x14ac:dyDescent="0.25">
      <c r="A48" s="13" t="s">
        <v>37</v>
      </c>
      <c r="B48" s="126">
        <v>13191.49</v>
      </c>
      <c r="C48" s="127"/>
      <c r="D48" s="128"/>
      <c r="E48" s="66">
        <f>0</f>
        <v>0</v>
      </c>
      <c r="F48" s="67"/>
      <c r="G48" s="68"/>
      <c r="H48" s="66">
        <f>0</f>
        <v>0</v>
      </c>
      <c r="I48" s="67"/>
      <c r="J48" s="68"/>
      <c r="K48" s="66">
        <f>0</f>
        <v>0</v>
      </c>
      <c r="L48" s="67"/>
      <c r="M48" s="68"/>
      <c r="N48" s="66">
        <f>0</f>
        <v>0</v>
      </c>
      <c r="O48" s="67"/>
      <c r="P48" s="68"/>
      <c r="Q48" s="66">
        <f>0</f>
        <v>0</v>
      </c>
      <c r="R48" s="67"/>
      <c r="S48" s="68"/>
      <c r="T48" s="66">
        <f>0</f>
        <v>0</v>
      </c>
      <c r="U48" s="67"/>
      <c r="V48" s="68"/>
      <c r="W48" s="61">
        <f t="shared" ref="W48:W49" si="7">0+E48+H48+K48+N48+Q48+T48</f>
        <v>0</v>
      </c>
      <c r="X48" s="62"/>
      <c r="Y48" s="63"/>
      <c r="Z48" s="43">
        <v>0</v>
      </c>
      <c r="AA48" s="102">
        <f>13191.49+W48</f>
        <v>13191.49</v>
      </c>
      <c r="AB48" s="103"/>
    </row>
    <row r="49" spans="1:28" x14ac:dyDescent="0.25">
      <c r="A49" s="13" t="s">
        <v>38</v>
      </c>
      <c r="B49" s="126">
        <f>106096</f>
        <v>106096</v>
      </c>
      <c r="C49" s="127"/>
      <c r="D49" s="128"/>
      <c r="E49" s="66">
        <f>0</f>
        <v>0</v>
      </c>
      <c r="F49" s="67"/>
      <c r="G49" s="68"/>
      <c r="H49" s="66">
        <f>0</f>
        <v>0</v>
      </c>
      <c r="I49" s="67"/>
      <c r="J49" s="68"/>
      <c r="K49" s="66">
        <f>0</f>
        <v>0</v>
      </c>
      <c r="L49" s="67"/>
      <c r="M49" s="68"/>
      <c r="N49" s="66">
        <f>0</f>
        <v>0</v>
      </c>
      <c r="O49" s="67"/>
      <c r="P49" s="68"/>
      <c r="Q49" s="66">
        <f>0</f>
        <v>0</v>
      </c>
      <c r="R49" s="67"/>
      <c r="S49" s="68"/>
      <c r="T49" s="66">
        <f>0</f>
        <v>0</v>
      </c>
      <c r="U49" s="67"/>
      <c r="V49" s="68"/>
      <c r="W49" s="61">
        <f t="shared" si="7"/>
        <v>0</v>
      </c>
      <c r="X49" s="62"/>
      <c r="Y49" s="63"/>
      <c r="Z49" s="43">
        <v>0</v>
      </c>
      <c r="AA49" s="102">
        <f>106096+W49</f>
        <v>106096</v>
      </c>
      <c r="AB49" s="103"/>
    </row>
    <row r="50" spans="1:28" x14ac:dyDescent="0.25">
      <c r="A50" s="12" t="s">
        <v>39</v>
      </c>
      <c r="B50" s="76">
        <f>SUM(B51:D61)</f>
        <v>566973.84</v>
      </c>
      <c r="C50" s="77"/>
      <c r="D50" s="78"/>
      <c r="E50" s="76">
        <f>SUM(E51:G61)</f>
        <v>5567.2</v>
      </c>
      <c r="F50" s="77"/>
      <c r="G50" s="78"/>
      <c r="H50" s="76">
        <f>SUM(H51:J61)</f>
        <v>5065.08</v>
      </c>
      <c r="I50" s="77"/>
      <c r="J50" s="78"/>
      <c r="K50" s="76">
        <f t="shared" ref="K50" si="8">SUM(K52:M61)</f>
        <v>7462.5499999999993</v>
      </c>
      <c r="L50" s="77"/>
      <c r="M50" s="78"/>
      <c r="N50" s="76">
        <f t="shared" ref="N50" si="9">SUM(N52:P61)</f>
        <v>5879.02</v>
      </c>
      <c r="O50" s="77"/>
      <c r="P50" s="78"/>
      <c r="Q50" s="76">
        <f t="shared" ref="Q50" si="10">SUM(Q52:S61)</f>
        <v>7457.78</v>
      </c>
      <c r="R50" s="77"/>
      <c r="S50" s="78"/>
      <c r="T50" s="76">
        <f t="shared" ref="T50" si="11">SUM(T52:V61)</f>
        <v>5021.37</v>
      </c>
      <c r="U50" s="77"/>
      <c r="V50" s="78"/>
      <c r="W50" s="76">
        <f>SUM(W51:Y61)</f>
        <v>36453</v>
      </c>
      <c r="X50" s="77"/>
      <c r="Y50" s="78"/>
      <c r="Z50" s="48">
        <v>0.18400750610147248</v>
      </c>
      <c r="AA50" s="106">
        <f>SUM(AA51:AB61)</f>
        <v>603426.84</v>
      </c>
      <c r="AB50" s="107"/>
    </row>
    <row r="51" spans="1:28" x14ac:dyDescent="0.25">
      <c r="A51" s="53" t="s">
        <v>103</v>
      </c>
      <c r="B51" s="126">
        <f>16240+46230</f>
        <v>62470</v>
      </c>
      <c r="C51" s="127"/>
      <c r="D51" s="128"/>
      <c r="E51" s="66">
        <f>540</f>
        <v>540</v>
      </c>
      <c r="F51" s="67"/>
      <c r="G51" s="68"/>
      <c r="H51" s="66">
        <f>40</f>
        <v>40</v>
      </c>
      <c r="I51" s="67"/>
      <c r="J51" s="68"/>
      <c r="K51" s="66">
        <f>0</f>
        <v>0</v>
      </c>
      <c r="L51" s="67"/>
      <c r="M51" s="68"/>
      <c r="N51" s="66">
        <f>0</f>
        <v>0</v>
      </c>
      <c r="O51" s="67"/>
      <c r="P51" s="68"/>
      <c r="Q51" s="66">
        <f>0</f>
        <v>0</v>
      </c>
      <c r="R51" s="67"/>
      <c r="S51" s="68"/>
      <c r="T51" s="66">
        <f>0</f>
        <v>0</v>
      </c>
      <c r="U51" s="67"/>
      <c r="V51" s="68"/>
      <c r="W51" s="61">
        <f>0+E51+H51+K51+N51+Q51+T51</f>
        <v>580</v>
      </c>
      <c r="X51" s="62"/>
      <c r="Y51" s="63"/>
      <c r="Z51" s="43">
        <v>1.990812767745884E-2</v>
      </c>
      <c r="AA51" s="102">
        <f>62470+W51</f>
        <v>63050</v>
      </c>
      <c r="AB51" s="103"/>
    </row>
    <row r="52" spans="1:28" x14ac:dyDescent="0.25">
      <c r="A52" s="54" t="s">
        <v>104</v>
      </c>
      <c r="B52" s="126">
        <f>34667.08</f>
        <v>34667.08</v>
      </c>
      <c r="C52" s="127"/>
      <c r="D52" s="128"/>
      <c r="E52" s="66">
        <f>700</f>
        <v>700</v>
      </c>
      <c r="F52" s="67"/>
      <c r="G52" s="68"/>
      <c r="H52" s="66">
        <f>700</f>
        <v>700</v>
      </c>
      <c r="I52" s="67"/>
      <c r="J52" s="68"/>
      <c r="K52" s="66">
        <f>700</f>
        <v>700</v>
      </c>
      <c r="L52" s="67"/>
      <c r="M52" s="68"/>
      <c r="N52" s="66">
        <f>700+427.5+427.5</f>
        <v>1555</v>
      </c>
      <c r="O52" s="67"/>
      <c r="P52" s="68"/>
      <c r="Q52" s="66">
        <f>700</f>
        <v>700</v>
      </c>
      <c r="R52" s="67"/>
      <c r="S52" s="68"/>
      <c r="T52" s="66">
        <f>700</f>
        <v>700</v>
      </c>
      <c r="U52" s="67"/>
      <c r="V52" s="68"/>
      <c r="W52" s="61">
        <f t="shared" ref="W52:W61" si="12">0+E52+H52+K52+N52+Q52+T52</f>
        <v>5055</v>
      </c>
      <c r="X52" s="62"/>
      <c r="Y52" s="63"/>
      <c r="Z52" s="43">
        <v>0</v>
      </c>
      <c r="AA52" s="104">
        <f>34667.08+W52</f>
        <v>39722.080000000002</v>
      </c>
      <c r="AB52" s="104"/>
    </row>
    <row r="53" spans="1:28" x14ac:dyDescent="0.25">
      <c r="A53" s="55" t="s">
        <v>105</v>
      </c>
      <c r="B53" s="126">
        <f>315737.21+58116.7</f>
        <v>373853.91000000003</v>
      </c>
      <c r="C53" s="127"/>
      <c r="D53" s="128"/>
      <c r="E53" s="66">
        <f>3910.87</f>
        <v>3910.87</v>
      </c>
      <c r="F53" s="67"/>
      <c r="G53" s="68"/>
      <c r="H53" s="66">
        <f>3908.75</f>
        <v>3908.75</v>
      </c>
      <c r="I53" s="67"/>
      <c r="J53" s="68"/>
      <c r="K53" s="66">
        <f>3908.22</f>
        <v>3908.22</v>
      </c>
      <c r="L53" s="67"/>
      <c r="M53" s="68"/>
      <c r="N53" s="66">
        <f>3907.69</f>
        <v>3907.69</v>
      </c>
      <c r="O53" s="67"/>
      <c r="P53" s="68"/>
      <c r="Q53" s="66">
        <f>3903.45</f>
        <v>3903.45</v>
      </c>
      <c r="R53" s="67"/>
      <c r="S53" s="68"/>
      <c r="T53" s="66">
        <f>3905.04</f>
        <v>3905.04</v>
      </c>
      <c r="U53" s="67"/>
      <c r="V53" s="68"/>
      <c r="W53" s="61">
        <f t="shared" si="12"/>
        <v>23444.02</v>
      </c>
      <c r="X53" s="62"/>
      <c r="Y53" s="63"/>
      <c r="Z53" s="43">
        <v>0</v>
      </c>
      <c r="AA53" s="102">
        <f>373853.91+W53</f>
        <v>397297.93</v>
      </c>
      <c r="AB53" s="103"/>
    </row>
    <row r="54" spans="1:28" x14ac:dyDescent="0.25">
      <c r="A54" s="13" t="s">
        <v>40</v>
      </c>
      <c r="B54" s="126">
        <f>28870.32</f>
        <v>28870.32</v>
      </c>
      <c r="C54" s="127"/>
      <c r="D54" s="128"/>
      <c r="E54" s="66">
        <f>373.16</f>
        <v>373.16</v>
      </c>
      <c r="F54" s="67"/>
      <c r="G54" s="68"/>
      <c r="H54" s="66">
        <f>373.16</f>
        <v>373.16</v>
      </c>
      <c r="I54" s="67"/>
      <c r="J54" s="68"/>
      <c r="K54" s="66">
        <f>373.16</f>
        <v>373.16</v>
      </c>
      <c r="L54" s="67"/>
      <c r="M54" s="68"/>
      <c r="N54" s="66">
        <f>373.16</f>
        <v>373.16</v>
      </c>
      <c r="O54" s="67"/>
      <c r="P54" s="68"/>
      <c r="Q54" s="66">
        <f>373.16</f>
        <v>373.16</v>
      </c>
      <c r="R54" s="67"/>
      <c r="S54" s="68"/>
      <c r="T54" s="66">
        <f>373.16</f>
        <v>373.16</v>
      </c>
      <c r="U54" s="67"/>
      <c r="V54" s="68"/>
      <c r="W54" s="61">
        <f t="shared" si="12"/>
        <v>2238.96</v>
      </c>
      <c r="X54" s="62"/>
      <c r="Y54" s="63"/>
      <c r="Z54" s="43">
        <v>1.3107658730451326E-2</v>
      </c>
      <c r="AA54" s="102">
        <f>28870.32+W54</f>
        <v>31109.279999999999</v>
      </c>
      <c r="AB54" s="103"/>
    </row>
    <row r="55" spans="1:28" x14ac:dyDescent="0.25">
      <c r="A55" s="13" t="s">
        <v>41</v>
      </c>
      <c r="B55" s="126">
        <f>9319.68</f>
        <v>9319.68</v>
      </c>
      <c r="C55" s="127"/>
      <c r="D55" s="128"/>
      <c r="E55" s="66">
        <f>0</f>
        <v>0</v>
      </c>
      <c r="F55" s="67"/>
      <c r="G55" s="68"/>
      <c r="H55" s="66">
        <f>0</f>
        <v>0</v>
      </c>
      <c r="I55" s="67"/>
      <c r="J55" s="68"/>
      <c r="K55" s="66">
        <f>0</f>
        <v>0</v>
      </c>
      <c r="L55" s="67"/>
      <c r="M55" s="68"/>
      <c r="N55" s="66">
        <f>0</f>
        <v>0</v>
      </c>
      <c r="O55" s="67"/>
      <c r="P55" s="68"/>
      <c r="Q55" s="66">
        <f>0</f>
        <v>0</v>
      </c>
      <c r="R55" s="67"/>
      <c r="S55" s="68"/>
      <c r="T55" s="66">
        <f>0</f>
        <v>0</v>
      </c>
      <c r="U55" s="67"/>
      <c r="V55" s="68"/>
      <c r="W55" s="61">
        <f t="shared" si="12"/>
        <v>0</v>
      </c>
      <c r="X55" s="62"/>
      <c r="Y55" s="63"/>
      <c r="Z55" s="43">
        <v>2.4022474064133667E-3</v>
      </c>
      <c r="AA55" s="102">
        <f>9319.68+W55</f>
        <v>9319.68</v>
      </c>
      <c r="AB55" s="103"/>
    </row>
    <row r="56" spans="1:28" x14ac:dyDescent="0.25">
      <c r="A56" s="13" t="s">
        <v>42</v>
      </c>
      <c r="B56" s="126">
        <f>2116.84</f>
        <v>2116.84</v>
      </c>
      <c r="C56" s="127"/>
      <c r="D56" s="128"/>
      <c r="E56" s="66">
        <f>43.17</f>
        <v>43.17</v>
      </c>
      <c r="F56" s="67"/>
      <c r="G56" s="68"/>
      <c r="H56" s="66">
        <f>43.17</f>
        <v>43.17</v>
      </c>
      <c r="I56" s="67"/>
      <c r="J56" s="68"/>
      <c r="K56" s="66">
        <f>43.17</f>
        <v>43.17</v>
      </c>
      <c r="L56" s="67"/>
      <c r="M56" s="68"/>
      <c r="N56" s="66">
        <f>43.17</f>
        <v>43.17</v>
      </c>
      <c r="O56" s="67"/>
      <c r="P56" s="68"/>
      <c r="Q56" s="66">
        <f>43.17</f>
        <v>43.17</v>
      </c>
      <c r="R56" s="67"/>
      <c r="S56" s="68"/>
      <c r="T56" s="66">
        <f>43.17</f>
        <v>43.17</v>
      </c>
      <c r="U56" s="67"/>
      <c r="V56" s="68"/>
      <c r="W56" s="61">
        <f t="shared" si="12"/>
        <v>259.02000000000004</v>
      </c>
      <c r="X56" s="62"/>
      <c r="Y56" s="63"/>
      <c r="Z56" s="43">
        <v>1.437809221149805E-3</v>
      </c>
      <c r="AA56" s="102">
        <f>2116.84+W56</f>
        <v>2375.86</v>
      </c>
      <c r="AB56" s="103"/>
    </row>
    <row r="57" spans="1:28" x14ac:dyDescent="0.25">
      <c r="A57" s="13" t="s">
        <v>43</v>
      </c>
      <c r="B57" s="126">
        <v>27432.46</v>
      </c>
      <c r="C57" s="127"/>
      <c r="D57" s="128"/>
      <c r="E57" s="66">
        <f>0</f>
        <v>0</v>
      </c>
      <c r="F57" s="67"/>
      <c r="G57" s="68"/>
      <c r="H57" s="66">
        <f>0</f>
        <v>0</v>
      </c>
      <c r="I57" s="67"/>
      <c r="J57" s="68"/>
      <c r="K57" s="66">
        <f>2438</f>
        <v>2438</v>
      </c>
      <c r="L57" s="67"/>
      <c r="M57" s="68"/>
      <c r="N57" s="66">
        <f>0</f>
        <v>0</v>
      </c>
      <c r="O57" s="67"/>
      <c r="P57" s="68"/>
      <c r="Q57" s="66">
        <f>2438</f>
        <v>2438</v>
      </c>
      <c r="R57" s="67"/>
      <c r="S57" s="68"/>
      <c r="T57" s="66">
        <f>0</f>
        <v>0</v>
      </c>
      <c r="U57" s="67"/>
      <c r="V57" s="68"/>
      <c r="W57" s="61">
        <f t="shared" si="12"/>
        <v>4876</v>
      </c>
      <c r="X57" s="62"/>
      <c r="Y57" s="63"/>
      <c r="Z57" s="43">
        <v>0</v>
      </c>
      <c r="AA57" s="102">
        <f>27432.46+W57</f>
        <v>32308.46</v>
      </c>
      <c r="AB57" s="103"/>
    </row>
    <row r="58" spans="1:28" x14ac:dyDescent="0.25">
      <c r="A58" s="13" t="s">
        <v>97</v>
      </c>
      <c r="B58" s="126">
        <f>18941.84</f>
        <v>18941.84</v>
      </c>
      <c r="C58" s="127"/>
      <c r="D58" s="128"/>
      <c r="E58" s="66">
        <v>0</v>
      </c>
      <c r="F58" s="67"/>
      <c r="G58" s="68"/>
      <c r="H58" s="66">
        <f>0</f>
        <v>0</v>
      </c>
      <c r="I58" s="67"/>
      <c r="J58" s="68"/>
      <c r="K58" s="66">
        <f>0</f>
        <v>0</v>
      </c>
      <c r="L58" s="67"/>
      <c r="M58" s="68"/>
      <c r="N58" s="66">
        <f>0</f>
        <v>0</v>
      </c>
      <c r="O58" s="67"/>
      <c r="P58" s="68"/>
      <c r="Q58" s="66">
        <f>0</f>
        <v>0</v>
      </c>
      <c r="R58" s="67"/>
      <c r="S58" s="68"/>
      <c r="T58" s="66">
        <f>0</f>
        <v>0</v>
      </c>
      <c r="U58" s="67"/>
      <c r="V58" s="68"/>
      <c r="W58" s="61">
        <f t="shared" si="12"/>
        <v>0</v>
      </c>
      <c r="X58" s="62"/>
      <c r="Y58" s="63"/>
      <c r="Z58" s="43">
        <v>0</v>
      </c>
      <c r="AA58" s="102">
        <f>18941.84+W58</f>
        <v>18941.84</v>
      </c>
      <c r="AB58" s="103"/>
    </row>
    <row r="59" spans="1:28" x14ac:dyDescent="0.25">
      <c r="A59" s="13" t="s">
        <v>44</v>
      </c>
      <c r="B59" s="126">
        <v>5618.11</v>
      </c>
      <c r="C59" s="127"/>
      <c r="D59" s="128"/>
      <c r="E59" s="66">
        <f>0</f>
        <v>0</v>
      </c>
      <c r="F59" s="67"/>
      <c r="G59" s="68"/>
      <c r="H59" s="66">
        <f>0</f>
        <v>0</v>
      </c>
      <c r="I59" s="67"/>
      <c r="J59" s="68"/>
      <c r="K59" s="66">
        <f>0</f>
        <v>0</v>
      </c>
      <c r="L59" s="67"/>
      <c r="M59" s="68"/>
      <c r="N59" s="66">
        <f>0</f>
        <v>0</v>
      </c>
      <c r="O59" s="67"/>
      <c r="P59" s="68"/>
      <c r="Q59" s="66">
        <f>0</f>
        <v>0</v>
      </c>
      <c r="R59" s="67"/>
      <c r="S59" s="68"/>
      <c r="T59" s="66">
        <f>0</f>
        <v>0</v>
      </c>
      <c r="U59" s="67"/>
      <c r="V59" s="68"/>
      <c r="W59" s="61">
        <f t="shared" si="12"/>
        <v>0</v>
      </c>
      <c r="X59" s="62"/>
      <c r="Y59" s="63"/>
      <c r="Z59" s="43">
        <v>0</v>
      </c>
      <c r="AA59" s="102">
        <f>5618.11+W59</f>
        <v>5618.11</v>
      </c>
      <c r="AB59" s="103"/>
    </row>
    <row r="60" spans="1:28" x14ac:dyDescent="0.25">
      <c r="A60" s="13" t="s">
        <v>45</v>
      </c>
      <c r="B60" s="126">
        <f>412</f>
        <v>412</v>
      </c>
      <c r="C60" s="127"/>
      <c r="D60" s="128"/>
      <c r="E60" s="66">
        <f>0</f>
        <v>0</v>
      </c>
      <c r="F60" s="67"/>
      <c r="G60" s="68"/>
      <c r="H60" s="66">
        <f>0</f>
        <v>0</v>
      </c>
      <c r="I60" s="67"/>
      <c r="J60" s="68"/>
      <c r="K60" s="66">
        <f>0</f>
        <v>0</v>
      </c>
      <c r="L60" s="67"/>
      <c r="M60" s="68"/>
      <c r="N60" s="66">
        <f>0</f>
        <v>0</v>
      </c>
      <c r="O60" s="67"/>
      <c r="P60" s="68"/>
      <c r="Q60" s="66">
        <f>0</f>
        <v>0</v>
      </c>
      <c r="R60" s="67"/>
      <c r="S60" s="68"/>
      <c r="T60" s="66">
        <f>0</f>
        <v>0</v>
      </c>
      <c r="U60" s="67"/>
      <c r="V60" s="68"/>
      <c r="W60" s="61">
        <f t="shared" si="12"/>
        <v>0</v>
      </c>
      <c r="X60" s="62"/>
      <c r="Y60" s="63"/>
      <c r="Z60" s="43">
        <v>0</v>
      </c>
      <c r="AA60" s="102">
        <f>412+W60</f>
        <v>412</v>
      </c>
      <c r="AB60" s="103"/>
    </row>
    <row r="61" spans="1:28" x14ac:dyDescent="0.25">
      <c r="A61" s="13" t="s">
        <v>95</v>
      </c>
      <c r="B61" s="126">
        <f>3271.6</f>
        <v>3271.6</v>
      </c>
      <c r="C61" s="127"/>
      <c r="D61" s="128"/>
      <c r="E61" s="66">
        <f>0</f>
        <v>0</v>
      </c>
      <c r="F61" s="67"/>
      <c r="G61" s="68"/>
      <c r="H61" s="66">
        <f>0</f>
        <v>0</v>
      </c>
      <c r="I61" s="67"/>
      <c r="J61" s="68"/>
      <c r="K61" s="66">
        <f>0</f>
        <v>0</v>
      </c>
      <c r="L61" s="67"/>
      <c r="M61" s="68"/>
      <c r="N61" s="66">
        <f>0</f>
        <v>0</v>
      </c>
      <c r="O61" s="67"/>
      <c r="P61" s="68"/>
      <c r="Q61" s="66">
        <f>0</f>
        <v>0</v>
      </c>
      <c r="R61" s="67"/>
      <c r="S61" s="68"/>
      <c r="T61" s="66">
        <f>0</f>
        <v>0</v>
      </c>
      <c r="U61" s="67"/>
      <c r="V61" s="68"/>
      <c r="W61" s="61">
        <f t="shared" si="12"/>
        <v>0</v>
      </c>
      <c r="X61" s="62"/>
      <c r="Y61" s="63"/>
      <c r="Z61" s="43">
        <v>0</v>
      </c>
      <c r="AA61" s="102">
        <f>3271.6+W61</f>
        <v>3271.6</v>
      </c>
      <c r="AB61" s="103"/>
    </row>
    <row r="62" spans="1:28" x14ac:dyDescent="0.25">
      <c r="A62" s="12" t="s">
        <v>46</v>
      </c>
      <c r="B62" s="76">
        <f>SUM(B63:D66)</f>
        <v>726618.91000000015</v>
      </c>
      <c r="C62" s="77"/>
      <c r="D62" s="78"/>
      <c r="E62" s="76">
        <f>SUM(E63:G66)</f>
        <v>314.49</v>
      </c>
      <c r="F62" s="77"/>
      <c r="G62" s="78"/>
      <c r="H62" s="76">
        <f>SUM(H63:J66)</f>
        <v>659.22</v>
      </c>
      <c r="I62" s="77"/>
      <c r="J62" s="78"/>
      <c r="K62" s="76">
        <f>SUM(K63:M66)</f>
        <v>405.21000000000004</v>
      </c>
      <c r="L62" s="77"/>
      <c r="M62" s="78"/>
      <c r="N62" s="76">
        <f>SUM(N63:P66)</f>
        <v>437.62</v>
      </c>
      <c r="O62" s="77"/>
      <c r="P62" s="78"/>
      <c r="Q62" s="76">
        <f>SUM(Q63:S66)</f>
        <v>38370.42</v>
      </c>
      <c r="R62" s="77"/>
      <c r="S62" s="78"/>
      <c r="T62" s="76">
        <f>SUM(T63:V66)</f>
        <v>383.03999999999996</v>
      </c>
      <c r="U62" s="77"/>
      <c r="V62" s="78"/>
      <c r="W62" s="76">
        <f>SUM(W63:Y66)</f>
        <v>40569.999999999993</v>
      </c>
      <c r="X62" s="77"/>
      <c r="Y62" s="78"/>
      <c r="Z62" s="48">
        <v>1.6136643489673582E-2</v>
      </c>
      <c r="AA62" s="106">
        <f>SUM(AA63:AB66)</f>
        <v>767188.91</v>
      </c>
      <c r="AB62" s="107"/>
    </row>
    <row r="63" spans="1:28" x14ac:dyDescent="0.25">
      <c r="A63" s="13" t="s">
        <v>47</v>
      </c>
      <c r="B63" s="126">
        <f>466396.67</f>
        <v>466396.67</v>
      </c>
      <c r="C63" s="127"/>
      <c r="D63" s="128"/>
      <c r="E63" s="66">
        <f>75+8.5+8.5</f>
        <v>92</v>
      </c>
      <c r="F63" s="67"/>
      <c r="G63" s="68"/>
      <c r="H63" s="66">
        <f>8.5+8.5+75</f>
        <v>92</v>
      </c>
      <c r="I63" s="67"/>
      <c r="J63" s="68"/>
      <c r="K63" s="66">
        <f>8.5+8.5+75+8.5</f>
        <v>100.5</v>
      </c>
      <c r="L63" s="67"/>
      <c r="M63" s="68"/>
      <c r="N63" s="66">
        <f>8.5+8.5+8.5</f>
        <v>25.5</v>
      </c>
      <c r="O63" s="67"/>
      <c r="P63" s="68"/>
      <c r="Q63" s="66">
        <f>8.5+36.5+1.33+8.5</f>
        <v>54.83</v>
      </c>
      <c r="R63" s="67"/>
      <c r="S63" s="68"/>
      <c r="T63" s="66">
        <f>8.5+4.26+2.8+8.5+8.5</f>
        <v>32.56</v>
      </c>
      <c r="U63" s="67"/>
      <c r="V63" s="68"/>
      <c r="W63" s="61">
        <f>0+E63+H63+K63+N63+Q63+T63</f>
        <v>397.39</v>
      </c>
      <c r="X63" s="62"/>
      <c r="Y63" s="63"/>
      <c r="Z63" s="43">
        <v>4.8808093022569927E-3</v>
      </c>
      <c r="AA63" s="104">
        <f>466396.67+W63</f>
        <v>466794.06</v>
      </c>
      <c r="AB63" s="104"/>
    </row>
    <row r="64" spans="1:28" x14ac:dyDescent="0.25">
      <c r="A64" s="13" t="s">
        <v>48</v>
      </c>
      <c r="B64" s="126">
        <f>89017.87</f>
        <v>89017.87</v>
      </c>
      <c r="C64" s="127"/>
      <c r="D64" s="128"/>
      <c r="E64" s="66">
        <f>123.61+9.88+74.17+14.83</f>
        <v>222.49000000000004</v>
      </c>
      <c r="F64" s="67"/>
      <c r="G64" s="68"/>
      <c r="H64" s="66">
        <f>107.44+8.59+64.46+12.89</f>
        <v>193.38</v>
      </c>
      <c r="I64" s="67"/>
      <c r="J64" s="68"/>
      <c r="K64" s="66">
        <f>115.11+9.2+69.07+13.81</f>
        <v>207.19</v>
      </c>
      <c r="L64" s="67"/>
      <c r="M64" s="68"/>
      <c r="N64" s="66">
        <f>107.44+8.59+64.46+12.89</f>
        <v>193.38</v>
      </c>
      <c r="O64" s="67"/>
      <c r="P64" s="68"/>
      <c r="Q64" s="66">
        <f>107.44+8.59+64.46+12.89</f>
        <v>193.38</v>
      </c>
      <c r="R64" s="67"/>
      <c r="S64" s="68"/>
      <c r="T64" s="66">
        <f>118.61+9.48+71.17+14.23</f>
        <v>213.48999999999998</v>
      </c>
      <c r="U64" s="67"/>
      <c r="V64" s="68"/>
      <c r="W64" s="61">
        <f t="shared" ref="W64:W66" si="13">0+E64+H64+K64+N64+Q64+T64</f>
        <v>1223.31</v>
      </c>
      <c r="X64" s="62"/>
      <c r="Y64" s="63"/>
      <c r="Z64" s="43">
        <v>7.3081262027827141E-3</v>
      </c>
      <c r="AA64" s="102">
        <f>89017.87+W64</f>
        <v>90241.18</v>
      </c>
      <c r="AB64" s="103"/>
    </row>
    <row r="65" spans="1:28" x14ac:dyDescent="0.25">
      <c r="A65" s="13" t="s">
        <v>49</v>
      </c>
      <c r="B65" s="126">
        <f>155393.07</f>
        <v>155393.07</v>
      </c>
      <c r="C65" s="127"/>
      <c r="D65" s="128"/>
      <c r="E65" s="66">
        <f>0</f>
        <v>0</v>
      </c>
      <c r="F65" s="67"/>
      <c r="G65" s="68"/>
      <c r="H65" s="66">
        <f>5.26+12.53+356.05</f>
        <v>373.84000000000003</v>
      </c>
      <c r="I65" s="67"/>
      <c r="J65" s="68"/>
      <c r="K65" s="66">
        <f>67.81+29.71</f>
        <v>97.52000000000001</v>
      </c>
      <c r="L65" s="67"/>
      <c r="M65" s="68"/>
      <c r="N65" s="66">
        <f>218.74</f>
        <v>218.74</v>
      </c>
      <c r="O65" s="67"/>
      <c r="P65" s="68"/>
      <c r="Q65" s="66">
        <f>41.57+10.98+26142.51+11927.15</f>
        <v>38122.21</v>
      </c>
      <c r="R65" s="67"/>
      <c r="S65" s="68"/>
      <c r="T65" s="66">
        <f>82.5+54.49</f>
        <v>136.99</v>
      </c>
      <c r="U65" s="67"/>
      <c r="V65" s="68"/>
      <c r="W65" s="61">
        <f t="shared" si="13"/>
        <v>38949.299999999996</v>
      </c>
      <c r="X65" s="62"/>
      <c r="Y65" s="63"/>
      <c r="Z65" s="43">
        <v>3.9477079846338753E-3</v>
      </c>
      <c r="AA65" s="102">
        <f>155393.07+W65</f>
        <v>194342.37</v>
      </c>
      <c r="AB65" s="103"/>
    </row>
    <row r="66" spans="1:28" x14ac:dyDescent="0.25">
      <c r="A66" s="13" t="s">
        <v>98</v>
      </c>
      <c r="B66" s="126">
        <f>15811.3</f>
        <v>15811.3</v>
      </c>
      <c r="C66" s="127"/>
      <c r="D66" s="128"/>
      <c r="E66" s="66">
        <f>0</f>
        <v>0</v>
      </c>
      <c r="F66" s="67"/>
      <c r="G66" s="68"/>
      <c r="H66" s="66">
        <f>0</f>
        <v>0</v>
      </c>
      <c r="I66" s="67"/>
      <c r="J66" s="68"/>
      <c r="K66" s="66">
        <f>0</f>
        <v>0</v>
      </c>
      <c r="L66" s="67"/>
      <c r="M66" s="68"/>
      <c r="N66" s="66">
        <f>0</f>
        <v>0</v>
      </c>
      <c r="O66" s="67"/>
      <c r="P66" s="68"/>
      <c r="Q66" s="66">
        <f>0</f>
        <v>0</v>
      </c>
      <c r="R66" s="67"/>
      <c r="S66" s="68"/>
      <c r="T66" s="66">
        <f>0</f>
        <v>0</v>
      </c>
      <c r="U66" s="67"/>
      <c r="V66" s="68"/>
      <c r="W66" s="61">
        <f t="shared" si="13"/>
        <v>0</v>
      </c>
      <c r="X66" s="62"/>
      <c r="Y66" s="63"/>
      <c r="Z66" s="43">
        <v>0</v>
      </c>
      <c r="AA66" s="102">
        <f>15811.3+W66</f>
        <v>15811.3</v>
      </c>
      <c r="AB66" s="103"/>
    </row>
    <row r="67" spans="1:28" x14ac:dyDescent="0.25">
      <c r="A67" s="12" t="s">
        <v>50</v>
      </c>
      <c r="B67" s="76">
        <f>SUM(B68:D80)</f>
        <v>1043169.37</v>
      </c>
      <c r="C67" s="77"/>
      <c r="D67" s="78"/>
      <c r="E67" s="76">
        <f>SUM(E68:G80)</f>
        <v>10023.740000000002</v>
      </c>
      <c r="F67" s="77"/>
      <c r="G67" s="78"/>
      <c r="H67" s="76">
        <f t="shared" ref="H67" si="14">SUM(H68:J80)</f>
        <v>14883.12</v>
      </c>
      <c r="I67" s="77"/>
      <c r="J67" s="78"/>
      <c r="K67" s="76">
        <f t="shared" ref="K67" si="15">SUM(K68:M80)</f>
        <v>11579.34</v>
      </c>
      <c r="L67" s="77"/>
      <c r="M67" s="78"/>
      <c r="N67" s="76">
        <f t="shared" ref="N67" si="16">SUM(N68:P80)</f>
        <v>11015.689999999999</v>
      </c>
      <c r="O67" s="77"/>
      <c r="P67" s="78"/>
      <c r="Q67" s="76">
        <f t="shared" ref="Q67" si="17">SUM(Q68:S80)</f>
        <v>11701.06</v>
      </c>
      <c r="R67" s="77"/>
      <c r="S67" s="78"/>
      <c r="T67" s="76">
        <f t="shared" ref="T67" si="18">SUM(T68:V80)</f>
        <v>13171.21</v>
      </c>
      <c r="U67" s="77"/>
      <c r="V67" s="78"/>
      <c r="W67" s="76">
        <f>SUM(W68:Y80)</f>
        <v>72374.16</v>
      </c>
      <c r="X67" s="77"/>
      <c r="Y67" s="78"/>
      <c r="Z67" s="48">
        <v>0.26429182365822906</v>
      </c>
      <c r="AA67" s="105">
        <f>SUM(AA68:AB80)</f>
        <v>1115543.53</v>
      </c>
      <c r="AB67" s="105"/>
    </row>
    <row r="68" spans="1:28" x14ac:dyDescent="0.25">
      <c r="A68" s="16" t="s">
        <v>51</v>
      </c>
      <c r="B68" s="126">
        <f>9958.81</f>
        <v>9958.81</v>
      </c>
      <c r="C68" s="127"/>
      <c r="D68" s="128"/>
      <c r="E68" s="66">
        <f>0</f>
        <v>0</v>
      </c>
      <c r="F68" s="67"/>
      <c r="G68" s="68"/>
      <c r="H68" s="66">
        <f>0</f>
        <v>0</v>
      </c>
      <c r="I68" s="67"/>
      <c r="J68" s="68"/>
      <c r="K68" s="66">
        <f>0</f>
        <v>0</v>
      </c>
      <c r="L68" s="67"/>
      <c r="M68" s="68"/>
      <c r="N68" s="66">
        <f>0</f>
        <v>0</v>
      </c>
      <c r="O68" s="67"/>
      <c r="P68" s="68"/>
      <c r="Q68" s="66">
        <f>0</f>
        <v>0</v>
      </c>
      <c r="R68" s="67"/>
      <c r="S68" s="68"/>
      <c r="T68" s="66">
        <f>0</f>
        <v>0</v>
      </c>
      <c r="U68" s="67"/>
      <c r="V68" s="68"/>
      <c r="W68" s="61">
        <f>0+E68+H68+K68+N68+Q68+T68</f>
        <v>0</v>
      </c>
      <c r="X68" s="62"/>
      <c r="Y68" s="63"/>
      <c r="Z68" s="43">
        <v>0</v>
      </c>
      <c r="AA68" s="104">
        <f>9958.81+W68</f>
        <v>9958.81</v>
      </c>
      <c r="AB68" s="104"/>
    </row>
    <row r="69" spans="1:28" x14ac:dyDescent="0.25">
      <c r="A69" s="16" t="s">
        <v>106</v>
      </c>
      <c r="B69" s="126">
        <f>5767.4+16416.05</f>
        <v>22183.449999999997</v>
      </c>
      <c r="C69" s="127"/>
      <c r="D69" s="128"/>
      <c r="E69" s="66">
        <f>0</f>
        <v>0</v>
      </c>
      <c r="F69" s="67"/>
      <c r="G69" s="68"/>
      <c r="H69" s="66">
        <f>0</f>
        <v>0</v>
      </c>
      <c r="I69" s="67"/>
      <c r="J69" s="68"/>
      <c r="K69" s="66">
        <f>0</f>
        <v>0</v>
      </c>
      <c r="L69" s="67"/>
      <c r="M69" s="68"/>
      <c r="N69" s="66">
        <f>0</f>
        <v>0</v>
      </c>
      <c r="O69" s="67"/>
      <c r="P69" s="68"/>
      <c r="Q69" s="66">
        <f>0</f>
        <v>0</v>
      </c>
      <c r="R69" s="67"/>
      <c r="S69" s="68"/>
      <c r="T69" s="66">
        <f>0</f>
        <v>0</v>
      </c>
      <c r="U69" s="67"/>
      <c r="V69" s="68"/>
      <c r="W69" s="61">
        <f t="shared" ref="W69:W80" si="19">0+E69+H69+K69+N69+Q69+T69</f>
        <v>0</v>
      </c>
      <c r="X69" s="62"/>
      <c r="Y69" s="63"/>
      <c r="Z69" s="43">
        <v>0</v>
      </c>
      <c r="AA69" s="104">
        <f>22183.45+W69</f>
        <v>22183.45</v>
      </c>
      <c r="AB69" s="104"/>
    </row>
    <row r="70" spans="1:28" x14ac:dyDescent="0.25">
      <c r="A70" s="16" t="s">
        <v>93</v>
      </c>
      <c r="B70" s="126">
        <f>18917.64</f>
        <v>18917.64</v>
      </c>
      <c r="C70" s="127"/>
      <c r="D70" s="128"/>
      <c r="E70" s="66">
        <f>0</f>
        <v>0</v>
      </c>
      <c r="F70" s="67"/>
      <c r="G70" s="68"/>
      <c r="H70" s="66">
        <f>2779.58</f>
        <v>2779.58</v>
      </c>
      <c r="I70" s="67"/>
      <c r="J70" s="68"/>
      <c r="K70" s="66">
        <f>966.91</f>
        <v>966.91</v>
      </c>
      <c r="L70" s="67"/>
      <c r="M70" s="68"/>
      <c r="N70" s="66">
        <f>0</f>
        <v>0</v>
      </c>
      <c r="O70" s="67"/>
      <c r="P70" s="68"/>
      <c r="Q70" s="66">
        <f>0</f>
        <v>0</v>
      </c>
      <c r="R70" s="67"/>
      <c r="S70" s="68"/>
      <c r="T70" s="66">
        <f>0</f>
        <v>0</v>
      </c>
      <c r="U70" s="67"/>
      <c r="V70" s="68"/>
      <c r="W70" s="61">
        <f t="shared" si="19"/>
        <v>3746.49</v>
      </c>
      <c r="X70" s="62"/>
      <c r="Y70" s="63"/>
      <c r="Z70" s="43">
        <v>0</v>
      </c>
      <c r="AA70" s="104">
        <f>18917.64+W70</f>
        <v>22664.129999999997</v>
      </c>
      <c r="AB70" s="104"/>
    </row>
    <row r="71" spans="1:28" x14ac:dyDescent="0.25">
      <c r="A71" s="13" t="s">
        <v>53</v>
      </c>
      <c r="B71" s="126">
        <f>9681.67</f>
        <v>9681.67</v>
      </c>
      <c r="C71" s="127"/>
      <c r="D71" s="128"/>
      <c r="E71" s="66">
        <f>0</f>
        <v>0</v>
      </c>
      <c r="F71" s="67"/>
      <c r="G71" s="68"/>
      <c r="H71" s="66">
        <f>0</f>
        <v>0</v>
      </c>
      <c r="I71" s="67"/>
      <c r="J71" s="68"/>
      <c r="K71" s="66">
        <f>0</f>
        <v>0</v>
      </c>
      <c r="L71" s="67"/>
      <c r="M71" s="68"/>
      <c r="N71" s="66">
        <f>0</f>
        <v>0</v>
      </c>
      <c r="O71" s="67"/>
      <c r="P71" s="68"/>
      <c r="Q71" s="66">
        <f>210</f>
        <v>210</v>
      </c>
      <c r="R71" s="67"/>
      <c r="S71" s="68"/>
      <c r="T71" s="66">
        <f>0</f>
        <v>0</v>
      </c>
      <c r="U71" s="67"/>
      <c r="V71" s="68"/>
      <c r="W71" s="61">
        <f t="shared" si="19"/>
        <v>210</v>
      </c>
      <c r="X71" s="62"/>
      <c r="Y71" s="63"/>
      <c r="Z71" s="43">
        <v>0</v>
      </c>
      <c r="AA71" s="104">
        <f>9681.67+W71</f>
        <v>9891.67</v>
      </c>
      <c r="AB71" s="104"/>
    </row>
    <row r="72" spans="1:28" x14ac:dyDescent="0.25">
      <c r="A72" s="16" t="s">
        <v>54</v>
      </c>
      <c r="B72" s="126">
        <f>177010.78</f>
        <v>177010.78</v>
      </c>
      <c r="C72" s="127"/>
      <c r="D72" s="128"/>
      <c r="E72" s="66">
        <f>2047.05</f>
        <v>2047.05</v>
      </c>
      <c r="F72" s="67"/>
      <c r="G72" s="68"/>
      <c r="H72" s="66">
        <f>2189.84</f>
        <v>2189.84</v>
      </c>
      <c r="I72" s="67"/>
      <c r="J72" s="68"/>
      <c r="K72" s="66">
        <f>2089.84</f>
        <v>2089.84</v>
      </c>
      <c r="L72" s="67"/>
      <c r="M72" s="68"/>
      <c r="N72" s="66">
        <f>2089.84</f>
        <v>2089.84</v>
      </c>
      <c r="O72" s="67"/>
      <c r="P72" s="68"/>
      <c r="Q72" s="66">
        <f>2089.04</f>
        <v>2089.04</v>
      </c>
      <c r="R72" s="67"/>
      <c r="S72" s="68"/>
      <c r="T72" s="66">
        <f>2092.2</f>
        <v>2092.1999999999998</v>
      </c>
      <c r="U72" s="67"/>
      <c r="V72" s="68"/>
      <c r="W72" s="61">
        <f t="shared" si="19"/>
        <v>12597.810000000001</v>
      </c>
      <c r="X72" s="62"/>
      <c r="Y72" s="63"/>
      <c r="Z72" s="43">
        <v>6.7828834342257588E-2</v>
      </c>
      <c r="AA72" s="104">
        <f>177010.78+W72</f>
        <v>189608.59</v>
      </c>
      <c r="AB72" s="104"/>
    </row>
    <row r="73" spans="1:28" x14ac:dyDescent="0.25">
      <c r="A73" s="16" t="s">
        <v>55</v>
      </c>
      <c r="B73" s="126">
        <f>33133.62</f>
        <v>33133.620000000003</v>
      </c>
      <c r="C73" s="127"/>
      <c r="D73" s="128"/>
      <c r="E73" s="66">
        <f>139.32+107.63+149.56</f>
        <v>396.51</v>
      </c>
      <c r="F73" s="67"/>
      <c r="G73" s="68"/>
      <c r="H73" s="66">
        <f>389.09</f>
        <v>389.09</v>
      </c>
      <c r="I73" s="67"/>
      <c r="J73" s="68"/>
      <c r="K73" s="66">
        <f>137.49+107.63+209.68</f>
        <v>454.8</v>
      </c>
      <c r="L73" s="67"/>
      <c r="M73" s="68"/>
      <c r="N73" s="66">
        <f>139.31+115.13+176.12</f>
        <v>430.56</v>
      </c>
      <c r="O73" s="67"/>
      <c r="P73" s="68"/>
      <c r="Q73" s="66">
        <f>150.14+115.13+124.44</f>
        <v>389.71</v>
      </c>
      <c r="R73" s="67"/>
      <c r="S73" s="68"/>
      <c r="T73" s="66">
        <f>153.15+115.13+141.93</f>
        <v>410.21</v>
      </c>
      <c r="U73" s="67"/>
      <c r="V73" s="68"/>
      <c r="W73" s="61">
        <f t="shared" si="19"/>
        <v>2470.8799999999997</v>
      </c>
      <c r="X73" s="62"/>
      <c r="Y73" s="63"/>
      <c r="Z73" s="43">
        <v>1.0950944898726618E-2</v>
      </c>
      <c r="AA73" s="104">
        <f>33133.62+W73</f>
        <v>35604.5</v>
      </c>
      <c r="AB73" s="104"/>
    </row>
    <row r="74" spans="1:28" x14ac:dyDescent="0.25">
      <c r="A74" s="16" t="s">
        <v>56</v>
      </c>
      <c r="B74" s="126">
        <f>10684.03</f>
        <v>10684.03</v>
      </c>
      <c r="C74" s="127"/>
      <c r="D74" s="128"/>
      <c r="E74" s="66">
        <f>20+12.99+12.99+20+20</f>
        <v>85.98</v>
      </c>
      <c r="F74" s="67"/>
      <c r="G74" s="68"/>
      <c r="H74" s="66">
        <f>10.95+20+20</f>
        <v>50.95</v>
      </c>
      <c r="I74" s="67"/>
      <c r="J74" s="68"/>
      <c r="K74" s="66">
        <f>9.5+20+20+17.99</f>
        <v>67.489999999999995</v>
      </c>
      <c r="L74" s="67"/>
      <c r="M74" s="68"/>
      <c r="N74" s="66">
        <f>20+20+20+35.98</f>
        <v>95.97999999999999</v>
      </c>
      <c r="O74" s="67"/>
      <c r="P74" s="68"/>
      <c r="Q74" s="66">
        <f>20+9.5+20</f>
        <v>49.5</v>
      </c>
      <c r="R74" s="67"/>
      <c r="S74" s="68"/>
      <c r="T74" s="66">
        <f>20+8.99+13.99+20</f>
        <v>62.980000000000004</v>
      </c>
      <c r="U74" s="67"/>
      <c r="V74" s="68"/>
      <c r="W74" s="61">
        <f t="shared" si="19"/>
        <v>412.88</v>
      </c>
      <c r="X74" s="62"/>
      <c r="Y74" s="63"/>
      <c r="Z74" s="43">
        <v>0</v>
      </c>
      <c r="AA74" s="104">
        <f>10684.03+W74</f>
        <v>11096.91</v>
      </c>
      <c r="AB74" s="104"/>
    </row>
    <row r="75" spans="1:28" x14ac:dyDescent="0.25">
      <c r="A75" s="16" t="s">
        <v>57</v>
      </c>
      <c r="B75" s="126">
        <f>5133.78</f>
        <v>5133.78</v>
      </c>
      <c r="C75" s="127"/>
      <c r="D75" s="128"/>
      <c r="E75" s="66">
        <f>80+17.98</f>
        <v>97.98</v>
      </c>
      <c r="F75" s="67"/>
      <c r="G75" s="68"/>
      <c r="H75" s="66">
        <f>14.97</f>
        <v>14.97</v>
      </c>
      <c r="I75" s="67"/>
      <c r="J75" s="68"/>
      <c r="K75" s="66">
        <f>70+16.99+16.99</f>
        <v>103.97999999999999</v>
      </c>
      <c r="L75" s="67"/>
      <c r="M75" s="68"/>
      <c r="N75" s="66">
        <f>0</f>
        <v>0</v>
      </c>
      <c r="O75" s="67"/>
      <c r="P75" s="68"/>
      <c r="Q75" s="66">
        <f>0</f>
        <v>0</v>
      </c>
      <c r="R75" s="67"/>
      <c r="S75" s="68"/>
      <c r="T75" s="66">
        <f>21.99+43.99+27.99</f>
        <v>93.97</v>
      </c>
      <c r="U75" s="67"/>
      <c r="V75" s="68"/>
      <c r="W75" s="61">
        <f t="shared" si="19"/>
        <v>310.89999999999998</v>
      </c>
      <c r="X75" s="62"/>
      <c r="Y75" s="63"/>
      <c r="Z75" s="43">
        <v>0</v>
      </c>
      <c r="AA75" s="104">
        <f>5133.78+W75</f>
        <v>5444.6799999999994</v>
      </c>
      <c r="AB75" s="104"/>
    </row>
    <row r="76" spans="1:28" x14ac:dyDescent="0.25">
      <c r="A76" s="16" t="s">
        <v>107</v>
      </c>
      <c r="B76" s="126">
        <f>2686.55</f>
        <v>2686.55</v>
      </c>
      <c r="C76" s="127"/>
      <c r="D76" s="128"/>
      <c r="E76" s="66">
        <f>0</f>
        <v>0</v>
      </c>
      <c r="F76" s="67"/>
      <c r="G76" s="68"/>
      <c r="H76" s="66">
        <f>0</f>
        <v>0</v>
      </c>
      <c r="I76" s="67"/>
      <c r="J76" s="68"/>
      <c r="K76" s="66">
        <f>0</f>
        <v>0</v>
      </c>
      <c r="L76" s="67"/>
      <c r="M76" s="68"/>
      <c r="N76" s="66">
        <f>0</f>
        <v>0</v>
      </c>
      <c r="O76" s="67"/>
      <c r="P76" s="68"/>
      <c r="Q76" s="66">
        <f>173.9+180</f>
        <v>353.9</v>
      </c>
      <c r="R76" s="67"/>
      <c r="S76" s="68"/>
      <c r="T76" s="66">
        <f>1330</f>
        <v>1330</v>
      </c>
      <c r="U76" s="67"/>
      <c r="V76" s="68"/>
      <c r="W76" s="61">
        <f t="shared" si="19"/>
        <v>1683.9</v>
      </c>
      <c r="X76" s="62"/>
      <c r="Y76" s="63"/>
      <c r="Z76" s="43">
        <v>0</v>
      </c>
      <c r="AA76" s="104">
        <f>2686.55+W76</f>
        <v>4370.4500000000007</v>
      </c>
      <c r="AB76" s="104"/>
    </row>
    <row r="77" spans="1:28" x14ac:dyDescent="0.25">
      <c r="A77" s="16" t="s">
        <v>59</v>
      </c>
      <c r="B77" s="126">
        <v>435851.76</v>
      </c>
      <c r="C77" s="127"/>
      <c r="D77" s="128"/>
      <c r="E77" s="66">
        <f>1942.75+1800</f>
        <v>3742.75</v>
      </c>
      <c r="F77" s="67"/>
      <c r="G77" s="68"/>
      <c r="H77" s="66">
        <f>6432.63</f>
        <v>6432.63</v>
      </c>
      <c r="I77" s="67"/>
      <c r="J77" s="68"/>
      <c r="K77" s="66">
        <f>2819.59+1800</f>
        <v>4619.59</v>
      </c>
      <c r="L77" s="67"/>
      <c r="M77" s="68"/>
      <c r="N77" s="66">
        <f>1800+3506.39</f>
        <v>5306.3899999999994</v>
      </c>
      <c r="O77" s="67"/>
      <c r="P77" s="68"/>
      <c r="Q77" s="66">
        <f>3535.07+1800</f>
        <v>5335.07</v>
      </c>
      <c r="R77" s="67"/>
      <c r="S77" s="68"/>
      <c r="T77" s="66">
        <f>1800+3805.42</f>
        <v>5605.42</v>
      </c>
      <c r="U77" s="67"/>
      <c r="V77" s="68"/>
      <c r="W77" s="61">
        <f t="shared" si="19"/>
        <v>31041.85</v>
      </c>
      <c r="X77" s="62"/>
      <c r="Y77" s="63"/>
      <c r="Z77" s="43">
        <v>6.9171158284361794E-2</v>
      </c>
      <c r="AA77" s="104">
        <f>435851.76+W77</f>
        <v>466893.61</v>
      </c>
      <c r="AB77" s="104"/>
    </row>
    <row r="78" spans="1:28" x14ac:dyDescent="0.25">
      <c r="A78" s="16" t="s">
        <v>60</v>
      </c>
      <c r="B78" s="126">
        <f>313838.94</f>
        <v>313838.94</v>
      </c>
      <c r="C78" s="127"/>
      <c r="D78" s="128"/>
      <c r="E78" s="66">
        <f>511.07+988.94+49.44+357+49.44+567.47+85.96+511.35+532.8</f>
        <v>3653.4700000000003</v>
      </c>
      <c r="F78" s="67"/>
      <c r="G78" s="68"/>
      <c r="H78" s="66">
        <f>3026.06</f>
        <v>3026.06</v>
      </c>
      <c r="I78" s="67"/>
      <c r="J78" s="68"/>
      <c r="K78" s="66">
        <f>681.8+580.8+454.24+920.94+46.04+178.5+46.04+368.37</f>
        <v>3276.7299999999996</v>
      </c>
      <c r="L78" s="67"/>
      <c r="M78" s="68"/>
      <c r="N78" s="66">
        <f>343.82+411.26+859.55+42.97+41.46+42.97+635+715.89</f>
        <v>3092.9199999999996</v>
      </c>
      <c r="O78" s="67"/>
      <c r="P78" s="68"/>
      <c r="Q78" s="66">
        <f>605+789.77+411.26+859.55+42.97+178.5+42.97+343.82</f>
        <v>3273.8399999999997</v>
      </c>
      <c r="R78" s="67"/>
      <c r="S78" s="68"/>
      <c r="T78" s="66">
        <f>473.84+948.94+47.44+159.42+47.44+379.57+695+824.78</f>
        <v>3576.4300000000003</v>
      </c>
      <c r="U78" s="67"/>
      <c r="V78" s="68"/>
      <c r="W78" s="61">
        <f t="shared" si="19"/>
        <v>19899.45</v>
      </c>
      <c r="X78" s="62"/>
      <c r="Y78" s="63"/>
      <c r="Z78" s="43">
        <v>0.11634088613288307</v>
      </c>
      <c r="AA78" s="104">
        <f>313838.94+W78</f>
        <v>333738.39</v>
      </c>
      <c r="AB78" s="104"/>
    </row>
    <row r="79" spans="1:28" x14ac:dyDescent="0.25">
      <c r="A79" s="59" t="s">
        <v>52</v>
      </c>
      <c r="B79" s="126">
        <v>2031.58</v>
      </c>
      <c r="C79" s="127"/>
      <c r="D79" s="128"/>
      <c r="E79" s="79">
        <f>0</f>
        <v>0</v>
      </c>
      <c r="F79" s="80"/>
      <c r="G79" s="81"/>
      <c r="H79" s="79">
        <f>0</f>
        <v>0</v>
      </c>
      <c r="I79" s="80"/>
      <c r="J79" s="81"/>
      <c r="K79" s="79">
        <f>0</f>
        <v>0</v>
      </c>
      <c r="L79" s="80"/>
      <c r="M79" s="81"/>
      <c r="N79" s="79">
        <f>0</f>
        <v>0</v>
      </c>
      <c r="O79" s="80"/>
      <c r="P79" s="81"/>
      <c r="Q79" s="79">
        <f>0</f>
        <v>0</v>
      </c>
      <c r="R79" s="80"/>
      <c r="S79" s="81"/>
      <c r="T79" s="79">
        <f>0</f>
        <v>0</v>
      </c>
      <c r="U79" s="80"/>
      <c r="V79" s="81"/>
      <c r="W79" s="61">
        <f t="shared" si="19"/>
        <v>0</v>
      </c>
      <c r="X79" s="62"/>
      <c r="Y79" s="63"/>
      <c r="Z79" s="58">
        <v>0</v>
      </c>
      <c r="AA79" s="108">
        <f>2031.58+W79</f>
        <v>2031.58</v>
      </c>
      <c r="AB79" s="108"/>
    </row>
    <row r="80" spans="1:28" x14ac:dyDescent="0.25">
      <c r="A80" s="59" t="s">
        <v>58</v>
      </c>
      <c r="B80" s="126">
        <f>2056.76</f>
        <v>2056.7600000000002</v>
      </c>
      <c r="C80" s="127"/>
      <c r="D80" s="128"/>
      <c r="E80" s="79">
        <f>0</f>
        <v>0</v>
      </c>
      <c r="F80" s="80"/>
      <c r="G80" s="81"/>
      <c r="H80" s="79">
        <f>0</f>
        <v>0</v>
      </c>
      <c r="I80" s="80"/>
      <c r="J80" s="81"/>
      <c r="K80" s="79">
        <f>0</f>
        <v>0</v>
      </c>
      <c r="L80" s="80"/>
      <c r="M80" s="81"/>
      <c r="N80" s="79">
        <f>0</f>
        <v>0</v>
      </c>
      <c r="O80" s="80"/>
      <c r="P80" s="81"/>
      <c r="Q80" s="79">
        <f>0</f>
        <v>0</v>
      </c>
      <c r="R80" s="80"/>
      <c r="S80" s="81"/>
      <c r="T80" s="79">
        <f>0</f>
        <v>0</v>
      </c>
      <c r="U80" s="80"/>
      <c r="V80" s="81"/>
      <c r="W80" s="61">
        <f t="shared" si="19"/>
        <v>0</v>
      </c>
      <c r="X80" s="62"/>
      <c r="Y80" s="63"/>
      <c r="Z80" s="58">
        <v>0</v>
      </c>
      <c r="AA80" s="108">
        <f>2056.76+W80</f>
        <v>2056.7600000000002</v>
      </c>
      <c r="AB80" s="108"/>
    </row>
    <row r="81" spans="1:28" x14ac:dyDescent="0.25">
      <c r="A81" s="12" t="s">
        <v>61</v>
      </c>
      <c r="B81" s="76">
        <f>SUM(B82:D85)</f>
        <v>25267.710000000003</v>
      </c>
      <c r="C81" s="77"/>
      <c r="D81" s="78"/>
      <c r="E81" s="76">
        <f>SUM(E82:G85)</f>
        <v>0</v>
      </c>
      <c r="F81" s="77"/>
      <c r="G81" s="78"/>
      <c r="H81" s="76">
        <f>SUM(H82:J85)</f>
        <v>0</v>
      </c>
      <c r="I81" s="77"/>
      <c r="J81" s="78"/>
      <c r="K81" s="76">
        <f>SUM(K82:M85)</f>
        <v>38.92</v>
      </c>
      <c r="L81" s="77"/>
      <c r="M81" s="78"/>
      <c r="N81" s="76">
        <f>SUM(N82:P85)</f>
        <v>0</v>
      </c>
      <c r="O81" s="77"/>
      <c r="P81" s="78"/>
      <c r="Q81" s="76">
        <f>SUM(Q82:S85)</f>
        <v>0</v>
      </c>
      <c r="R81" s="77"/>
      <c r="S81" s="78"/>
      <c r="T81" s="76">
        <f>SUM(T82:V85)</f>
        <v>0</v>
      </c>
      <c r="U81" s="77"/>
      <c r="V81" s="78"/>
      <c r="W81" s="76">
        <f>SUM(W82:Y85)</f>
        <v>38.92</v>
      </c>
      <c r="X81" s="77"/>
      <c r="Y81" s="78"/>
      <c r="Z81" s="48">
        <v>6.2673735280888935E-4</v>
      </c>
      <c r="AA81" s="106">
        <f>SUM(AA82:AB85)</f>
        <v>25306.63</v>
      </c>
      <c r="AB81" s="107"/>
    </row>
    <row r="82" spans="1:28" x14ac:dyDescent="0.25">
      <c r="A82" s="13" t="s">
        <v>62</v>
      </c>
      <c r="B82" s="126">
        <f>5332.06</f>
        <v>5332.06</v>
      </c>
      <c r="C82" s="127"/>
      <c r="D82" s="128"/>
      <c r="E82" s="66">
        <f>0</f>
        <v>0</v>
      </c>
      <c r="F82" s="67"/>
      <c r="G82" s="68"/>
      <c r="H82" s="66">
        <f>0</f>
        <v>0</v>
      </c>
      <c r="I82" s="67"/>
      <c r="J82" s="68"/>
      <c r="K82" s="66">
        <f>0</f>
        <v>0</v>
      </c>
      <c r="L82" s="67"/>
      <c r="M82" s="68"/>
      <c r="N82" s="66">
        <f>0</f>
        <v>0</v>
      </c>
      <c r="O82" s="67"/>
      <c r="P82" s="68"/>
      <c r="Q82" s="66">
        <f>0</f>
        <v>0</v>
      </c>
      <c r="R82" s="67"/>
      <c r="S82" s="68"/>
      <c r="T82" s="66">
        <f>0</f>
        <v>0</v>
      </c>
      <c r="U82" s="67"/>
      <c r="V82" s="68"/>
      <c r="W82" s="61">
        <f>0+E82+H82+K82+N82+Q82+T82</f>
        <v>0</v>
      </c>
      <c r="X82" s="62"/>
      <c r="Y82" s="63"/>
      <c r="Z82" s="43">
        <v>0</v>
      </c>
      <c r="AA82" s="104">
        <f>5332.06+W82</f>
        <v>5332.06</v>
      </c>
      <c r="AB82" s="104"/>
    </row>
    <row r="83" spans="1:28" x14ac:dyDescent="0.25">
      <c r="A83" s="13" t="s">
        <v>63</v>
      </c>
      <c r="B83" s="126">
        <f>2565.95</f>
        <v>2565.9499999999998</v>
      </c>
      <c r="C83" s="127"/>
      <c r="D83" s="128"/>
      <c r="E83" s="66">
        <f>0</f>
        <v>0</v>
      </c>
      <c r="F83" s="67"/>
      <c r="G83" s="68"/>
      <c r="H83" s="66">
        <f>0</f>
        <v>0</v>
      </c>
      <c r="I83" s="67"/>
      <c r="J83" s="68"/>
      <c r="K83" s="66">
        <f>0</f>
        <v>0</v>
      </c>
      <c r="L83" s="67"/>
      <c r="M83" s="68"/>
      <c r="N83" s="66">
        <f>0</f>
        <v>0</v>
      </c>
      <c r="O83" s="67"/>
      <c r="P83" s="68"/>
      <c r="Q83" s="66">
        <f>0</f>
        <v>0</v>
      </c>
      <c r="R83" s="67"/>
      <c r="S83" s="68"/>
      <c r="T83" s="66">
        <f>0</f>
        <v>0</v>
      </c>
      <c r="U83" s="67"/>
      <c r="V83" s="68"/>
      <c r="W83" s="61">
        <f t="shared" ref="W83:W85" si="20">0+E83+H83+K83+N83+Q83+T83</f>
        <v>0</v>
      </c>
      <c r="X83" s="62"/>
      <c r="Y83" s="63"/>
      <c r="Z83" s="43">
        <v>2.0830882641257875E-3</v>
      </c>
      <c r="AA83" s="104">
        <f>2565.95+W83</f>
        <v>2565.9499999999998</v>
      </c>
      <c r="AB83" s="104"/>
    </row>
    <row r="84" spans="1:28" x14ac:dyDescent="0.25">
      <c r="A84" s="13" t="s">
        <v>64</v>
      </c>
      <c r="B84" s="126">
        <f>16346.96</f>
        <v>16346.96</v>
      </c>
      <c r="C84" s="127"/>
      <c r="D84" s="128"/>
      <c r="E84" s="66">
        <f>0</f>
        <v>0</v>
      </c>
      <c r="F84" s="67"/>
      <c r="G84" s="68"/>
      <c r="H84" s="66">
        <f>0</f>
        <v>0</v>
      </c>
      <c r="I84" s="67"/>
      <c r="J84" s="68"/>
      <c r="K84" s="66">
        <f>0</f>
        <v>0</v>
      </c>
      <c r="L84" s="67"/>
      <c r="M84" s="68"/>
      <c r="N84" s="66">
        <f>0</f>
        <v>0</v>
      </c>
      <c r="O84" s="67"/>
      <c r="P84" s="68"/>
      <c r="Q84" s="66">
        <f>0</f>
        <v>0</v>
      </c>
      <c r="R84" s="67"/>
      <c r="S84" s="68"/>
      <c r="T84" s="66">
        <f>0</f>
        <v>0</v>
      </c>
      <c r="U84" s="67"/>
      <c r="V84" s="68"/>
      <c r="W84" s="61">
        <f t="shared" si="20"/>
        <v>0</v>
      </c>
      <c r="X84" s="62"/>
      <c r="Y84" s="63"/>
      <c r="Z84" s="43">
        <v>0</v>
      </c>
      <c r="AA84" s="104">
        <f>16346.96+W84</f>
        <v>16346.96</v>
      </c>
      <c r="AB84" s="104"/>
    </row>
    <row r="85" spans="1:28" x14ac:dyDescent="0.25">
      <c r="A85" s="13" t="s">
        <v>65</v>
      </c>
      <c r="B85" s="126">
        <f>1022.74</f>
        <v>1022.74</v>
      </c>
      <c r="C85" s="127"/>
      <c r="D85" s="128"/>
      <c r="E85" s="66">
        <f>0</f>
        <v>0</v>
      </c>
      <c r="F85" s="67"/>
      <c r="G85" s="68"/>
      <c r="H85" s="66">
        <f>0</f>
        <v>0</v>
      </c>
      <c r="I85" s="67"/>
      <c r="J85" s="68"/>
      <c r="K85" s="66">
        <f>14.5+24.42</f>
        <v>38.92</v>
      </c>
      <c r="L85" s="67"/>
      <c r="M85" s="68"/>
      <c r="N85" s="66">
        <f>0</f>
        <v>0</v>
      </c>
      <c r="O85" s="67"/>
      <c r="P85" s="68"/>
      <c r="Q85" s="66">
        <f>0</f>
        <v>0</v>
      </c>
      <c r="R85" s="67"/>
      <c r="S85" s="68"/>
      <c r="T85" s="66">
        <f>0</f>
        <v>0</v>
      </c>
      <c r="U85" s="67"/>
      <c r="V85" s="68"/>
      <c r="W85" s="61">
        <f t="shared" si="20"/>
        <v>38.92</v>
      </c>
      <c r="X85" s="62"/>
      <c r="Y85" s="63"/>
      <c r="Z85" s="43">
        <v>0</v>
      </c>
      <c r="AA85" s="104">
        <f>1022.74+W85</f>
        <v>1061.6600000000001</v>
      </c>
      <c r="AB85" s="104"/>
    </row>
    <row r="86" spans="1:28" x14ac:dyDescent="0.25">
      <c r="A86" s="12" t="s">
        <v>66</v>
      </c>
      <c r="B86" s="76">
        <f>SUM(B87:D90)</f>
        <v>427070.25999999995</v>
      </c>
      <c r="C86" s="77"/>
      <c r="D86" s="78"/>
      <c r="E86" s="76">
        <f>SUM(E87:G90)</f>
        <v>0</v>
      </c>
      <c r="F86" s="77"/>
      <c r="G86" s="78"/>
      <c r="H86" s="76">
        <f>SUM(H87:J90)</f>
        <v>0</v>
      </c>
      <c r="I86" s="77"/>
      <c r="J86" s="78"/>
      <c r="K86" s="76">
        <f>SUM(K87:M90)</f>
        <v>0</v>
      </c>
      <c r="L86" s="77"/>
      <c r="M86" s="78"/>
      <c r="N86" s="76">
        <f>SUM(N87:P90)</f>
        <v>15323.4</v>
      </c>
      <c r="O86" s="77"/>
      <c r="P86" s="78"/>
      <c r="Q86" s="76">
        <f>SUM(Q87:S90)</f>
        <v>0</v>
      </c>
      <c r="R86" s="77"/>
      <c r="S86" s="78"/>
      <c r="T86" s="76">
        <f>SUM(T87:V90)</f>
        <v>794</v>
      </c>
      <c r="U86" s="77"/>
      <c r="V86" s="78"/>
      <c r="W86" s="76">
        <f>SUM(W87:Y90)</f>
        <v>16117.4</v>
      </c>
      <c r="X86" s="77"/>
      <c r="Y86" s="78"/>
      <c r="Z86" s="48">
        <v>0</v>
      </c>
      <c r="AA86" s="106">
        <f>SUM(AA87:AB90)</f>
        <v>443187.66</v>
      </c>
      <c r="AB86" s="107"/>
    </row>
    <row r="87" spans="1:28" x14ac:dyDescent="0.25">
      <c r="A87" s="13" t="s">
        <v>67</v>
      </c>
      <c r="B87" s="126">
        <f>229107.72</f>
        <v>229107.72</v>
      </c>
      <c r="C87" s="127"/>
      <c r="D87" s="128"/>
      <c r="E87" s="66">
        <f>0</f>
        <v>0</v>
      </c>
      <c r="F87" s="67"/>
      <c r="G87" s="68"/>
      <c r="H87" s="66">
        <f>0</f>
        <v>0</v>
      </c>
      <c r="I87" s="67"/>
      <c r="J87" s="68"/>
      <c r="K87" s="66">
        <f>0</f>
        <v>0</v>
      </c>
      <c r="L87" s="67"/>
      <c r="M87" s="68"/>
      <c r="N87" s="66">
        <f>15323.4</f>
        <v>15323.4</v>
      </c>
      <c r="O87" s="67"/>
      <c r="P87" s="68"/>
      <c r="Q87" s="66">
        <f>0</f>
        <v>0</v>
      </c>
      <c r="R87" s="67"/>
      <c r="S87" s="68"/>
      <c r="T87" s="66">
        <f>479+315</f>
        <v>794</v>
      </c>
      <c r="U87" s="67"/>
      <c r="V87" s="68"/>
      <c r="W87" s="61">
        <f>0+E87+H87+K87+N87+Q87+T87</f>
        <v>16117.4</v>
      </c>
      <c r="X87" s="62"/>
      <c r="Y87" s="63"/>
      <c r="Z87" s="43">
        <v>0</v>
      </c>
      <c r="AA87" s="104">
        <f>229107.72+W87</f>
        <v>245225.12</v>
      </c>
      <c r="AB87" s="104"/>
    </row>
    <row r="88" spans="1:28" x14ac:dyDescent="0.25">
      <c r="A88" s="13" t="s">
        <v>96</v>
      </c>
      <c r="B88" s="126">
        <f>9871.05</f>
        <v>9871.0499999999993</v>
      </c>
      <c r="C88" s="127"/>
      <c r="D88" s="128"/>
      <c r="E88" s="66">
        <f>0</f>
        <v>0</v>
      </c>
      <c r="F88" s="67"/>
      <c r="G88" s="68"/>
      <c r="H88" s="66">
        <f>0</f>
        <v>0</v>
      </c>
      <c r="I88" s="67"/>
      <c r="J88" s="68"/>
      <c r="K88" s="66">
        <f>0</f>
        <v>0</v>
      </c>
      <c r="L88" s="67"/>
      <c r="M88" s="68"/>
      <c r="N88" s="66">
        <f>0</f>
        <v>0</v>
      </c>
      <c r="O88" s="67"/>
      <c r="P88" s="68"/>
      <c r="Q88" s="66">
        <f>0</f>
        <v>0</v>
      </c>
      <c r="R88" s="67"/>
      <c r="S88" s="68"/>
      <c r="T88" s="66">
        <v>0</v>
      </c>
      <c r="U88" s="67"/>
      <c r="V88" s="68"/>
      <c r="W88" s="61">
        <f t="shared" ref="W88:W90" si="21">0+E88+H88+K88+N88+Q88+T88</f>
        <v>0</v>
      </c>
      <c r="X88" s="62"/>
      <c r="Y88" s="63"/>
      <c r="Z88" s="43">
        <v>0</v>
      </c>
      <c r="AA88" s="104">
        <f>9871.05+W88</f>
        <v>9871.0499999999993</v>
      </c>
      <c r="AB88" s="104"/>
    </row>
    <row r="89" spans="1:28" x14ac:dyDescent="0.25">
      <c r="A89" s="13" t="s">
        <v>68</v>
      </c>
      <c r="B89" s="126">
        <f>183145.19</f>
        <v>183145.19</v>
      </c>
      <c r="C89" s="127"/>
      <c r="D89" s="128"/>
      <c r="E89" s="66">
        <f>0</f>
        <v>0</v>
      </c>
      <c r="F89" s="67"/>
      <c r="G89" s="68"/>
      <c r="H89" s="66">
        <f>0</f>
        <v>0</v>
      </c>
      <c r="I89" s="67"/>
      <c r="J89" s="68"/>
      <c r="K89" s="66">
        <f>0</f>
        <v>0</v>
      </c>
      <c r="L89" s="67"/>
      <c r="M89" s="68"/>
      <c r="N89" s="66">
        <f>0</f>
        <v>0</v>
      </c>
      <c r="O89" s="67"/>
      <c r="P89" s="68"/>
      <c r="Q89" s="66">
        <f>0</f>
        <v>0</v>
      </c>
      <c r="R89" s="67"/>
      <c r="S89" s="68"/>
      <c r="T89" s="66">
        <v>0</v>
      </c>
      <c r="U89" s="67"/>
      <c r="V89" s="68"/>
      <c r="W89" s="61">
        <f t="shared" si="21"/>
        <v>0</v>
      </c>
      <c r="X89" s="62"/>
      <c r="Y89" s="63"/>
      <c r="Z89" s="43">
        <v>0</v>
      </c>
      <c r="AA89" s="104">
        <f>183145.19+W89</f>
        <v>183145.19</v>
      </c>
      <c r="AB89" s="104"/>
    </row>
    <row r="90" spans="1:28" x14ac:dyDescent="0.25">
      <c r="A90" s="13" t="s">
        <v>69</v>
      </c>
      <c r="B90" s="126">
        <v>4946.3</v>
      </c>
      <c r="C90" s="127"/>
      <c r="D90" s="128"/>
      <c r="E90" s="66">
        <f>0</f>
        <v>0</v>
      </c>
      <c r="F90" s="67"/>
      <c r="G90" s="68"/>
      <c r="H90" s="66">
        <f>0</f>
        <v>0</v>
      </c>
      <c r="I90" s="67"/>
      <c r="J90" s="68"/>
      <c r="K90" s="66">
        <f>0</f>
        <v>0</v>
      </c>
      <c r="L90" s="67"/>
      <c r="M90" s="68"/>
      <c r="N90" s="66">
        <f>0</f>
        <v>0</v>
      </c>
      <c r="O90" s="67"/>
      <c r="P90" s="68"/>
      <c r="Q90" s="66">
        <f>0</f>
        <v>0</v>
      </c>
      <c r="R90" s="67"/>
      <c r="S90" s="68"/>
      <c r="T90" s="66">
        <v>0</v>
      </c>
      <c r="U90" s="67"/>
      <c r="V90" s="68"/>
      <c r="W90" s="61">
        <f t="shared" si="21"/>
        <v>0</v>
      </c>
      <c r="X90" s="62"/>
      <c r="Y90" s="63"/>
      <c r="Z90" s="43">
        <v>0</v>
      </c>
      <c r="AA90" s="104">
        <f>4946.3+W90</f>
        <v>4946.3</v>
      </c>
      <c r="AB90" s="104"/>
    </row>
    <row r="91" spans="1:28" x14ac:dyDescent="0.25">
      <c r="A91" s="12" t="s">
        <v>70</v>
      </c>
      <c r="B91" s="76">
        <f>SUM(B92:D98)</f>
        <v>374353.01</v>
      </c>
      <c r="C91" s="77"/>
      <c r="D91" s="78"/>
      <c r="E91" s="76">
        <f>SUM(E92:G98)</f>
        <v>143.88</v>
      </c>
      <c r="F91" s="77"/>
      <c r="G91" s="78"/>
      <c r="H91" s="76">
        <f>SUM(H92:J98)</f>
        <v>1216.5899999999999</v>
      </c>
      <c r="I91" s="77"/>
      <c r="J91" s="78"/>
      <c r="K91" s="76">
        <f>SUM(K92:M98)</f>
        <v>0</v>
      </c>
      <c r="L91" s="77"/>
      <c r="M91" s="78"/>
      <c r="N91" s="76">
        <f t="shared" ref="N91" si="22">SUM(N92:P98)</f>
        <v>2014.73</v>
      </c>
      <c r="O91" s="77"/>
      <c r="P91" s="78"/>
      <c r="Q91" s="76">
        <f t="shared" ref="Q91" si="23">SUM(Q92:S98)</f>
        <v>868.44</v>
      </c>
      <c r="R91" s="77"/>
      <c r="S91" s="78"/>
      <c r="T91" s="76">
        <f t="shared" ref="T91" si="24">SUM(T92:V98)</f>
        <v>14842.789999999997</v>
      </c>
      <c r="U91" s="77"/>
      <c r="V91" s="78"/>
      <c r="W91" s="76">
        <f>SUM(W92:Y98)</f>
        <v>19086.43</v>
      </c>
      <c r="X91" s="77"/>
      <c r="Y91" s="78"/>
      <c r="Z91" s="48">
        <v>3.3165466034522167E-3</v>
      </c>
      <c r="AA91" s="106">
        <f>SUM(AA92:AB98)</f>
        <v>393439.44</v>
      </c>
      <c r="AB91" s="107"/>
    </row>
    <row r="92" spans="1:28" x14ac:dyDescent="0.25">
      <c r="A92" s="16" t="s">
        <v>71</v>
      </c>
      <c r="B92" s="126">
        <f>134045.08</f>
        <v>134045.07999999999</v>
      </c>
      <c r="C92" s="127"/>
      <c r="D92" s="128"/>
      <c r="E92" s="66">
        <f>143.88</f>
        <v>143.88</v>
      </c>
      <c r="F92" s="67"/>
      <c r="G92" s="68"/>
      <c r="H92" s="66">
        <f>0</f>
        <v>0</v>
      </c>
      <c r="I92" s="67"/>
      <c r="J92" s="68"/>
      <c r="K92" s="66">
        <f>0</f>
        <v>0</v>
      </c>
      <c r="L92" s="67"/>
      <c r="M92" s="68"/>
      <c r="N92" s="66">
        <f>168.34</f>
        <v>168.34</v>
      </c>
      <c r="O92" s="67"/>
      <c r="P92" s="68"/>
      <c r="Q92" s="66">
        <f>868.44</f>
        <v>868.44</v>
      </c>
      <c r="R92" s="67"/>
      <c r="S92" s="68"/>
      <c r="T92" s="66">
        <f>78.32+228.9+294.86+1143.37+658.99</f>
        <v>2404.4399999999996</v>
      </c>
      <c r="U92" s="67"/>
      <c r="V92" s="68"/>
      <c r="W92" s="61">
        <f>0+E92+H92+K92+N92+Q92+T92</f>
        <v>3585.0999999999995</v>
      </c>
      <c r="X92" s="62"/>
      <c r="Y92" s="63"/>
      <c r="Z92" s="43">
        <v>0</v>
      </c>
      <c r="AA92" s="104">
        <f>134045.08+W92</f>
        <v>137630.18</v>
      </c>
      <c r="AB92" s="104"/>
    </row>
    <row r="93" spans="1:28" x14ac:dyDescent="0.25">
      <c r="A93" s="16" t="s">
        <v>72</v>
      </c>
      <c r="B93" s="126">
        <f>30847.1</f>
        <v>30847.1</v>
      </c>
      <c r="C93" s="127"/>
      <c r="D93" s="128"/>
      <c r="E93" s="66">
        <f>0</f>
        <v>0</v>
      </c>
      <c r="F93" s="67"/>
      <c r="G93" s="68"/>
      <c r="H93" s="66">
        <f>1216.59</f>
        <v>1216.5899999999999</v>
      </c>
      <c r="I93" s="67"/>
      <c r="J93" s="68"/>
      <c r="K93" s="66">
        <f>0</f>
        <v>0</v>
      </c>
      <c r="L93" s="67"/>
      <c r="M93" s="68"/>
      <c r="N93" s="66">
        <f>0</f>
        <v>0</v>
      </c>
      <c r="O93" s="67"/>
      <c r="P93" s="68"/>
      <c r="Q93" s="66">
        <f>0</f>
        <v>0</v>
      </c>
      <c r="R93" s="67"/>
      <c r="S93" s="68"/>
      <c r="T93" s="66">
        <v>0</v>
      </c>
      <c r="U93" s="67"/>
      <c r="V93" s="68"/>
      <c r="W93" s="61">
        <f t="shared" ref="W93:W98" si="25">0+E93+H93+K93+N93+Q93+T93</f>
        <v>1216.5899999999999</v>
      </c>
      <c r="X93" s="62"/>
      <c r="Y93" s="63"/>
      <c r="Z93" s="43">
        <v>0</v>
      </c>
      <c r="AA93" s="102">
        <f>30847.1+W93</f>
        <v>32063.69</v>
      </c>
      <c r="AB93" s="103"/>
    </row>
    <row r="94" spans="1:28" x14ac:dyDescent="0.25">
      <c r="A94" s="16" t="s">
        <v>73</v>
      </c>
      <c r="B94" s="126">
        <f>59749.69</f>
        <v>59749.69</v>
      </c>
      <c r="C94" s="127"/>
      <c r="D94" s="128"/>
      <c r="E94" s="66">
        <f>0</f>
        <v>0</v>
      </c>
      <c r="F94" s="67"/>
      <c r="G94" s="68"/>
      <c r="H94" s="66">
        <f>0</f>
        <v>0</v>
      </c>
      <c r="I94" s="67"/>
      <c r="J94" s="68"/>
      <c r="K94" s="66">
        <f>0</f>
        <v>0</v>
      </c>
      <c r="L94" s="67"/>
      <c r="M94" s="68"/>
      <c r="N94" s="66">
        <f>1846.39</f>
        <v>1846.39</v>
      </c>
      <c r="O94" s="67"/>
      <c r="P94" s="68"/>
      <c r="Q94" s="66">
        <f>0</f>
        <v>0</v>
      </c>
      <c r="R94" s="67"/>
      <c r="S94" s="68"/>
      <c r="T94" s="66">
        <f>1838.4+211.24</f>
        <v>2049.6400000000003</v>
      </c>
      <c r="U94" s="67"/>
      <c r="V94" s="68"/>
      <c r="W94" s="61">
        <f t="shared" si="25"/>
        <v>3896.0300000000007</v>
      </c>
      <c r="X94" s="62"/>
      <c r="Y94" s="63"/>
      <c r="Z94" s="43">
        <v>0</v>
      </c>
      <c r="AA94" s="102">
        <f>59749.69+W94</f>
        <v>63645.72</v>
      </c>
      <c r="AB94" s="103"/>
    </row>
    <row r="95" spans="1:28" x14ac:dyDescent="0.25">
      <c r="A95" s="16" t="s">
        <v>74</v>
      </c>
      <c r="B95" s="126">
        <f>30309.02</f>
        <v>30309.02</v>
      </c>
      <c r="C95" s="127"/>
      <c r="D95" s="128"/>
      <c r="E95" s="66">
        <f>0</f>
        <v>0</v>
      </c>
      <c r="F95" s="67"/>
      <c r="G95" s="68"/>
      <c r="H95" s="66">
        <f>0</f>
        <v>0</v>
      </c>
      <c r="I95" s="67"/>
      <c r="J95" s="68"/>
      <c r="K95" s="66">
        <f>0</f>
        <v>0</v>
      </c>
      <c r="L95" s="67"/>
      <c r="M95" s="68"/>
      <c r="N95" s="66">
        <f>0</f>
        <v>0</v>
      </c>
      <c r="O95" s="67"/>
      <c r="P95" s="68"/>
      <c r="Q95" s="66">
        <f>0</f>
        <v>0</v>
      </c>
      <c r="R95" s="67"/>
      <c r="S95" s="68"/>
      <c r="T95" s="66">
        <f>1853.07+1715.83</f>
        <v>3568.8999999999996</v>
      </c>
      <c r="U95" s="67"/>
      <c r="V95" s="68"/>
      <c r="W95" s="61">
        <f t="shared" si="25"/>
        <v>3568.8999999999996</v>
      </c>
      <c r="X95" s="62"/>
      <c r="Y95" s="63"/>
      <c r="Z95" s="43">
        <v>0</v>
      </c>
      <c r="AA95" s="102">
        <f>30309.02+W95</f>
        <v>33877.919999999998</v>
      </c>
      <c r="AB95" s="103"/>
    </row>
    <row r="96" spans="1:28" x14ac:dyDescent="0.25">
      <c r="A96" s="16" t="s">
        <v>75</v>
      </c>
      <c r="B96" s="126">
        <f>27426.37</f>
        <v>27426.37</v>
      </c>
      <c r="C96" s="127"/>
      <c r="D96" s="128"/>
      <c r="E96" s="66">
        <f>0</f>
        <v>0</v>
      </c>
      <c r="F96" s="67"/>
      <c r="G96" s="68"/>
      <c r="H96" s="66">
        <f>0</f>
        <v>0</v>
      </c>
      <c r="I96" s="67"/>
      <c r="J96" s="68"/>
      <c r="K96" s="66">
        <f>0</f>
        <v>0</v>
      </c>
      <c r="L96" s="67"/>
      <c r="M96" s="68"/>
      <c r="N96" s="66">
        <f>0</f>
        <v>0</v>
      </c>
      <c r="O96" s="67"/>
      <c r="P96" s="68"/>
      <c r="Q96" s="66">
        <f>0</f>
        <v>0</v>
      </c>
      <c r="R96" s="67"/>
      <c r="S96" s="68"/>
      <c r="T96" s="66">
        <f>1870.6+1534.71</f>
        <v>3405.31</v>
      </c>
      <c r="U96" s="67"/>
      <c r="V96" s="68"/>
      <c r="W96" s="61">
        <f t="shared" si="25"/>
        <v>3405.31</v>
      </c>
      <c r="X96" s="62"/>
      <c r="Y96" s="63"/>
      <c r="Z96" s="43">
        <v>3.3165466034522167E-3</v>
      </c>
      <c r="AA96" s="102">
        <f>27426.37+W96</f>
        <v>30831.68</v>
      </c>
      <c r="AB96" s="103"/>
    </row>
    <row r="97" spans="1:28" x14ac:dyDescent="0.25">
      <c r="A97" s="16" t="s">
        <v>76</v>
      </c>
      <c r="B97" s="126">
        <f>46481.17</f>
        <v>46481.17</v>
      </c>
      <c r="C97" s="127"/>
      <c r="D97" s="128"/>
      <c r="E97" s="66">
        <f>0</f>
        <v>0</v>
      </c>
      <c r="F97" s="67"/>
      <c r="G97" s="68"/>
      <c r="H97" s="66">
        <f>0</f>
        <v>0</v>
      </c>
      <c r="I97" s="67"/>
      <c r="J97" s="68"/>
      <c r="K97" s="66">
        <f>0</f>
        <v>0</v>
      </c>
      <c r="L97" s="67"/>
      <c r="M97" s="68"/>
      <c r="N97" s="66">
        <f>0</f>
        <v>0</v>
      </c>
      <c r="O97" s="67"/>
      <c r="P97" s="68"/>
      <c r="Q97" s="66">
        <f>0</f>
        <v>0</v>
      </c>
      <c r="R97" s="67"/>
      <c r="S97" s="68"/>
      <c r="T97" s="66">
        <f>1544.63</f>
        <v>1544.63</v>
      </c>
      <c r="U97" s="67"/>
      <c r="V97" s="68"/>
      <c r="W97" s="61">
        <f t="shared" si="25"/>
        <v>1544.63</v>
      </c>
      <c r="X97" s="62"/>
      <c r="Y97" s="63"/>
      <c r="Z97" s="43">
        <v>0</v>
      </c>
      <c r="AA97" s="102">
        <f>46481.17+W97</f>
        <v>48025.799999999996</v>
      </c>
      <c r="AB97" s="103"/>
    </row>
    <row r="98" spans="1:28" x14ac:dyDescent="0.25">
      <c r="A98" s="16" t="s">
        <v>77</v>
      </c>
      <c r="B98" s="126">
        <f>45494.58</f>
        <v>45494.58</v>
      </c>
      <c r="C98" s="127"/>
      <c r="D98" s="128"/>
      <c r="E98" s="66">
        <f>0</f>
        <v>0</v>
      </c>
      <c r="F98" s="67"/>
      <c r="G98" s="68"/>
      <c r="H98" s="66">
        <f>0</f>
        <v>0</v>
      </c>
      <c r="I98" s="67"/>
      <c r="J98" s="68"/>
      <c r="K98" s="66">
        <f>0</f>
        <v>0</v>
      </c>
      <c r="L98" s="67"/>
      <c r="M98" s="68"/>
      <c r="N98" s="66">
        <f>0</f>
        <v>0</v>
      </c>
      <c r="O98" s="67"/>
      <c r="P98" s="68"/>
      <c r="Q98" s="66">
        <f>0</f>
        <v>0</v>
      </c>
      <c r="R98" s="67"/>
      <c r="S98" s="68"/>
      <c r="T98" s="66">
        <f>1869.87</f>
        <v>1869.87</v>
      </c>
      <c r="U98" s="67"/>
      <c r="V98" s="68"/>
      <c r="W98" s="61">
        <f t="shared" si="25"/>
        <v>1869.87</v>
      </c>
      <c r="X98" s="62"/>
      <c r="Y98" s="63"/>
      <c r="Z98" s="43">
        <v>0</v>
      </c>
      <c r="AA98" s="102">
        <f>45494.58+W98</f>
        <v>47364.450000000004</v>
      </c>
      <c r="AB98" s="103"/>
    </row>
    <row r="99" spans="1:28" x14ac:dyDescent="0.25">
      <c r="A99" s="17" t="s">
        <v>78</v>
      </c>
      <c r="B99" s="142">
        <f>B33+B42+B46+B50+B62+B67+B81+B86+B91</f>
        <v>5254662.47</v>
      </c>
      <c r="C99" s="143"/>
      <c r="D99" s="144"/>
      <c r="E99" s="69">
        <f>E33+E42+E46+E50+E62+E67+E81+E86+E91</f>
        <v>30081.310000000005</v>
      </c>
      <c r="F99" s="70"/>
      <c r="G99" s="71"/>
      <c r="H99" s="69">
        <f>H33+H42+H46+H50+H62+H67+H81+H86+H91</f>
        <v>35588.01</v>
      </c>
      <c r="I99" s="70"/>
      <c r="J99" s="71"/>
      <c r="K99" s="69">
        <f>K33+K42+K46+K50+K62+K67+K81+K86+K91</f>
        <v>32995.019999999997</v>
      </c>
      <c r="L99" s="70"/>
      <c r="M99" s="71"/>
      <c r="N99" s="69">
        <f>N33+N42+N46+N50+N62+N67+N81+N86+N91</f>
        <v>48529.46</v>
      </c>
      <c r="O99" s="70"/>
      <c r="P99" s="71"/>
      <c r="Q99" s="69">
        <f>Q33+Q42+Q46+Q50+Q62+Q67+Q81+Q86+Q91</f>
        <v>72176.7</v>
      </c>
      <c r="R99" s="70"/>
      <c r="S99" s="71"/>
      <c r="T99" s="69">
        <f>T33+T42+T46+T50+T62+T67+T81+T86+T91</f>
        <v>47721.409999999989</v>
      </c>
      <c r="U99" s="70"/>
      <c r="V99" s="71"/>
      <c r="W99" s="69">
        <f>W91+W86+W81+W67+W62+W50+W46+W42+W33</f>
        <v>267091.91000000003</v>
      </c>
      <c r="X99" s="70"/>
      <c r="Y99" s="71"/>
      <c r="Z99" s="47">
        <v>1</v>
      </c>
      <c r="AA99" s="114">
        <f>AA33+AA42+AA46+AA50+AA62+AA67+AA81+AA86+AA91</f>
        <v>5521754.3800000008</v>
      </c>
      <c r="AB99" s="115"/>
    </row>
    <row r="100" spans="1:28" x14ac:dyDescent="0.25">
      <c r="A100" s="18" t="s">
        <v>79</v>
      </c>
      <c r="B100" s="145">
        <v>4776783.2000000011</v>
      </c>
      <c r="C100" s="146"/>
      <c r="D100" s="147"/>
      <c r="E100" s="72">
        <f>G27-E99</f>
        <v>15051.979999999996</v>
      </c>
      <c r="F100" s="73"/>
      <c r="G100" s="74"/>
      <c r="H100" s="72">
        <f>J27-H99</f>
        <v>6729.7999999999956</v>
      </c>
      <c r="I100" s="73"/>
      <c r="J100" s="74"/>
      <c r="K100" s="72">
        <f>M27-K99</f>
        <v>8254.0800000000017</v>
      </c>
      <c r="L100" s="73"/>
      <c r="M100" s="74"/>
      <c r="N100" s="72">
        <f>P27-N99</f>
        <v>-4014.9099999999962</v>
      </c>
      <c r="O100" s="73"/>
      <c r="P100" s="74"/>
      <c r="Q100" s="72">
        <f>S27-Q99</f>
        <v>-23426.799999999988</v>
      </c>
      <c r="R100" s="73"/>
      <c r="S100" s="74"/>
      <c r="T100" s="72">
        <f>V27-T99</f>
        <v>-875.07999999998719</v>
      </c>
      <c r="U100" s="73"/>
      <c r="V100" s="74"/>
      <c r="W100" s="123">
        <v>8160.9600000000064</v>
      </c>
      <c r="X100" s="123"/>
      <c r="Y100" s="123"/>
      <c r="Z100" s="116">
        <f>AB27-AA99</f>
        <v>4232148.7999999989</v>
      </c>
      <c r="AA100" s="117"/>
      <c r="AB100" s="117"/>
    </row>
    <row r="101" spans="1:28" x14ac:dyDescent="0.25">
      <c r="A101" s="19" t="s">
        <v>102</v>
      </c>
      <c r="B101" s="148">
        <f>D27-B99</f>
        <v>4230429.7300000014</v>
      </c>
      <c r="C101" s="148"/>
      <c r="D101" s="148"/>
    </row>
    <row r="104" spans="1:28" x14ac:dyDescent="0.25">
      <c r="A104" s="20" t="s">
        <v>80</v>
      </c>
      <c r="B104" s="75" t="s">
        <v>94</v>
      </c>
      <c r="C104" s="75"/>
      <c r="D104" s="75"/>
      <c r="E104" s="75" t="s">
        <v>1</v>
      </c>
      <c r="F104" s="75"/>
      <c r="G104" s="75"/>
      <c r="H104" s="75" t="s">
        <v>88</v>
      </c>
      <c r="I104" s="75"/>
      <c r="J104" s="75"/>
      <c r="K104" s="75" t="s">
        <v>89</v>
      </c>
      <c r="L104" s="75"/>
      <c r="M104" s="75"/>
      <c r="N104" s="75" t="s">
        <v>90</v>
      </c>
      <c r="O104" s="75"/>
      <c r="P104" s="75"/>
      <c r="Q104" s="75" t="s">
        <v>91</v>
      </c>
      <c r="R104" s="75"/>
      <c r="S104" s="75"/>
      <c r="T104" s="75" t="s">
        <v>92</v>
      </c>
      <c r="U104" s="75"/>
      <c r="V104" s="75"/>
      <c r="X104" s="50"/>
    </row>
    <row r="105" spans="1:28" x14ac:dyDescent="0.25">
      <c r="A105" s="21" t="s">
        <v>81</v>
      </c>
      <c r="B105" s="64">
        <f>265.94</f>
        <v>265.94</v>
      </c>
      <c r="C105" s="64"/>
      <c r="D105" s="64"/>
      <c r="E105" s="64">
        <f>B105+2.65</f>
        <v>268.58999999999997</v>
      </c>
      <c r="F105" s="64"/>
      <c r="G105" s="64"/>
      <c r="H105" s="64">
        <f>E105-5032.48-5.26-12.53+90000+599.49</f>
        <v>85817.810000000012</v>
      </c>
      <c r="I105" s="64"/>
      <c r="J105" s="64"/>
      <c r="K105" s="64">
        <f>H105-34167.11-67.81-29.71+579.11</f>
        <v>52132.290000000015</v>
      </c>
      <c r="L105" s="64"/>
      <c r="M105" s="64"/>
      <c r="N105" s="64">
        <f>K105-48194.74-218.74+255.87</f>
        <v>3974.6800000000176</v>
      </c>
      <c r="O105" s="64"/>
      <c r="P105" s="64"/>
      <c r="Q105" s="64">
        <f>N105-9481.09-41.57-10.98+56000+277.48</f>
        <v>50718.520000000019</v>
      </c>
      <c r="R105" s="64"/>
      <c r="S105" s="64"/>
      <c r="T105" s="64">
        <f>Q105-47092.47-82.5-54.49+288.31</f>
        <v>3777.3700000000176</v>
      </c>
      <c r="U105" s="64"/>
      <c r="V105" s="64"/>
      <c r="Y105" s="52"/>
    </row>
    <row r="106" spans="1:28" x14ac:dyDescent="0.25">
      <c r="A106" s="21" t="s">
        <v>82</v>
      </c>
      <c r="B106" s="64">
        <f>2936549.89</f>
        <v>2936549.89</v>
      </c>
      <c r="C106" s="64"/>
      <c r="D106" s="64"/>
      <c r="E106" s="64">
        <f>B106+31605.24</f>
        <v>2968155.1300000004</v>
      </c>
      <c r="F106" s="64"/>
      <c r="G106" s="64"/>
      <c r="H106" s="64">
        <f>E106-110000-356.05+28930.8</f>
        <v>2886729.8800000004</v>
      </c>
      <c r="I106" s="64"/>
      <c r="J106" s="64"/>
      <c r="K106" s="64">
        <f>H106+28137.66</f>
        <v>2914867.5400000005</v>
      </c>
      <c r="L106" s="64"/>
      <c r="M106" s="64"/>
      <c r="N106" s="64">
        <f>K106+30624.16</f>
        <v>2945491.7000000007</v>
      </c>
      <c r="O106" s="64"/>
      <c r="P106" s="64"/>
      <c r="Q106" s="64">
        <f>N106-26142.51+33848.41</f>
        <v>2953197.600000001</v>
      </c>
      <c r="R106" s="64"/>
      <c r="S106" s="64"/>
      <c r="T106" s="64">
        <f>Q106+32590.05</f>
        <v>2985787.6500000008</v>
      </c>
      <c r="U106" s="64"/>
      <c r="V106" s="64"/>
    </row>
    <row r="107" spans="1:28" x14ac:dyDescent="0.25">
      <c r="A107" s="21" t="s">
        <v>99</v>
      </c>
      <c r="B107" s="151">
        <f>1253139.81</f>
        <v>1253139.81</v>
      </c>
      <c r="C107" s="152"/>
      <c r="D107" s="153"/>
      <c r="E107" s="151">
        <f>B107+13505.4</f>
        <v>1266645.21</v>
      </c>
      <c r="F107" s="152"/>
      <c r="G107" s="153"/>
      <c r="H107" s="151">
        <f>E107+12767.52</f>
        <v>1279412.73</v>
      </c>
      <c r="I107" s="152"/>
      <c r="J107" s="153"/>
      <c r="K107" s="151">
        <f>H107+12512.33</f>
        <v>1291925.06</v>
      </c>
      <c r="L107" s="152"/>
      <c r="M107" s="153"/>
      <c r="N107" s="151">
        <f>K107+13614.52</f>
        <v>1305539.58</v>
      </c>
      <c r="O107" s="152"/>
      <c r="P107" s="153"/>
      <c r="Q107" s="151">
        <f>N107-80000-11927.15+14454.01</f>
        <v>1228066.4400000002</v>
      </c>
      <c r="R107" s="152"/>
      <c r="S107" s="153"/>
      <c r="T107" s="151">
        <f>Q107+13632.97</f>
        <v>1241699.4100000001</v>
      </c>
      <c r="U107" s="152"/>
      <c r="V107" s="153"/>
    </row>
    <row r="108" spans="1:28" x14ac:dyDescent="0.25">
      <c r="A108" s="21" t="s">
        <v>100</v>
      </c>
      <c r="B108" s="64">
        <f>0</f>
        <v>0</v>
      </c>
      <c r="C108" s="64"/>
      <c r="D108" s="64"/>
      <c r="E108" s="64">
        <f>0</f>
        <v>0</v>
      </c>
      <c r="F108" s="64"/>
      <c r="G108" s="64"/>
      <c r="H108" s="64">
        <f>0</f>
        <v>0</v>
      </c>
      <c r="I108" s="64"/>
      <c r="J108" s="64"/>
      <c r="K108" s="64">
        <f>0</f>
        <v>0</v>
      </c>
      <c r="L108" s="64"/>
      <c r="M108" s="64"/>
      <c r="N108" s="64">
        <f>0</f>
        <v>0</v>
      </c>
      <c r="O108" s="64"/>
      <c r="P108" s="64"/>
      <c r="Q108" s="64">
        <f>0</f>
        <v>0</v>
      </c>
      <c r="R108" s="64"/>
      <c r="S108" s="64"/>
      <c r="T108" s="64">
        <f>0</f>
        <v>0</v>
      </c>
      <c r="U108" s="64"/>
      <c r="V108" s="64"/>
    </row>
    <row r="109" spans="1:28" x14ac:dyDescent="0.25">
      <c r="A109" s="22" t="s">
        <v>83</v>
      </c>
      <c r="B109" s="65">
        <f>SUM(B105:D108)</f>
        <v>4189955.64</v>
      </c>
      <c r="C109" s="65"/>
      <c r="D109" s="65"/>
      <c r="E109" s="65">
        <f>SUM(E105:G108)</f>
        <v>4235068.93</v>
      </c>
      <c r="F109" s="65"/>
      <c r="G109" s="65"/>
      <c r="H109" s="65">
        <f>SUM(H105:J108)</f>
        <v>4251960.42</v>
      </c>
      <c r="I109" s="65"/>
      <c r="J109" s="65"/>
      <c r="K109" s="65">
        <f>SUM(K105:M108)</f>
        <v>4258924.8900000006</v>
      </c>
      <c r="L109" s="65"/>
      <c r="M109" s="65"/>
      <c r="N109" s="65">
        <f>SUM(N105:P108)</f>
        <v>4255005.9600000009</v>
      </c>
      <c r="O109" s="65"/>
      <c r="P109" s="65"/>
      <c r="Q109" s="65">
        <f>SUM(Q105:S108)</f>
        <v>4231982.5600000015</v>
      </c>
      <c r="R109" s="65"/>
      <c r="S109" s="65"/>
      <c r="T109" s="65">
        <f>SUM(T105:V108)</f>
        <v>4231264.4300000016</v>
      </c>
      <c r="U109" s="65"/>
      <c r="V109" s="65"/>
      <c r="AB109" s="51"/>
    </row>
    <row r="110" spans="1:28" x14ac:dyDescent="0.25">
      <c r="A110" s="23" t="s">
        <v>84</v>
      </c>
    </row>
    <row r="111" spans="1:28" x14ac:dyDescent="0.25">
      <c r="A111" s="24" t="s">
        <v>85</v>
      </c>
    </row>
    <row r="112" spans="1:28" x14ac:dyDescent="0.25">
      <c r="A112" s="24" t="s">
        <v>86</v>
      </c>
      <c r="V112" s="50"/>
    </row>
    <row r="113" spans="1:1" x14ac:dyDescent="0.25">
      <c r="A113" s="25" t="s">
        <v>87</v>
      </c>
    </row>
  </sheetData>
  <sheetProtection algorithmName="SHA-512" hashValue="H1Eg23u2Vg9mK+rZ6+I8gAjgYJVgq7a7KDbQnycsq9eyxkbxqo7P1dwMPmh6gbzXlUAoBbgzxcB8mwISW9QL8g==" saltValue="LtyVz3tU34hcbWvnXDvozg==" spinCount="100000" sheet="1" objects="1" scenarios="1"/>
  <mergeCells count="764">
    <mergeCell ref="Q107:S107"/>
    <mergeCell ref="T107:V107"/>
    <mergeCell ref="B79:D79"/>
    <mergeCell ref="B64:D64"/>
    <mergeCell ref="B65:D65"/>
    <mergeCell ref="B66:D66"/>
    <mergeCell ref="B67:D67"/>
    <mergeCell ref="B41:D41"/>
    <mergeCell ref="B40:D40"/>
    <mergeCell ref="E83:G83"/>
    <mergeCell ref="E42:G42"/>
    <mergeCell ref="B107:D107"/>
    <mergeCell ref="B89:D89"/>
    <mergeCell ref="A21:A22"/>
    <mergeCell ref="B32:D32"/>
    <mergeCell ref="B42:D42"/>
    <mergeCell ref="B33:D33"/>
    <mergeCell ref="E107:G107"/>
    <mergeCell ref="H107:J107"/>
    <mergeCell ref="K107:M107"/>
    <mergeCell ref="N107:P107"/>
    <mergeCell ref="B38:D38"/>
    <mergeCell ref="B37:D37"/>
    <mergeCell ref="B39:D39"/>
    <mergeCell ref="B36:D36"/>
    <mergeCell ref="B35:D35"/>
    <mergeCell ref="E27:F27"/>
    <mergeCell ref="E32:G32"/>
    <mergeCell ref="E33:G33"/>
    <mergeCell ref="E34:G34"/>
    <mergeCell ref="E35:G35"/>
    <mergeCell ref="B105:D105"/>
    <mergeCell ref="B106:D106"/>
    <mergeCell ref="B108:D108"/>
    <mergeCell ref="B12:D12"/>
    <mergeCell ref="B22:C22"/>
    <mergeCell ref="B11:D11"/>
    <mergeCell ref="B18:D18"/>
    <mergeCell ref="B17:D17"/>
    <mergeCell ref="B16:D16"/>
    <mergeCell ref="B15:D15"/>
    <mergeCell ref="B14:D14"/>
    <mergeCell ref="B13:D1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4:D104"/>
    <mergeCell ref="B78:D78"/>
    <mergeCell ref="B87:D87"/>
    <mergeCell ref="B88:D88"/>
    <mergeCell ref="B57:D57"/>
    <mergeCell ref="B86:D86"/>
    <mergeCell ref="B34:D34"/>
    <mergeCell ref="B68:D68"/>
    <mergeCell ref="B69:D69"/>
    <mergeCell ref="B70:D70"/>
    <mergeCell ref="B52:D52"/>
    <mergeCell ref="A1:AB4"/>
    <mergeCell ref="A5:AB6"/>
    <mergeCell ref="B21:D21"/>
    <mergeCell ref="B90:D90"/>
    <mergeCell ref="B91:D91"/>
    <mergeCell ref="B92:D92"/>
    <mergeCell ref="B93:D93"/>
    <mergeCell ref="B71:D71"/>
    <mergeCell ref="B72:D72"/>
    <mergeCell ref="B73:D73"/>
    <mergeCell ref="B74:D74"/>
    <mergeCell ref="B75:D75"/>
    <mergeCell ref="B76:D76"/>
    <mergeCell ref="B80:D80"/>
    <mergeCell ref="B77:D77"/>
    <mergeCell ref="B81:D81"/>
    <mergeCell ref="B63:D63"/>
    <mergeCell ref="B82:D82"/>
    <mergeCell ref="B83:D83"/>
    <mergeCell ref="B84:D84"/>
    <mergeCell ref="B85:D85"/>
    <mergeCell ref="B51:D51"/>
    <mergeCell ref="B53:D53"/>
    <mergeCell ref="B54:D54"/>
    <mergeCell ref="B55:D55"/>
    <mergeCell ref="B56:D56"/>
    <mergeCell ref="E44:G44"/>
    <mergeCell ref="E45:G45"/>
    <mergeCell ref="E36:G36"/>
    <mergeCell ref="E39:G39"/>
    <mergeCell ref="E37:G37"/>
    <mergeCell ref="E38:G38"/>
    <mergeCell ref="E40:G40"/>
    <mergeCell ref="E41:G41"/>
    <mergeCell ref="E43:G43"/>
    <mergeCell ref="E11:G11"/>
    <mergeCell ref="E21:G21"/>
    <mergeCell ref="E12:G12"/>
    <mergeCell ref="E13:G13"/>
    <mergeCell ref="E14:G14"/>
    <mergeCell ref="E15:G15"/>
    <mergeCell ref="E16:G16"/>
    <mergeCell ref="E17:G17"/>
    <mergeCell ref="E18:G18"/>
    <mergeCell ref="E55:G55"/>
    <mergeCell ref="E109:G109"/>
    <mergeCell ref="E59:G59"/>
    <mergeCell ref="E60:G60"/>
    <mergeCell ref="E61:G61"/>
    <mergeCell ref="E71:G71"/>
    <mergeCell ref="E56:G56"/>
    <mergeCell ref="E46:G46"/>
    <mergeCell ref="E47:G47"/>
    <mergeCell ref="E52:G52"/>
    <mergeCell ref="E51:G51"/>
    <mergeCell ref="E48:G48"/>
    <mergeCell ref="E49:G49"/>
    <mergeCell ref="E50:G50"/>
    <mergeCell ref="E57:G57"/>
    <mergeCell ref="E58:G58"/>
    <mergeCell ref="E62:G62"/>
    <mergeCell ref="E63:G63"/>
    <mergeCell ref="E64:G64"/>
    <mergeCell ref="E65:G65"/>
    <mergeCell ref="E66:G66"/>
    <mergeCell ref="E77:G77"/>
    <mergeCell ref="E78:G78"/>
    <mergeCell ref="B109:D109"/>
    <mergeCell ref="B26:C26"/>
    <mergeCell ref="B23:C23"/>
    <mergeCell ref="B24:C24"/>
    <mergeCell ref="B25:C25"/>
    <mergeCell ref="B27:C27"/>
    <mergeCell ref="B50:D50"/>
    <mergeCell ref="B43:D43"/>
    <mergeCell ref="B44:D44"/>
    <mergeCell ref="B45:D45"/>
    <mergeCell ref="B46:D46"/>
    <mergeCell ref="B47:D47"/>
    <mergeCell ref="B48:D48"/>
    <mergeCell ref="B49:D49"/>
    <mergeCell ref="B59:D59"/>
    <mergeCell ref="B60:D60"/>
    <mergeCell ref="B61:D61"/>
    <mergeCell ref="B62:D62"/>
    <mergeCell ref="B58:D58"/>
    <mergeCell ref="E82:G82"/>
    <mergeCell ref="E53:G53"/>
    <mergeCell ref="E54:G54"/>
    <mergeCell ref="E104:G104"/>
    <mergeCell ref="E105:G105"/>
    <mergeCell ref="E106:G106"/>
    <mergeCell ref="E108:G108"/>
    <mergeCell ref="E86:G86"/>
    <mergeCell ref="E87:G87"/>
    <mergeCell ref="E88:G88"/>
    <mergeCell ref="E89:G89"/>
    <mergeCell ref="E90:G90"/>
    <mergeCell ref="E67:G67"/>
    <mergeCell ref="E68:G68"/>
    <mergeCell ref="E69:G69"/>
    <mergeCell ref="E70:G70"/>
    <mergeCell ref="E79:G79"/>
    <mergeCell ref="W81:Y81"/>
    <mergeCell ref="W11:Y11"/>
    <mergeCell ref="W12:Y12"/>
    <mergeCell ref="W13:Y13"/>
    <mergeCell ref="W14:Y14"/>
    <mergeCell ref="W15:Y15"/>
    <mergeCell ref="W16:Y16"/>
    <mergeCell ref="W17:Y17"/>
    <mergeCell ref="W18:Y18"/>
    <mergeCell ref="W21:Y21"/>
    <mergeCell ref="W27:X27"/>
    <mergeCell ref="W32:Y32"/>
    <mergeCell ref="W33:Y33"/>
    <mergeCell ref="W34:Y34"/>
    <mergeCell ref="W42:Y42"/>
    <mergeCell ref="W43:Y43"/>
    <mergeCell ref="E81:G81"/>
    <mergeCell ref="E75:G75"/>
    <mergeCell ref="E76:G76"/>
    <mergeCell ref="W99:Y99"/>
    <mergeCell ref="W100:Y100"/>
    <mergeCell ref="W92:Y92"/>
    <mergeCell ref="W87:Y87"/>
    <mergeCell ref="W91:Y91"/>
    <mergeCell ref="W82:Y82"/>
    <mergeCell ref="W86:Y86"/>
    <mergeCell ref="W68:Y68"/>
    <mergeCell ref="E72:G72"/>
    <mergeCell ref="E73:G73"/>
    <mergeCell ref="E74:G74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84:G84"/>
    <mergeCell ref="E85:G85"/>
    <mergeCell ref="E80:G80"/>
    <mergeCell ref="AA46:AB46"/>
    <mergeCell ref="AA47:AB47"/>
    <mergeCell ref="AA48:AB48"/>
    <mergeCell ref="AA49:AB49"/>
    <mergeCell ref="AA33:AB33"/>
    <mergeCell ref="AA34:AB34"/>
    <mergeCell ref="AA35:AB35"/>
    <mergeCell ref="AA44:AB44"/>
    <mergeCell ref="AA43:AB43"/>
    <mergeCell ref="AA42:AB42"/>
    <mergeCell ref="AA41:AB41"/>
    <mergeCell ref="AA40:AB40"/>
    <mergeCell ref="Z100:AB100"/>
    <mergeCell ref="AA21:AB21"/>
    <mergeCell ref="Z21:Z22"/>
    <mergeCell ref="AA92:AB92"/>
    <mergeCell ref="AA93:AB93"/>
    <mergeCell ref="AA94:AB94"/>
    <mergeCell ref="AA95:AB95"/>
    <mergeCell ref="AA96:AB96"/>
    <mergeCell ref="AA87:AB87"/>
    <mergeCell ref="AA88:AB88"/>
    <mergeCell ref="AA89:AB89"/>
    <mergeCell ref="AA90:AB90"/>
    <mergeCell ref="AA91:AB91"/>
    <mergeCell ref="AA82:AB82"/>
    <mergeCell ref="AA83:AB83"/>
    <mergeCell ref="AA84:AB84"/>
    <mergeCell ref="AA85:AB85"/>
    <mergeCell ref="AA86:AB86"/>
    <mergeCell ref="AA76:AB76"/>
    <mergeCell ref="AA80:AB80"/>
    <mergeCell ref="AA77:AB77"/>
    <mergeCell ref="AA78:AB78"/>
    <mergeCell ref="AA36:AB36"/>
    <mergeCell ref="AA50:AB50"/>
    <mergeCell ref="AA72:AB72"/>
    <mergeCell ref="AA60:AB60"/>
    <mergeCell ref="AA61:AB61"/>
    <mergeCell ref="AA32:AB32"/>
    <mergeCell ref="Z18:AB18"/>
    <mergeCell ref="Z11:AB11"/>
    <mergeCell ref="Z12:AB12"/>
    <mergeCell ref="H33:J33"/>
    <mergeCell ref="AA99:AB99"/>
    <mergeCell ref="AA73:AB73"/>
    <mergeCell ref="AA74:AB74"/>
    <mergeCell ref="AA75:AB75"/>
    <mergeCell ref="AA68:AB68"/>
    <mergeCell ref="AA69:AB69"/>
    <mergeCell ref="AA70:AB70"/>
    <mergeCell ref="AA79:AB79"/>
    <mergeCell ref="AA71:AB71"/>
    <mergeCell ref="Z17:AB17"/>
    <mergeCell ref="Z16:AB16"/>
    <mergeCell ref="Z15:AB15"/>
    <mergeCell ref="AA52:AB52"/>
    <mergeCell ref="AA51:AB51"/>
    <mergeCell ref="AA53:AB53"/>
    <mergeCell ref="AA45:AB45"/>
    <mergeCell ref="A9:AB9"/>
    <mergeCell ref="A30:AB30"/>
    <mergeCell ref="Z13:AB13"/>
    <mergeCell ref="Z14:AB14"/>
    <mergeCell ref="AA97:AB97"/>
    <mergeCell ref="AA98:AB98"/>
    <mergeCell ref="AA63:AB63"/>
    <mergeCell ref="AA64:AB64"/>
    <mergeCell ref="AA65:AB65"/>
    <mergeCell ref="AA66:AB66"/>
    <mergeCell ref="AA67:AB67"/>
    <mergeCell ref="AA58:AB58"/>
    <mergeCell ref="AA62:AB62"/>
    <mergeCell ref="AA54:AB54"/>
    <mergeCell ref="AA55:AB55"/>
    <mergeCell ref="AA56:AB56"/>
    <mergeCell ref="AA57:AB57"/>
    <mergeCell ref="AA38:AB38"/>
    <mergeCell ref="AA37:AB37"/>
    <mergeCell ref="AA39:AB39"/>
    <mergeCell ref="AA59:AB59"/>
    <mergeCell ref="H11:J11"/>
    <mergeCell ref="H12:J12"/>
    <mergeCell ref="AA81:AB81"/>
    <mergeCell ref="H13:J13"/>
    <mergeCell ref="H14:J14"/>
    <mergeCell ref="H15:J15"/>
    <mergeCell ref="H16:J16"/>
    <mergeCell ref="H17:J17"/>
    <mergeCell ref="H18:J18"/>
    <mergeCell ref="H21:J21"/>
    <mergeCell ref="H27:I27"/>
    <mergeCell ref="H32:J32"/>
    <mergeCell ref="H67:J67"/>
    <mergeCell ref="H34:J34"/>
    <mergeCell ref="H35:J35"/>
    <mergeCell ref="H36:J36"/>
    <mergeCell ref="H39:J39"/>
    <mergeCell ref="H37:J37"/>
    <mergeCell ref="H38:J38"/>
    <mergeCell ref="H40:J40"/>
    <mergeCell ref="H41:J41"/>
    <mergeCell ref="H52:J52"/>
    <mergeCell ref="H51:J51"/>
    <mergeCell ref="H53:J53"/>
    <mergeCell ref="H54:J54"/>
    <mergeCell ref="H55:J55"/>
    <mergeCell ref="H56:J56"/>
    <mergeCell ref="H57:J57"/>
    <mergeCell ref="H42:J42"/>
    <mergeCell ref="H43:J43"/>
    <mergeCell ref="H44:J44"/>
    <mergeCell ref="H45:J45"/>
    <mergeCell ref="H46:J46"/>
    <mergeCell ref="H47:J47"/>
    <mergeCell ref="H48:J48"/>
    <mergeCell ref="H49:J49"/>
    <mergeCell ref="H50:J50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75:J75"/>
    <mergeCell ref="H76:J76"/>
    <mergeCell ref="H80:J80"/>
    <mergeCell ref="H77:J77"/>
    <mergeCell ref="H78:J78"/>
    <mergeCell ref="H81:J81"/>
    <mergeCell ref="H82:J82"/>
    <mergeCell ref="H83:J83"/>
    <mergeCell ref="H68:J68"/>
    <mergeCell ref="H69:J69"/>
    <mergeCell ref="H70:J70"/>
    <mergeCell ref="H79:J79"/>
    <mergeCell ref="H71:J71"/>
    <mergeCell ref="H72:J72"/>
    <mergeCell ref="H73:J73"/>
    <mergeCell ref="H74:J74"/>
    <mergeCell ref="H84:J84"/>
    <mergeCell ref="H85:J85"/>
    <mergeCell ref="H86:J86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H96:J96"/>
    <mergeCell ref="H97:J97"/>
    <mergeCell ref="H98:J98"/>
    <mergeCell ref="H99:J99"/>
    <mergeCell ref="H100:J100"/>
    <mergeCell ref="H104:J104"/>
    <mergeCell ref="H105:J105"/>
    <mergeCell ref="H106:J106"/>
    <mergeCell ref="H108:J108"/>
    <mergeCell ref="H109:J109"/>
    <mergeCell ref="K11:M11"/>
    <mergeCell ref="K12:M12"/>
    <mergeCell ref="K13:M13"/>
    <mergeCell ref="K14:M14"/>
    <mergeCell ref="K15:M15"/>
    <mergeCell ref="K16:M16"/>
    <mergeCell ref="K17:M17"/>
    <mergeCell ref="K18:M18"/>
    <mergeCell ref="K21:M21"/>
    <mergeCell ref="K27:L27"/>
    <mergeCell ref="K32:M32"/>
    <mergeCell ref="K33:M33"/>
    <mergeCell ref="K34:M34"/>
    <mergeCell ref="K35:M35"/>
    <mergeCell ref="K36:M36"/>
    <mergeCell ref="K39:M39"/>
    <mergeCell ref="K37:M37"/>
    <mergeCell ref="K38:M38"/>
    <mergeCell ref="K40:M40"/>
    <mergeCell ref="K41:M41"/>
    <mergeCell ref="K52:M52"/>
    <mergeCell ref="K51:M51"/>
    <mergeCell ref="K53:M53"/>
    <mergeCell ref="K54:M54"/>
    <mergeCell ref="K55:M55"/>
    <mergeCell ref="K56:M56"/>
    <mergeCell ref="K57:M57"/>
    <mergeCell ref="K42:M42"/>
    <mergeCell ref="K43:M43"/>
    <mergeCell ref="K44:M44"/>
    <mergeCell ref="K45:M45"/>
    <mergeCell ref="K46:M46"/>
    <mergeCell ref="K47:M47"/>
    <mergeCell ref="K48:M48"/>
    <mergeCell ref="K49:M49"/>
    <mergeCell ref="K50:M50"/>
    <mergeCell ref="K74:M74"/>
    <mergeCell ref="K58:M58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104:M104"/>
    <mergeCell ref="K84:M84"/>
    <mergeCell ref="K85:M85"/>
    <mergeCell ref="K86:M86"/>
    <mergeCell ref="K87:M87"/>
    <mergeCell ref="K88:M88"/>
    <mergeCell ref="K89:M89"/>
    <mergeCell ref="K90:M90"/>
    <mergeCell ref="K91:M91"/>
    <mergeCell ref="K92:M92"/>
    <mergeCell ref="N41:P41"/>
    <mergeCell ref="K93:M93"/>
    <mergeCell ref="K94:M94"/>
    <mergeCell ref="K95:M95"/>
    <mergeCell ref="K96:M96"/>
    <mergeCell ref="K97:M97"/>
    <mergeCell ref="K98:M98"/>
    <mergeCell ref="K99:M99"/>
    <mergeCell ref="K100:M100"/>
    <mergeCell ref="K75:M75"/>
    <mergeCell ref="K76:M76"/>
    <mergeCell ref="K80:M80"/>
    <mergeCell ref="K77:M77"/>
    <mergeCell ref="K78:M78"/>
    <mergeCell ref="K81:M81"/>
    <mergeCell ref="K82:M82"/>
    <mergeCell ref="K83:M83"/>
    <mergeCell ref="K68:M68"/>
    <mergeCell ref="K69:M69"/>
    <mergeCell ref="K70:M70"/>
    <mergeCell ref="K79:M79"/>
    <mergeCell ref="K71:M71"/>
    <mergeCell ref="K72:M72"/>
    <mergeCell ref="K73:M73"/>
    <mergeCell ref="N67:P67"/>
    <mergeCell ref="K105:M105"/>
    <mergeCell ref="K106:M106"/>
    <mergeCell ref="K108:M108"/>
    <mergeCell ref="K109:M109"/>
    <mergeCell ref="N11:P11"/>
    <mergeCell ref="N12:P12"/>
    <mergeCell ref="N13:P13"/>
    <mergeCell ref="N14:P14"/>
    <mergeCell ref="N15:P15"/>
    <mergeCell ref="N16:P16"/>
    <mergeCell ref="N17:P17"/>
    <mergeCell ref="N18:P18"/>
    <mergeCell ref="N21:P21"/>
    <mergeCell ref="N27:O27"/>
    <mergeCell ref="N32:P32"/>
    <mergeCell ref="N33:P33"/>
    <mergeCell ref="N34:P34"/>
    <mergeCell ref="N35:P35"/>
    <mergeCell ref="N36:P36"/>
    <mergeCell ref="N39:P39"/>
    <mergeCell ref="N37:P37"/>
    <mergeCell ref="N38:P38"/>
    <mergeCell ref="N40:P40"/>
    <mergeCell ref="N52:P52"/>
    <mergeCell ref="N51:P51"/>
    <mergeCell ref="N53:P53"/>
    <mergeCell ref="N54:P54"/>
    <mergeCell ref="N55:P55"/>
    <mergeCell ref="N56:P56"/>
    <mergeCell ref="N57:P57"/>
    <mergeCell ref="N42:P42"/>
    <mergeCell ref="N43:P43"/>
    <mergeCell ref="N44:P44"/>
    <mergeCell ref="N45:P45"/>
    <mergeCell ref="N46:P46"/>
    <mergeCell ref="N47:P47"/>
    <mergeCell ref="N48:P48"/>
    <mergeCell ref="N49:P49"/>
    <mergeCell ref="N50:P50"/>
    <mergeCell ref="N58:P58"/>
    <mergeCell ref="N59:P59"/>
    <mergeCell ref="N60:P60"/>
    <mergeCell ref="N61:P61"/>
    <mergeCell ref="N62:P62"/>
    <mergeCell ref="N63:P63"/>
    <mergeCell ref="N64:P64"/>
    <mergeCell ref="N65:P65"/>
    <mergeCell ref="N66:P66"/>
    <mergeCell ref="N75:P75"/>
    <mergeCell ref="N76:P76"/>
    <mergeCell ref="N80:P80"/>
    <mergeCell ref="N77:P77"/>
    <mergeCell ref="N78:P78"/>
    <mergeCell ref="N81:P81"/>
    <mergeCell ref="N82:P82"/>
    <mergeCell ref="N83:P83"/>
    <mergeCell ref="N68:P68"/>
    <mergeCell ref="N69:P69"/>
    <mergeCell ref="N70:P70"/>
    <mergeCell ref="N79:P79"/>
    <mergeCell ref="N71:P71"/>
    <mergeCell ref="N72:P72"/>
    <mergeCell ref="N73:P73"/>
    <mergeCell ref="N74:P74"/>
    <mergeCell ref="N84:P84"/>
    <mergeCell ref="N85:P85"/>
    <mergeCell ref="N86:P86"/>
    <mergeCell ref="N87:P87"/>
    <mergeCell ref="N88:P88"/>
    <mergeCell ref="N89:P89"/>
    <mergeCell ref="N90:P90"/>
    <mergeCell ref="N91:P91"/>
    <mergeCell ref="N92:P92"/>
    <mergeCell ref="N93:P93"/>
    <mergeCell ref="N94:P94"/>
    <mergeCell ref="N95:P95"/>
    <mergeCell ref="N96:P96"/>
    <mergeCell ref="N97:P97"/>
    <mergeCell ref="N98:P98"/>
    <mergeCell ref="N99:P99"/>
    <mergeCell ref="N100:P100"/>
    <mergeCell ref="N104:P104"/>
    <mergeCell ref="N105:P105"/>
    <mergeCell ref="N106:P106"/>
    <mergeCell ref="N108:P108"/>
    <mergeCell ref="N109:P109"/>
    <mergeCell ref="Q11:S11"/>
    <mergeCell ref="Q12:S12"/>
    <mergeCell ref="Q13:S13"/>
    <mergeCell ref="Q14:S14"/>
    <mergeCell ref="Q15:S15"/>
    <mergeCell ref="Q16:S16"/>
    <mergeCell ref="Q17:S17"/>
    <mergeCell ref="Q18:S18"/>
    <mergeCell ref="Q21:S21"/>
    <mergeCell ref="Q27:R27"/>
    <mergeCell ref="Q32:S32"/>
    <mergeCell ref="Q33:S33"/>
    <mergeCell ref="Q34:S34"/>
    <mergeCell ref="Q35:S35"/>
    <mergeCell ref="Q36:S36"/>
    <mergeCell ref="Q39:S39"/>
    <mergeCell ref="Q37:S37"/>
    <mergeCell ref="Q38:S38"/>
    <mergeCell ref="Q40:S40"/>
    <mergeCell ref="Q41:S41"/>
    <mergeCell ref="Q52:S52"/>
    <mergeCell ref="Q51:S51"/>
    <mergeCell ref="Q53:S53"/>
    <mergeCell ref="Q54:S54"/>
    <mergeCell ref="Q55:S55"/>
    <mergeCell ref="Q56:S56"/>
    <mergeCell ref="Q57:S57"/>
    <mergeCell ref="Q42:S42"/>
    <mergeCell ref="Q43:S43"/>
    <mergeCell ref="Q44:S44"/>
    <mergeCell ref="Q45:S45"/>
    <mergeCell ref="Q46:S46"/>
    <mergeCell ref="Q47:S47"/>
    <mergeCell ref="Q48:S48"/>
    <mergeCell ref="Q49:S49"/>
    <mergeCell ref="Q50:S50"/>
    <mergeCell ref="Q74:S74"/>
    <mergeCell ref="Q58:S58"/>
    <mergeCell ref="Q59:S59"/>
    <mergeCell ref="Q60:S60"/>
    <mergeCell ref="Q61:S61"/>
    <mergeCell ref="Q62:S62"/>
    <mergeCell ref="Q63:S63"/>
    <mergeCell ref="Q64:S64"/>
    <mergeCell ref="Q65:S65"/>
    <mergeCell ref="Q66:S66"/>
    <mergeCell ref="Q67:S67"/>
    <mergeCell ref="Q104:S104"/>
    <mergeCell ref="Q84:S84"/>
    <mergeCell ref="Q85:S85"/>
    <mergeCell ref="Q86:S86"/>
    <mergeCell ref="Q87:S87"/>
    <mergeCell ref="Q88:S88"/>
    <mergeCell ref="Q89:S89"/>
    <mergeCell ref="Q90:S90"/>
    <mergeCell ref="Q91:S91"/>
    <mergeCell ref="Q92:S92"/>
    <mergeCell ref="T41:V41"/>
    <mergeCell ref="Q93:S93"/>
    <mergeCell ref="Q94:S94"/>
    <mergeCell ref="Q95:S95"/>
    <mergeCell ref="Q96:S96"/>
    <mergeCell ref="Q97:S97"/>
    <mergeCell ref="Q98:S98"/>
    <mergeCell ref="Q99:S99"/>
    <mergeCell ref="Q100:S100"/>
    <mergeCell ref="Q75:S75"/>
    <mergeCell ref="Q76:S76"/>
    <mergeCell ref="Q80:S80"/>
    <mergeCell ref="Q77:S77"/>
    <mergeCell ref="Q78:S78"/>
    <mergeCell ref="Q81:S81"/>
    <mergeCell ref="Q82:S82"/>
    <mergeCell ref="Q83:S83"/>
    <mergeCell ref="Q68:S68"/>
    <mergeCell ref="Q69:S69"/>
    <mergeCell ref="Q70:S70"/>
    <mergeCell ref="Q79:S79"/>
    <mergeCell ref="Q71:S71"/>
    <mergeCell ref="Q72:S72"/>
    <mergeCell ref="Q73:S73"/>
    <mergeCell ref="T67:V67"/>
    <mergeCell ref="Q105:S105"/>
    <mergeCell ref="Q106:S106"/>
    <mergeCell ref="Q108:S108"/>
    <mergeCell ref="Q109:S109"/>
    <mergeCell ref="T11:V11"/>
    <mergeCell ref="T12:V12"/>
    <mergeCell ref="T13:V13"/>
    <mergeCell ref="T14:V14"/>
    <mergeCell ref="T15:V15"/>
    <mergeCell ref="T16:V16"/>
    <mergeCell ref="T17:V17"/>
    <mergeCell ref="T18:V18"/>
    <mergeCell ref="T21:V21"/>
    <mergeCell ref="T27:U27"/>
    <mergeCell ref="T32:V32"/>
    <mergeCell ref="T33:V33"/>
    <mergeCell ref="T34:V34"/>
    <mergeCell ref="T35:V35"/>
    <mergeCell ref="T36:V36"/>
    <mergeCell ref="T39:V39"/>
    <mergeCell ref="T37:V37"/>
    <mergeCell ref="T38:V38"/>
    <mergeCell ref="T40:V40"/>
    <mergeCell ref="T52:V52"/>
    <mergeCell ref="T51:V51"/>
    <mergeCell ref="T53:V53"/>
    <mergeCell ref="T54:V54"/>
    <mergeCell ref="T55:V55"/>
    <mergeCell ref="T56:V56"/>
    <mergeCell ref="T57:V57"/>
    <mergeCell ref="T42:V42"/>
    <mergeCell ref="T43:V43"/>
    <mergeCell ref="T44:V44"/>
    <mergeCell ref="T45:V45"/>
    <mergeCell ref="T46:V46"/>
    <mergeCell ref="T47:V47"/>
    <mergeCell ref="T48:V48"/>
    <mergeCell ref="T49:V49"/>
    <mergeCell ref="T50:V50"/>
    <mergeCell ref="T58:V58"/>
    <mergeCell ref="T59:V59"/>
    <mergeCell ref="T60:V60"/>
    <mergeCell ref="T61:V61"/>
    <mergeCell ref="T62:V62"/>
    <mergeCell ref="T63:V63"/>
    <mergeCell ref="T64:V64"/>
    <mergeCell ref="T65:V65"/>
    <mergeCell ref="T66:V66"/>
    <mergeCell ref="T82:V82"/>
    <mergeCell ref="T83:V83"/>
    <mergeCell ref="T68:V68"/>
    <mergeCell ref="T69:V69"/>
    <mergeCell ref="T70:V70"/>
    <mergeCell ref="T79:V79"/>
    <mergeCell ref="T71:V71"/>
    <mergeCell ref="T72:V72"/>
    <mergeCell ref="T73:V73"/>
    <mergeCell ref="T74:V74"/>
    <mergeCell ref="T108:V108"/>
    <mergeCell ref="T109:V109"/>
    <mergeCell ref="T93:V93"/>
    <mergeCell ref="T94:V94"/>
    <mergeCell ref="T95:V95"/>
    <mergeCell ref="T96:V96"/>
    <mergeCell ref="T97:V97"/>
    <mergeCell ref="T98:V98"/>
    <mergeCell ref="T99:V99"/>
    <mergeCell ref="T100:V100"/>
    <mergeCell ref="T104:V104"/>
    <mergeCell ref="W35:Y35"/>
    <mergeCell ref="W36:Y36"/>
    <mergeCell ref="W39:Y39"/>
    <mergeCell ref="W37:Y37"/>
    <mergeCell ref="W38:Y38"/>
    <mergeCell ref="W40:Y40"/>
    <mergeCell ref="W41:Y41"/>
    <mergeCell ref="T105:V105"/>
    <mergeCell ref="T106:V106"/>
    <mergeCell ref="T84:V84"/>
    <mergeCell ref="T85:V85"/>
    <mergeCell ref="T86:V86"/>
    <mergeCell ref="T87:V87"/>
    <mergeCell ref="T88:V88"/>
    <mergeCell ref="T89:V89"/>
    <mergeCell ref="T90:V90"/>
    <mergeCell ref="T91:V91"/>
    <mergeCell ref="T92:V92"/>
    <mergeCell ref="T75:V75"/>
    <mergeCell ref="T76:V76"/>
    <mergeCell ref="T80:V80"/>
    <mergeCell ref="T77:V77"/>
    <mergeCell ref="T78:V78"/>
    <mergeCell ref="T81:V81"/>
    <mergeCell ref="W52:Y52"/>
    <mergeCell ref="W53:Y53"/>
    <mergeCell ref="W54:Y54"/>
    <mergeCell ref="W55:Y55"/>
    <mergeCell ref="W56:Y56"/>
    <mergeCell ref="W57:Y57"/>
    <mergeCell ref="W44:Y44"/>
    <mergeCell ref="W45:Y45"/>
    <mergeCell ref="W48:Y48"/>
    <mergeCell ref="W49:Y49"/>
    <mergeCell ref="W46:Y46"/>
    <mergeCell ref="W47:Y47"/>
    <mergeCell ref="W50:Y50"/>
    <mergeCell ref="W51:Y51"/>
    <mergeCell ref="W69:Y69"/>
    <mergeCell ref="W70:Y70"/>
    <mergeCell ref="W71:Y71"/>
    <mergeCell ref="W72:Y72"/>
    <mergeCell ref="W73:Y73"/>
    <mergeCell ref="W74:Y74"/>
    <mergeCell ref="W58:Y58"/>
    <mergeCell ref="W59:Y59"/>
    <mergeCell ref="W60:Y60"/>
    <mergeCell ref="W61:Y61"/>
    <mergeCell ref="W64:Y64"/>
    <mergeCell ref="W65:Y65"/>
    <mergeCell ref="W66:Y66"/>
    <mergeCell ref="W63:Y63"/>
    <mergeCell ref="W67:Y67"/>
    <mergeCell ref="W62:Y62"/>
    <mergeCell ref="W95:Y95"/>
    <mergeCell ref="W96:Y96"/>
    <mergeCell ref="W97:Y97"/>
    <mergeCell ref="W98:Y98"/>
    <mergeCell ref="W75:Y75"/>
    <mergeCell ref="W76:Y76"/>
    <mergeCell ref="W80:Y80"/>
    <mergeCell ref="W77:Y77"/>
    <mergeCell ref="W78:Y78"/>
    <mergeCell ref="W83:Y83"/>
    <mergeCell ref="W84:Y84"/>
    <mergeCell ref="W85:Y85"/>
    <mergeCell ref="W88:Y88"/>
    <mergeCell ref="W89:Y89"/>
    <mergeCell ref="W90:Y90"/>
    <mergeCell ref="W93:Y93"/>
    <mergeCell ref="W94:Y94"/>
    <mergeCell ref="W79:Y7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46 H42 H86 W91 W86 W81 W62 W46 W42 K46 K85:K86 K42 E62 E42 E46 N62 T46 T42 Q46 Q42 N86:N87 N46 N42 N34:V34 N43:V45 O42:P42 O46:P46 T88:V90 O86:V86 T93:V93 R42:S42 R46:S46 U42:V42 U46:V46 N38:V38 O62:V62 O85:P85 N81:V81 T82:V82 E37 E56 E75 E86 E54 E67 E81 H56 H67 H70 H81 H91 H93 K50 K70 K67 K81 K91 N94 N67 K64 K57 N56:N57 N50 Q56:Q57 Q50 N52 Q67 U92:V92 T87:V87 T94:T98 T64 T67 T56 T50 Q71 S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 Participantes</dc:creator>
  <cp:lastModifiedBy>Financeiro ANIPA</cp:lastModifiedBy>
  <dcterms:created xsi:type="dcterms:W3CDTF">2023-04-14T18:57:22Z</dcterms:created>
  <dcterms:modified xsi:type="dcterms:W3CDTF">2025-08-14T18:01:14Z</dcterms:modified>
</cp:coreProperties>
</file>