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FINANCEIRO\02. FINANCEIRO\2025\02. FEV\Histórico Mensal\"/>
    </mc:Choice>
  </mc:AlternateContent>
  <xr:revisionPtr revIDLastSave="0" documentId="13_ncr:1_{2C7C507B-8AB4-4612-879E-0C1CC42904DB}" xr6:coauthVersionLast="47" xr6:coauthVersionMax="47" xr10:uidLastSave="{00000000-0000-0000-0000-000000000000}"/>
  <bookViews>
    <workbookView xWindow="-120" yWindow="-120" windowWidth="20730" windowHeight="11160" tabRatio="597" xr2:uid="{39FDE74E-F6F9-46DB-BAE3-CEDA0E45484C}"/>
  </bookViews>
  <sheets>
    <sheet name="FE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6" i="1" l="1"/>
  <c r="K35" i="1"/>
  <c r="K36" i="1"/>
  <c r="K37" i="1"/>
  <c r="K38" i="1"/>
  <c r="K39" i="1"/>
  <c r="K40" i="1"/>
  <c r="K41" i="1"/>
  <c r="K48" i="1"/>
  <c r="K49" i="1"/>
  <c r="K44" i="1"/>
  <c r="K45" i="1"/>
  <c r="K52" i="1"/>
  <c r="K53" i="1"/>
  <c r="K54" i="1"/>
  <c r="K55" i="1"/>
  <c r="K56" i="1"/>
  <c r="K57" i="1"/>
  <c r="K58" i="1"/>
  <c r="K59" i="1"/>
  <c r="K60" i="1"/>
  <c r="K61" i="1"/>
  <c r="K64" i="1"/>
  <c r="K65" i="1"/>
  <c r="K66" i="1"/>
  <c r="K69" i="1"/>
  <c r="K70" i="1"/>
  <c r="K71" i="1"/>
  <c r="K72" i="1"/>
  <c r="K73" i="1"/>
  <c r="K74" i="1"/>
  <c r="K75" i="1"/>
  <c r="K76" i="1"/>
  <c r="K77" i="1"/>
  <c r="K78" i="1"/>
  <c r="K79" i="1"/>
  <c r="K80" i="1"/>
  <c r="K83" i="1"/>
  <c r="K84" i="1"/>
  <c r="K85" i="1"/>
  <c r="K88" i="1"/>
  <c r="K89" i="1"/>
  <c r="K90" i="1"/>
  <c r="K93" i="1"/>
  <c r="K94" i="1"/>
  <c r="K95" i="1"/>
  <c r="K96" i="1"/>
  <c r="K97" i="1"/>
  <c r="K98" i="1"/>
  <c r="K92" i="1"/>
  <c r="K87" i="1"/>
  <c r="K82" i="1"/>
  <c r="K68" i="1"/>
  <c r="K63" i="1"/>
  <c r="K51" i="1"/>
  <c r="K47" i="1"/>
  <c r="K43" i="1"/>
  <c r="K34" i="1"/>
  <c r="M25" i="1"/>
  <c r="M24" i="1"/>
  <c r="L24" i="1"/>
  <c r="K24" i="1"/>
  <c r="H108" i="1"/>
  <c r="H93" i="1" l="1"/>
  <c r="H92" i="1"/>
  <c r="H98" i="1"/>
  <c r="H97" i="1"/>
  <c r="H96" i="1"/>
  <c r="H95" i="1"/>
  <c r="H94" i="1"/>
  <c r="H90" i="1"/>
  <c r="H89" i="1"/>
  <c r="H88" i="1"/>
  <c r="H87" i="1"/>
  <c r="H84" i="1"/>
  <c r="H85" i="1"/>
  <c r="H83" i="1"/>
  <c r="H71" i="1"/>
  <c r="H69" i="1"/>
  <c r="H68" i="1"/>
  <c r="H80" i="1"/>
  <c r="H79" i="1"/>
  <c r="H78" i="1"/>
  <c r="H77" i="1"/>
  <c r="H76" i="1"/>
  <c r="H75" i="1"/>
  <c r="H74" i="1" l="1"/>
  <c r="H73" i="1"/>
  <c r="H72" i="1"/>
  <c r="H70" i="1"/>
  <c r="H66" i="1"/>
  <c r="H65" i="1"/>
  <c r="H64" i="1"/>
  <c r="H63" i="1"/>
  <c r="H61" i="1"/>
  <c r="H56" i="1"/>
  <c r="H55" i="1"/>
  <c r="H54" i="1"/>
  <c r="H53" i="1"/>
  <c r="H51" i="1"/>
  <c r="H52" i="1"/>
  <c r="H41" i="1"/>
  <c r="H40" i="1"/>
  <c r="H39" i="1"/>
  <c r="H38" i="1"/>
  <c r="H37" i="1"/>
  <c r="H36" i="1"/>
  <c r="H35" i="1"/>
  <c r="J25" i="1"/>
  <c r="J24" i="1"/>
  <c r="I24" i="1"/>
  <c r="H24" i="1"/>
  <c r="E53" i="1"/>
  <c r="E80" i="1"/>
  <c r="E79" i="1"/>
  <c r="E41" i="1"/>
  <c r="E40" i="1"/>
  <c r="E39" i="1"/>
  <c r="H67" i="1" l="1"/>
  <c r="B69" i="1"/>
  <c r="B53" i="1"/>
  <c r="B51" i="1"/>
  <c r="E98" i="1"/>
  <c r="E97" i="1"/>
  <c r="E96" i="1"/>
  <c r="E95" i="1"/>
  <c r="E94" i="1"/>
  <c r="E93" i="1"/>
  <c r="E90" i="1"/>
  <c r="E89" i="1"/>
  <c r="E88" i="1"/>
  <c r="E87" i="1"/>
  <c r="E85" i="1"/>
  <c r="E84" i="1"/>
  <c r="E83" i="1"/>
  <c r="E76" i="1"/>
  <c r="O76" i="1" s="1"/>
  <c r="E71" i="1"/>
  <c r="O71" i="1" s="1"/>
  <c r="E78" i="1"/>
  <c r="O78" i="1" s="1"/>
  <c r="E64" i="1"/>
  <c r="O64" i="1" s="1"/>
  <c r="E73" i="1"/>
  <c r="O73" i="1" s="1"/>
  <c r="E92" i="1"/>
  <c r="E51" i="1"/>
  <c r="E77" i="1"/>
  <c r="O77" i="1" s="1"/>
  <c r="E75" i="1"/>
  <c r="O75" i="1" s="1"/>
  <c r="E74" i="1"/>
  <c r="O74" i="1" s="1"/>
  <c r="E72" i="1"/>
  <c r="O72" i="1" s="1"/>
  <c r="E70" i="1"/>
  <c r="E69" i="1"/>
  <c r="E68" i="1"/>
  <c r="E66" i="1"/>
  <c r="E65" i="1"/>
  <c r="O65" i="1" s="1"/>
  <c r="E63" i="1"/>
  <c r="O63" i="1" s="1"/>
  <c r="E61" i="1"/>
  <c r="E54" i="1"/>
  <c r="O54" i="1" s="1"/>
  <c r="E56" i="1"/>
  <c r="O56" i="1" s="1"/>
  <c r="E55" i="1"/>
  <c r="O55" i="1" s="1"/>
  <c r="O53" i="1"/>
  <c r="E52" i="1"/>
  <c r="E38" i="1"/>
  <c r="E37" i="1"/>
  <c r="O37" i="1" s="1"/>
  <c r="O39" i="1"/>
  <c r="E36" i="1"/>
  <c r="O36" i="1" s="1"/>
  <c r="E35" i="1"/>
  <c r="O35" i="1" s="1"/>
  <c r="G25" i="1"/>
  <c r="P25" i="1" s="1"/>
  <c r="G24" i="1"/>
  <c r="P24" i="1" s="1"/>
  <c r="F24" i="1"/>
  <c r="E24" i="1"/>
  <c r="E108" i="1"/>
  <c r="B24" i="1"/>
  <c r="E67" i="1" l="1"/>
  <c r="E91" i="1"/>
  <c r="O51" i="1"/>
  <c r="B108" i="1"/>
  <c r="B107" i="1"/>
  <c r="E107" i="1" s="1"/>
  <c r="H107" i="1" s="1"/>
  <c r="B106" i="1"/>
  <c r="E106" i="1" s="1"/>
  <c r="H106" i="1" s="1"/>
  <c r="B105" i="1"/>
  <c r="E105" i="1" s="1"/>
  <c r="H105" i="1" s="1"/>
  <c r="B63" i="1"/>
  <c r="B98" i="1"/>
  <c r="B97" i="1"/>
  <c r="B96" i="1"/>
  <c r="B95" i="1"/>
  <c r="B94" i="1"/>
  <c r="B93" i="1"/>
  <c r="B92" i="1"/>
  <c r="B88" i="1"/>
  <c r="B87" i="1"/>
  <c r="B85" i="1"/>
  <c r="B84" i="1"/>
  <c r="B83" i="1"/>
  <c r="B80" i="1"/>
  <c r="B78" i="1"/>
  <c r="B76" i="1"/>
  <c r="B75" i="1"/>
  <c r="B74" i="1"/>
  <c r="B73" i="1"/>
  <c r="B72" i="1"/>
  <c r="B71" i="1"/>
  <c r="B70" i="1"/>
  <c r="B66" i="1"/>
  <c r="B65" i="1"/>
  <c r="B64" i="1"/>
  <c r="B61" i="1"/>
  <c r="B60" i="1"/>
  <c r="B58" i="1"/>
  <c r="B56" i="1"/>
  <c r="B55" i="1"/>
  <c r="B54" i="1"/>
  <c r="B52" i="1"/>
  <c r="B49" i="1"/>
  <c r="B47" i="1"/>
  <c r="B38" i="1"/>
  <c r="B37" i="1"/>
  <c r="B36" i="1"/>
  <c r="B35" i="1"/>
  <c r="D25" i="1"/>
  <c r="D24" i="1"/>
  <c r="O24" i="1"/>
  <c r="O27" i="1" s="1"/>
  <c r="B50" i="1" l="1"/>
  <c r="O61" i="1"/>
  <c r="O66" i="1"/>
  <c r="O84" i="1"/>
  <c r="O83" i="1" l="1"/>
  <c r="O79" i="1" l="1"/>
  <c r="O69" i="1"/>
  <c r="O70" i="1" l="1"/>
  <c r="K67" i="1"/>
  <c r="O98" i="1" l="1"/>
  <c r="O97" i="1"/>
  <c r="O96" i="1"/>
  <c r="O93" i="1"/>
  <c r="O88" i="1"/>
  <c r="O95" i="1" l="1"/>
  <c r="O94" i="1"/>
  <c r="O92" i="1"/>
  <c r="O87" i="1"/>
  <c r="O85" i="1" l="1"/>
  <c r="O40" i="1"/>
  <c r="O38" i="1"/>
  <c r="H45" i="1" l="1"/>
  <c r="H44" i="1"/>
  <c r="H43" i="1"/>
  <c r="H34" i="1"/>
  <c r="H33" i="1" s="1"/>
  <c r="O52" i="1"/>
  <c r="H49" i="1"/>
  <c r="H48" i="1"/>
  <c r="H47" i="1"/>
  <c r="H60" i="1"/>
  <c r="H59" i="1"/>
  <c r="H58" i="1"/>
  <c r="O58" i="1" s="1"/>
  <c r="H57" i="1"/>
  <c r="H50" i="1" s="1"/>
  <c r="H82" i="1"/>
  <c r="H81" i="1" l="1"/>
  <c r="E57" i="1"/>
  <c r="O57" i="1" l="1"/>
  <c r="O90" i="1"/>
  <c r="O89" i="1"/>
  <c r="E82" i="1"/>
  <c r="E60" i="1"/>
  <c r="O60" i="1" s="1"/>
  <c r="E59" i="1"/>
  <c r="E48" i="1"/>
  <c r="E49" i="1"/>
  <c r="O49" i="1" s="1"/>
  <c r="E47" i="1"/>
  <c r="O47" i="1" s="1"/>
  <c r="E45" i="1"/>
  <c r="E44" i="1"/>
  <c r="E43" i="1"/>
  <c r="E34" i="1"/>
  <c r="E86" i="1"/>
  <c r="B17" i="1"/>
  <c r="B16" i="1"/>
  <c r="E50" i="1" l="1"/>
  <c r="E33" i="1"/>
  <c r="O82" i="1"/>
  <c r="E81" i="1"/>
  <c r="O34" i="1"/>
  <c r="O68" i="1"/>
  <c r="O59" i="1"/>
  <c r="O50" i="1" s="1"/>
  <c r="O41" i="1"/>
  <c r="B109" i="1"/>
  <c r="D26" i="1"/>
  <c r="B41" i="1"/>
  <c r="B40" i="1"/>
  <c r="B89" i="1"/>
  <c r="B82" i="1"/>
  <c r="B68" i="1"/>
  <c r="B67" i="1" s="1"/>
  <c r="B45" i="1"/>
  <c r="B39" i="1"/>
  <c r="O44" i="1" l="1"/>
  <c r="O45" i="1"/>
  <c r="O43" i="1"/>
  <c r="G27" i="1" l="1"/>
  <c r="B27" i="1"/>
  <c r="D27" i="1"/>
  <c r="B18" i="1"/>
  <c r="B91" i="1"/>
  <c r="B86" i="1"/>
  <c r="B81" i="1"/>
  <c r="E62" i="1"/>
  <c r="B62" i="1"/>
  <c r="E46" i="1"/>
  <c r="E42" i="1"/>
  <c r="B46" i="1"/>
  <c r="B42" i="1"/>
  <c r="B33" i="1"/>
  <c r="K27" i="1" l="1"/>
  <c r="E27" i="1"/>
  <c r="E99" i="1"/>
  <c r="E100" i="1" s="1"/>
  <c r="E109" i="1"/>
  <c r="B99" i="1"/>
  <c r="B101" i="1" s="1"/>
  <c r="H86" i="1"/>
  <c r="K62" i="1"/>
  <c r="M27" i="1"/>
  <c r="O80" i="1"/>
  <c r="O67" i="1" s="1"/>
  <c r="O48" i="1"/>
  <c r="J27" i="1"/>
  <c r="H46" i="1"/>
  <c r="H42" i="1"/>
  <c r="K86" i="1"/>
  <c r="H62" i="1"/>
  <c r="H91" i="1"/>
  <c r="H109" i="1"/>
  <c r="H27" i="1" l="1"/>
  <c r="O86" i="1"/>
  <c r="O62" i="1"/>
  <c r="K46" i="1"/>
  <c r="K50" i="1"/>
  <c r="O46" i="1"/>
  <c r="K33" i="1"/>
  <c r="O91" i="1"/>
  <c r="O33" i="1"/>
  <c r="K91" i="1"/>
  <c r="K42" i="1"/>
  <c r="O42" i="1"/>
  <c r="K81" i="1"/>
  <c r="O81" i="1"/>
  <c r="H99" i="1"/>
  <c r="H100" i="1" s="1"/>
  <c r="P27" i="1" l="1"/>
  <c r="N16" i="1" s="1"/>
  <c r="O99" i="1"/>
  <c r="N17" i="1" s="1"/>
  <c r="K99" i="1"/>
  <c r="N18" i="1" l="1"/>
  <c r="N100" i="1"/>
</calcChain>
</file>

<file path=xl/sharedStrings.xml><?xml version="1.0" encoding="utf-8"?>
<sst xmlns="http://schemas.openxmlformats.org/spreadsheetml/2006/main" count="129" uniqueCount="105">
  <si>
    <t>Bens da ANIPA</t>
  </si>
  <si>
    <t>JAN</t>
  </si>
  <si>
    <t>Evolução histórica</t>
  </si>
  <si>
    <t xml:space="preserve">Total bens </t>
  </si>
  <si>
    <t>Imobilizado (computadores, equipamentos)</t>
  </si>
  <si>
    <t>Intangível (softwares)</t>
  </si>
  <si>
    <t>(-) Depreciação acumulada</t>
  </si>
  <si>
    <t>Receitas</t>
  </si>
  <si>
    <t>Despesas</t>
  </si>
  <si>
    <t>Total Parcial e Acumulado</t>
  </si>
  <si>
    <t>Associados / Receitas</t>
  </si>
  <si>
    <t>%</t>
  </si>
  <si>
    <t>Q</t>
  </si>
  <si>
    <t>Valor</t>
  </si>
  <si>
    <t>S</t>
  </si>
  <si>
    <t>E</t>
  </si>
  <si>
    <t>Receitas anteriores / Associados</t>
  </si>
  <si>
    <t>Associados / Mensalidades</t>
  </si>
  <si>
    <t>Receitas Financeiras</t>
  </si>
  <si>
    <t xml:space="preserve">Outras Receitas </t>
  </si>
  <si>
    <t>Total Associados / Receitas</t>
  </si>
  <si>
    <t>DETALHAMENTO DE DESPESAS</t>
  </si>
  <si>
    <t>Serviços de Terceiros</t>
  </si>
  <si>
    <t>Serviços administrativos Advogados</t>
  </si>
  <si>
    <t>Assessoria Jurídica</t>
  </si>
  <si>
    <t xml:space="preserve">Serviços Contábeis </t>
  </si>
  <si>
    <t>Assessoria Atuarial</t>
  </si>
  <si>
    <t>Assessoria Comunicação/Parlamentar</t>
  </si>
  <si>
    <t>Consultoria/Assessoria Técnica (Adm, Fin, Cont, TI)</t>
  </si>
  <si>
    <t>Telemarketing (associados regular termos)</t>
  </si>
  <si>
    <t xml:space="preserve">Serviços eventuais de apoio </t>
  </si>
  <si>
    <t>Custos das Ações</t>
  </si>
  <si>
    <r>
      <t>Honorários Advocatícios Iniciais Ações</t>
    </r>
    <r>
      <rPr>
        <sz val="8"/>
        <rFont val="Calibri"/>
        <family val="2"/>
        <scheme val="minor"/>
      </rPr>
      <t xml:space="preserve"> </t>
    </r>
  </si>
  <si>
    <t>Honorários mensais das ações</t>
  </si>
  <si>
    <t>Taxas de ajuizamento de ações / Custas processuais</t>
  </si>
  <si>
    <t>Registros/Cartórios/Publicações</t>
  </si>
  <si>
    <t>Registros e Taxas(Cart, Pref, RF...)</t>
  </si>
  <si>
    <t>Cartórios (Aut, Doc, Rec Firma)</t>
  </si>
  <si>
    <t>Publicações Legais/Editais em jornais</t>
  </si>
  <si>
    <t>Tecnologia</t>
  </si>
  <si>
    <t>Serviço de E-mail</t>
  </si>
  <si>
    <t xml:space="preserve">Serviço de Mensagens por celular </t>
  </si>
  <si>
    <t xml:space="preserve">Plataforma de assinatura eletrônica </t>
  </si>
  <si>
    <t>Desenv/Serviço Sist Assembleia Virtual</t>
  </si>
  <si>
    <t xml:space="preserve">Desenv/Serviço Fórum </t>
  </si>
  <si>
    <t>Registro Domínio ANIPA</t>
  </si>
  <si>
    <t>Bancos/Impostos/Juros</t>
  </si>
  <si>
    <t>Tarifas Bancárias CAIXA</t>
  </si>
  <si>
    <t>Impostos recolhidos à terceiros (INSS, IR, CONTR. FEDER...)</t>
  </si>
  <si>
    <t>IRRF/IOF operações financeiras (sobre os investimentos)</t>
  </si>
  <si>
    <t xml:space="preserve">Escritório ANIPA </t>
  </si>
  <si>
    <t>Móveis/Utensílios</t>
  </si>
  <si>
    <t>Assinatura de jornais, revistas, publicações e outros</t>
  </si>
  <si>
    <t>Material Escritório</t>
  </si>
  <si>
    <t xml:space="preserve">Aluguel/Condomínio/IPTU/Taxas </t>
  </si>
  <si>
    <t xml:space="preserve">Luz/Telefone/Internet </t>
  </si>
  <si>
    <t>Diversos (café, água, copos, chaves, etc.)</t>
  </si>
  <si>
    <t>Higiene e Limpeza (material e serviço)</t>
  </si>
  <si>
    <t>Serviço de Seleção e Recrutamento</t>
  </si>
  <si>
    <t>Salários (mês, 13°, férias, rescisão)</t>
  </si>
  <si>
    <r>
      <t>Encargos trabalhistas (INSS, FGTS, PIS, Transp, Alim, Sind)</t>
    </r>
    <r>
      <rPr>
        <sz val="8"/>
        <rFont val="Calibri"/>
        <family val="2"/>
        <scheme val="minor"/>
      </rPr>
      <t xml:space="preserve"> </t>
    </r>
  </si>
  <si>
    <t>Outros Serviços</t>
  </si>
  <si>
    <t>Serv. Gráficos/Digitalizações/Cópias</t>
  </si>
  <si>
    <t>Motoboy</t>
  </si>
  <si>
    <t>Correios</t>
  </si>
  <si>
    <t>Deslocamento (para serviços externos)</t>
  </si>
  <si>
    <t>Outros</t>
  </si>
  <si>
    <t>Locação sala Eventos/Assembleia/Equipamentos/Hotel</t>
  </si>
  <si>
    <t>Devoluções/Recebimentos indevidos</t>
  </si>
  <si>
    <t>Participações em outras associações/em outros eventos</t>
  </si>
  <si>
    <t>Despesas Viagens</t>
  </si>
  <si>
    <t>Presidência</t>
  </si>
  <si>
    <t>Jurídico</t>
  </si>
  <si>
    <t>Financeiro</t>
  </si>
  <si>
    <t>Técnico</t>
  </si>
  <si>
    <t>Comunicação</t>
  </si>
  <si>
    <t>Conselho Fiscal</t>
  </si>
  <si>
    <r>
      <t xml:space="preserve">Associados / Prestador de serviço / Funcionários </t>
    </r>
    <r>
      <rPr>
        <sz val="8"/>
        <rFont val="Calibri"/>
        <family val="2"/>
        <scheme val="minor"/>
      </rPr>
      <t>(1)</t>
    </r>
  </si>
  <si>
    <t>Total Despesas</t>
  </si>
  <si>
    <t>Resultado / Saldo em Conta</t>
  </si>
  <si>
    <t>Investimentos</t>
  </si>
  <si>
    <t>Caixa FIC GIRO EMPRESAS</t>
  </si>
  <si>
    <t>Caixa FIC RUBI</t>
  </si>
  <si>
    <t>Saldos totais</t>
  </si>
  <si>
    <t>Evolução histórica desde a fundação - MAR/2015</t>
  </si>
  <si>
    <r>
      <t xml:space="preserve">Q - </t>
    </r>
    <r>
      <rPr>
        <sz val="10"/>
        <color theme="1"/>
        <rFont val="Calibri"/>
        <family val="2"/>
        <scheme val="minor"/>
      </rPr>
      <t>Quantidade acumulada</t>
    </r>
  </si>
  <si>
    <r>
      <t xml:space="preserve">E - </t>
    </r>
    <r>
      <rPr>
        <sz val="10"/>
        <color theme="1"/>
        <rFont val="Calibri"/>
        <family val="2"/>
        <scheme val="minor"/>
      </rPr>
      <t>Entraram na ANIPA</t>
    </r>
  </si>
  <si>
    <t>(1) A serviço ou representação da ANIPA</t>
  </si>
  <si>
    <t>FEV</t>
  </si>
  <si>
    <t>Softwares (Office, Antivírus, Adobe mensal, Zoom)</t>
  </si>
  <si>
    <t>Acumulado 2024</t>
  </si>
  <si>
    <t>Certificado Segurança Site / Certificado Digital / Assinatura Digital / e-CNPJ</t>
  </si>
  <si>
    <t>Apoio a mobilizações</t>
  </si>
  <si>
    <t xml:space="preserve">Desenv/Serviço Sist Eleição Virtual </t>
  </si>
  <si>
    <r>
      <t>Despesas com Juros/Outras despesas financeiras</t>
    </r>
    <r>
      <rPr>
        <sz val="8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 </t>
    </r>
  </si>
  <si>
    <t>Caixa FI MEGA REF DI LP</t>
  </si>
  <si>
    <t>CDB Flex Empresarial</t>
  </si>
  <si>
    <t>Acumulado 2025</t>
  </si>
  <si>
    <t>Despesas Acumuladas até 2024</t>
  </si>
  <si>
    <t>Manutenção/Aperfeiçoamento do Site Antigo</t>
  </si>
  <si>
    <t>Manutenção/Hospedagem/Aperfeiçoamento Site Novo</t>
  </si>
  <si>
    <t xml:space="preserve">Manutenção/Aperfeiçoamento Sistema de Cadastros  </t>
  </si>
  <si>
    <t>Computadores 5, impressoras 2, celular 2, webcam 1/Manutenção</t>
  </si>
  <si>
    <t>Manutenção sala (pintura, consertos)</t>
  </si>
  <si>
    <r>
      <t xml:space="preserve">CONTROLE FINANCEIRO 2025
</t>
    </r>
    <r>
      <rPr>
        <b/>
        <sz val="12"/>
        <rFont val="Calibri"/>
        <family val="2"/>
        <scheme val="minor"/>
      </rPr>
      <t>Posição FEVEREIRO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</si>
</sst>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</font>
    <font>
      <sz val="10"/>
      <color indexed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B0B0B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rgb="FF9ECA80"/>
        <bgColor indexed="64"/>
      </patternFill>
    </fill>
    <fill>
      <patternFill patternType="solid">
        <fgColor rgb="FFC2D1E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BC9FF"/>
        <bgColor indexed="64"/>
      </patternFill>
    </fill>
    <fill>
      <patternFill patternType="solid">
        <fgColor rgb="FFC4A7FF"/>
        <bgColor indexed="64"/>
      </patternFill>
    </fill>
    <fill>
      <patternFill patternType="solid">
        <fgColor rgb="FFF2E5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3">
    <xf numFmtId="0" fontId="0" fillId="0" borderId="0" xfId="0"/>
    <xf numFmtId="4" fontId="0" fillId="0" borderId="1" xfId="0" applyNumberFormat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4" fillId="4" borderId="1" xfId="0" applyFont="1" applyFill="1" applyBorder="1"/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/>
    <xf numFmtId="0" fontId="4" fillId="3" borderId="1" xfId="0" applyFont="1" applyFill="1" applyBorder="1"/>
    <xf numFmtId="0" fontId="3" fillId="7" borderId="1" xfId="0" applyFont="1" applyFill="1" applyBorder="1"/>
    <xf numFmtId="0" fontId="6" fillId="2" borderId="1" xfId="0" applyFont="1" applyFill="1" applyBorder="1" applyAlignment="1" applyProtection="1">
      <alignment horizontal="center"/>
      <protection locked="0"/>
    </xf>
    <xf numFmtId="0" fontId="7" fillId="8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Protection="1">
      <protection locked="0"/>
    </xf>
    <xf numFmtId="0" fontId="4" fillId="0" borderId="1" xfId="0" applyFont="1" applyBorder="1" applyProtection="1">
      <protection locked="0"/>
    </xf>
    <xf numFmtId="0" fontId="4" fillId="4" borderId="1" xfId="0" applyFont="1" applyFill="1" applyBorder="1" applyProtection="1">
      <protection locked="0"/>
    </xf>
    <xf numFmtId="0" fontId="5" fillId="4" borderId="1" xfId="0" applyFont="1" applyFill="1" applyBorder="1" applyAlignment="1" applyProtection="1">
      <alignment horizontal="left"/>
      <protection locked="0"/>
    </xf>
    <xf numFmtId="0" fontId="3" fillId="9" borderId="1" xfId="0" applyFont="1" applyFill="1" applyBorder="1" applyAlignment="1" applyProtection="1">
      <alignment horizontal="center"/>
      <protection locked="0"/>
    </xf>
    <xf numFmtId="0" fontId="7" fillId="7" borderId="1" xfId="0" applyFont="1" applyFill="1" applyBorder="1" applyAlignment="1" applyProtection="1">
      <alignment horizontal="center"/>
      <protection locked="0"/>
    </xf>
    <xf numFmtId="0" fontId="7" fillId="9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3" fillId="10" borderId="1" xfId="0" applyFont="1" applyFill="1" applyBorder="1" applyAlignment="1">
      <alignment horizontal="center"/>
    </xf>
    <xf numFmtId="0" fontId="9" fillId="0" borderId="0" xfId="0" applyFont="1"/>
    <xf numFmtId="0" fontId="3" fillId="0" borderId="0" xfId="0" applyFont="1"/>
    <xf numFmtId="0" fontId="10" fillId="0" borderId="0" xfId="0" applyFont="1"/>
    <xf numFmtId="0" fontId="2" fillId="8" borderId="1" xfId="0" applyFont="1" applyFill="1" applyBorder="1" applyAlignment="1">
      <alignment horizontal="center"/>
    </xf>
    <xf numFmtId="4" fontId="0" fillId="3" borderId="6" xfId="0" applyNumberFormat="1" applyFill="1" applyBorder="1"/>
    <xf numFmtId="4" fontId="2" fillId="7" borderId="6" xfId="0" applyNumberFormat="1" applyFont="1" applyFill="1" applyBorder="1"/>
    <xf numFmtId="0" fontId="0" fillId="3" borderId="1" xfId="0" applyFill="1" applyBorder="1"/>
    <xf numFmtId="0" fontId="2" fillId="11" borderId="1" xfId="0" applyFont="1" applyFill="1" applyBorder="1" applyAlignment="1">
      <alignment horizontal="center"/>
    </xf>
    <xf numFmtId="9" fontId="2" fillId="10" borderId="1" xfId="1" applyFont="1" applyFill="1" applyBorder="1" applyAlignment="1">
      <alignment horizontal="center" vertical="center"/>
    </xf>
    <xf numFmtId="4" fontId="2" fillId="8" borderId="1" xfId="0" applyNumberFormat="1" applyFont="1" applyFill="1" applyBorder="1" applyAlignment="1">
      <alignment horizontal="center"/>
    </xf>
    <xf numFmtId="4" fontId="0" fillId="0" borderId="1" xfId="0" applyNumberFormat="1" applyBorder="1"/>
    <xf numFmtId="4" fontId="2" fillId="11" borderId="1" xfId="0" applyNumberFormat="1" applyFont="1" applyFill="1" applyBorder="1" applyAlignment="1">
      <alignment horizontal="center"/>
    </xf>
    <xf numFmtId="4" fontId="0" fillId="13" borderId="1" xfId="0" applyNumberFormat="1" applyFill="1" applyBorder="1" applyAlignment="1">
      <alignment horizontal="right"/>
    </xf>
    <xf numFmtId="4" fontId="2" fillId="12" borderId="1" xfId="0" applyNumberFormat="1" applyFont="1" applyFill="1" applyBorder="1" applyAlignment="1">
      <alignment horizontal="right"/>
    </xf>
    <xf numFmtId="4" fontId="0" fillId="3" borderId="1" xfId="0" applyNumberFormat="1" applyFill="1" applyBorder="1"/>
    <xf numFmtId="4" fontId="2" fillId="7" borderId="1" xfId="0" applyNumberFormat="1" applyFont="1" applyFill="1" applyBorder="1"/>
    <xf numFmtId="3" fontId="0" fillId="3" borderId="1" xfId="0" applyNumberFormat="1" applyFill="1" applyBorder="1"/>
    <xf numFmtId="3" fontId="0" fillId="0" borderId="1" xfId="0" applyNumberFormat="1" applyBorder="1" applyAlignment="1">
      <alignment horizontal="right"/>
    </xf>
    <xf numFmtId="3" fontId="2" fillId="12" borderId="1" xfId="0" applyNumberFormat="1" applyFont="1" applyFill="1" applyBorder="1" applyAlignment="1">
      <alignment horizontal="right"/>
    </xf>
    <xf numFmtId="3" fontId="0" fillId="13" borderId="1" xfId="0" applyNumberFormat="1" applyFill="1" applyBorder="1" applyAlignment="1">
      <alignment horizontal="right"/>
    </xf>
    <xf numFmtId="10" fontId="0" fillId="0" borderId="1" xfId="1" applyNumberFormat="1" applyFont="1" applyBorder="1" applyAlignment="1">
      <alignment horizontal="right"/>
    </xf>
    <xf numFmtId="10" fontId="0" fillId="4" borderId="1" xfId="1" applyNumberFormat="1" applyFont="1" applyFill="1" applyBorder="1"/>
    <xf numFmtId="10" fontId="0" fillId="3" borderId="1" xfId="1" applyNumberFormat="1" applyFont="1" applyFill="1" applyBorder="1"/>
    <xf numFmtId="10" fontId="2" fillId="12" borderId="1" xfId="1" applyNumberFormat="1" applyFont="1" applyFill="1" applyBorder="1" applyAlignment="1">
      <alignment horizontal="right"/>
    </xf>
    <xf numFmtId="9" fontId="0" fillId="9" borderId="1" xfId="1" applyFont="1" applyFill="1" applyBorder="1" applyAlignment="1">
      <alignment horizontal="right"/>
    </xf>
    <xf numFmtId="10" fontId="0" fillId="8" borderId="1" xfId="1" applyNumberFormat="1" applyFont="1" applyFill="1" applyBorder="1" applyAlignment="1">
      <alignment horizontal="right"/>
    </xf>
    <xf numFmtId="10" fontId="2" fillId="8" borderId="2" xfId="1" applyNumberFormat="1" applyFont="1" applyFill="1" applyBorder="1" applyAlignment="1">
      <alignment horizontal="right" vertical="center"/>
    </xf>
    <xf numFmtId="0" fontId="16" fillId="0" borderId="0" xfId="0" applyFont="1"/>
    <xf numFmtId="4" fontId="0" fillId="0" borderId="0" xfId="0" applyNumberFormat="1"/>
    <xf numFmtId="0" fontId="17" fillId="0" borderId="0" xfId="0" applyFont="1"/>
    <xf numFmtId="0" fontId="18" fillId="4" borderId="4" xfId="0" applyFont="1" applyFill="1" applyBorder="1"/>
    <xf numFmtId="49" fontId="19" fillId="4" borderId="1" xfId="0" applyNumberFormat="1" applyFont="1" applyFill="1" applyBorder="1" applyAlignment="1">
      <alignment horizontal="left"/>
    </xf>
    <xf numFmtId="0" fontId="18" fillId="4" borderId="1" xfId="0" applyFont="1" applyFill="1" applyBorder="1"/>
    <xf numFmtId="0" fontId="4" fillId="3" borderId="1" xfId="0" applyFont="1" applyFill="1" applyBorder="1" applyProtection="1">
      <protection locked="0"/>
    </xf>
    <xf numFmtId="0" fontId="5" fillId="3" borderId="1" xfId="0" applyFont="1" applyFill="1" applyBorder="1" applyProtection="1">
      <protection locked="0"/>
    </xf>
    <xf numFmtId="10" fontId="0" fillId="3" borderId="1" xfId="1" applyNumberFormat="1" applyFont="1" applyFill="1" applyBorder="1" applyAlignment="1">
      <alignment horizontal="right"/>
    </xf>
    <xf numFmtId="0" fontId="5" fillId="3" borderId="1" xfId="0" applyFont="1" applyFill="1" applyBorder="1" applyAlignment="1" applyProtection="1">
      <alignment horizontal="left"/>
      <protection locked="0"/>
    </xf>
    <xf numFmtId="4" fontId="0" fillId="0" borderId="4" xfId="0" applyNumberForma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3" fontId="2" fillId="7" borderId="4" xfId="0" applyNumberFormat="1" applyFont="1" applyFill="1" applyBorder="1" applyAlignment="1">
      <alignment horizontal="center"/>
    </xf>
    <xf numFmtId="4" fontId="5" fillId="3" borderId="4" xfId="0" applyNumberFormat="1" applyFont="1" applyFill="1" applyBorder="1" applyAlignment="1">
      <alignment horizontal="right"/>
    </xf>
    <xf numFmtId="4" fontId="5" fillId="3" borderId="5" xfId="0" applyNumberFormat="1" applyFont="1" applyFill="1" applyBorder="1" applyAlignment="1">
      <alignment horizontal="right"/>
    </xf>
    <xf numFmtId="4" fontId="5" fillId="3" borderId="6" xfId="0" applyNumberFormat="1" applyFont="1" applyFill="1" applyBorder="1" applyAlignment="1">
      <alignment horizontal="right"/>
    </xf>
    <xf numFmtId="4" fontId="2" fillId="8" borderId="4" xfId="0" applyNumberFormat="1" applyFont="1" applyFill="1" applyBorder="1" applyAlignment="1">
      <alignment horizontal="right"/>
    </xf>
    <xf numFmtId="4" fontId="2" fillId="8" borderId="5" xfId="0" applyNumberFormat="1" applyFont="1" applyFill="1" applyBorder="1" applyAlignment="1">
      <alignment horizontal="right"/>
    </xf>
    <xf numFmtId="4" fontId="2" fillId="8" borderId="6" xfId="0" applyNumberFormat="1" applyFont="1" applyFill="1" applyBorder="1" applyAlignment="1">
      <alignment horizontal="right"/>
    </xf>
    <xf numFmtId="4" fontId="4" fillId="3" borderId="4" xfId="0" applyNumberFormat="1" applyFont="1" applyFill="1" applyBorder="1" applyAlignment="1">
      <alignment horizontal="right"/>
    </xf>
    <xf numFmtId="4" fontId="4" fillId="3" borderId="5" xfId="0" applyNumberFormat="1" applyFont="1" applyFill="1" applyBorder="1" applyAlignment="1">
      <alignment horizontal="right"/>
    </xf>
    <xf numFmtId="4" fontId="4" fillId="3" borderId="6" xfId="0" applyNumberFormat="1" applyFont="1" applyFill="1" applyBorder="1" applyAlignment="1">
      <alignment horizontal="right"/>
    </xf>
    <xf numFmtId="0" fontId="2" fillId="7" borderId="6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4" fontId="4" fillId="0" borderId="4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4" fillId="0" borderId="6" xfId="0" applyNumberFormat="1" applyFont="1" applyBorder="1" applyAlignment="1">
      <alignment horizontal="right"/>
    </xf>
    <xf numFmtId="0" fontId="14" fillId="0" borderId="0" xfId="0" applyFont="1" applyAlignment="1">
      <alignment horizontal="center"/>
    </xf>
    <xf numFmtId="0" fontId="14" fillId="0" borderId="9" xfId="0" applyFont="1" applyBorder="1" applyAlignment="1">
      <alignment horizontal="center"/>
    </xf>
    <xf numFmtId="0" fontId="13" fillId="14" borderId="7" xfId="0" applyFont="1" applyFill="1" applyBorder="1" applyAlignment="1">
      <alignment horizontal="center" vertical="center" wrapText="1"/>
    </xf>
    <xf numFmtId="0" fontId="13" fillId="14" borderId="8" xfId="0" applyFont="1" applyFill="1" applyBorder="1" applyAlignment="1">
      <alignment horizontal="center" vertical="center" wrapText="1"/>
    </xf>
    <xf numFmtId="0" fontId="13" fillId="14" borderId="10" xfId="0" applyFont="1" applyFill="1" applyBorder="1" applyAlignment="1">
      <alignment horizontal="center" vertical="center" wrapText="1"/>
    </xf>
    <xf numFmtId="0" fontId="13" fillId="14" borderId="11" xfId="0" applyFont="1" applyFill="1" applyBorder="1" applyAlignment="1">
      <alignment horizontal="center" vertical="center" wrapText="1"/>
    </xf>
    <xf numFmtId="0" fontId="13" fillId="14" borderId="9" xfId="0" applyFont="1" applyFill="1" applyBorder="1" applyAlignment="1">
      <alignment horizontal="center" vertical="center" wrapText="1"/>
    </xf>
    <xf numFmtId="0" fontId="13" fillId="14" borderId="12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right"/>
    </xf>
    <xf numFmtId="4" fontId="2" fillId="3" borderId="1" xfId="0" applyNumberFormat="1" applyFont="1" applyFill="1" applyBorder="1" applyAlignment="1">
      <alignment horizontal="right"/>
    </xf>
    <xf numFmtId="0" fontId="2" fillId="8" borderId="4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2" fillId="10" borderId="4" xfId="0" applyFont="1" applyFill="1" applyBorder="1" applyAlignment="1">
      <alignment horizontal="center"/>
    </xf>
    <xf numFmtId="0" fontId="2" fillId="10" borderId="5" xfId="0" applyFont="1" applyFill="1" applyBorder="1" applyAlignment="1">
      <alignment horizontal="center"/>
    </xf>
    <xf numFmtId="0" fontId="2" fillId="10" borderId="6" xfId="0" applyFont="1" applyFill="1" applyBorder="1" applyAlignment="1">
      <alignment horizontal="center"/>
    </xf>
    <xf numFmtId="4" fontId="2" fillId="5" borderId="1" xfId="0" applyNumberFormat="1" applyFont="1" applyFill="1" applyBorder="1" applyAlignment="1">
      <alignment horizontal="right"/>
    </xf>
    <xf numFmtId="4" fontId="0" fillId="6" borderId="1" xfId="0" applyNumberFormat="1" applyFill="1" applyBorder="1" applyAlignment="1">
      <alignment horizontal="right"/>
    </xf>
    <xf numFmtId="4" fontId="0" fillId="5" borderId="1" xfId="0" applyNumberFormat="1" applyFill="1" applyBorder="1" applyAlignment="1">
      <alignment horizontal="right"/>
    </xf>
    <xf numFmtId="4" fontId="3" fillId="9" borderId="4" xfId="0" applyNumberFormat="1" applyFont="1" applyFill="1" applyBorder="1" applyAlignment="1">
      <alignment horizontal="right"/>
    </xf>
    <xf numFmtId="4" fontId="3" fillId="9" borderId="5" xfId="0" applyNumberFormat="1" applyFont="1" applyFill="1" applyBorder="1" applyAlignment="1">
      <alignment horizontal="right"/>
    </xf>
    <xf numFmtId="4" fontId="3" fillId="9" borderId="6" xfId="0" applyNumberFormat="1" applyFont="1" applyFill="1" applyBorder="1" applyAlignment="1">
      <alignment horizontal="right"/>
    </xf>
    <xf numFmtId="4" fontId="7" fillId="7" borderId="4" xfId="0" applyNumberFormat="1" applyFont="1" applyFill="1" applyBorder="1" applyAlignment="1">
      <alignment horizontal="right"/>
    </xf>
    <xf numFmtId="4" fontId="7" fillId="7" borderId="5" xfId="0" applyNumberFormat="1" applyFont="1" applyFill="1" applyBorder="1" applyAlignment="1">
      <alignment horizontal="right"/>
    </xf>
    <xf numFmtId="4" fontId="7" fillId="7" borderId="6" xfId="0" applyNumberFormat="1" applyFont="1" applyFill="1" applyBorder="1" applyAlignment="1">
      <alignment horizontal="right"/>
    </xf>
    <xf numFmtId="4" fontId="7" fillId="9" borderId="1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0" fontId="2" fillId="4" borderId="4" xfId="0" applyFont="1" applyFill="1" applyBorder="1" applyAlignment="1">
      <alignment horizontal="right"/>
    </xf>
    <xf numFmtId="0" fontId="2" fillId="4" borderId="5" xfId="0" applyFont="1" applyFill="1" applyBorder="1" applyAlignment="1">
      <alignment horizontal="right"/>
    </xf>
    <xf numFmtId="0" fontId="2" fillId="4" borderId="6" xfId="0" applyFont="1" applyFill="1" applyBorder="1" applyAlignment="1">
      <alignment horizontal="right"/>
    </xf>
    <xf numFmtId="0" fontId="2" fillId="5" borderId="4" xfId="0" applyFont="1" applyFill="1" applyBorder="1" applyAlignment="1">
      <alignment horizontal="right"/>
    </xf>
    <xf numFmtId="0" fontId="2" fillId="5" borderId="5" xfId="0" applyFont="1" applyFill="1" applyBorder="1" applyAlignment="1">
      <alignment horizontal="right"/>
    </xf>
    <xf numFmtId="0" fontId="2" fillId="5" borderId="6" xfId="0" applyFont="1" applyFill="1" applyBorder="1" applyAlignment="1">
      <alignment horizontal="right"/>
    </xf>
    <xf numFmtId="0" fontId="2" fillId="6" borderId="4" xfId="0" applyFont="1" applyFill="1" applyBorder="1" applyAlignment="1">
      <alignment horizontal="right"/>
    </xf>
    <xf numFmtId="0" fontId="2" fillId="6" borderId="5" xfId="0" applyFont="1" applyFill="1" applyBorder="1" applyAlignment="1">
      <alignment horizontal="right"/>
    </xf>
    <xf numFmtId="0" fontId="2" fillId="6" borderId="6" xfId="0" applyFont="1" applyFill="1" applyBorder="1" applyAlignment="1">
      <alignment horizontal="right"/>
    </xf>
    <xf numFmtId="0" fontId="0" fillId="5" borderId="4" xfId="0" applyFill="1" applyBorder="1" applyAlignment="1">
      <alignment horizontal="right"/>
    </xf>
    <xf numFmtId="0" fontId="0" fillId="5" borderId="5" xfId="0" applyFill="1" applyBorder="1" applyAlignment="1">
      <alignment horizontal="right"/>
    </xf>
    <xf numFmtId="0" fontId="0" fillId="5" borderId="6" xfId="0" applyFill="1" applyBorder="1" applyAlignment="1">
      <alignment horizontal="right"/>
    </xf>
    <xf numFmtId="4" fontId="2" fillId="10" borderId="1" xfId="0" applyNumberFormat="1" applyFont="1" applyFill="1" applyBorder="1" applyAlignment="1">
      <alignment horizontal="right"/>
    </xf>
    <xf numFmtId="3" fontId="0" fillId="3" borderId="1" xfId="0" applyNumberFormat="1" applyFill="1" applyBorder="1" applyAlignment="1">
      <alignment horizontal="center"/>
    </xf>
    <xf numFmtId="3" fontId="2" fillId="7" borderId="1" xfId="0" applyNumberFormat="1" applyFont="1" applyFill="1" applyBorder="1" applyAlignment="1">
      <alignment horizontal="center"/>
    </xf>
    <xf numFmtId="4" fontId="2" fillId="9" borderId="4" xfId="0" applyNumberFormat="1" applyFont="1" applyFill="1" applyBorder="1" applyAlignment="1">
      <alignment horizontal="right"/>
    </xf>
    <xf numFmtId="4" fontId="2" fillId="9" borderId="5" xfId="0" applyNumberFormat="1" applyFont="1" applyFill="1" applyBorder="1" applyAlignment="1">
      <alignment horizontal="right"/>
    </xf>
    <xf numFmtId="4" fontId="2" fillId="9" borderId="6" xfId="0" applyNumberFormat="1" applyFont="1" applyFill="1" applyBorder="1" applyAlignment="1">
      <alignment horizontal="right"/>
    </xf>
    <xf numFmtId="4" fontId="2" fillId="7" borderId="4" xfId="0" applyNumberFormat="1" applyFont="1" applyFill="1" applyBorder="1" applyAlignment="1">
      <alignment horizontal="right"/>
    </xf>
    <xf numFmtId="4" fontId="2" fillId="7" borderId="5" xfId="0" applyNumberFormat="1" applyFont="1" applyFill="1" applyBorder="1" applyAlignment="1">
      <alignment horizontal="right"/>
    </xf>
    <xf numFmtId="4" fontId="2" fillId="7" borderId="6" xfId="0" applyNumberFormat="1" applyFont="1" applyFill="1" applyBorder="1" applyAlignment="1">
      <alignment horizontal="right"/>
    </xf>
    <xf numFmtId="4" fontId="0" fillId="3" borderId="4" xfId="0" applyNumberFormat="1" applyFill="1" applyBorder="1" applyAlignment="1">
      <alignment horizontal="right"/>
    </xf>
    <xf numFmtId="4" fontId="0" fillId="3" borderId="5" xfId="0" applyNumberFormat="1" applyFill="1" applyBorder="1" applyAlignment="1">
      <alignment horizontal="right"/>
    </xf>
    <xf numFmtId="4" fontId="0" fillId="3" borderId="6" xfId="0" applyNumberFormat="1" applyFill="1" applyBorder="1" applyAlignment="1">
      <alignment horizontal="right"/>
    </xf>
    <xf numFmtId="4" fontId="2" fillId="7" borderId="1" xfId="0" applyNumberFormat="1" applyFont="1" applyFill="1" applyBorder="1" applyAlignment="1">
      <alignment horizontal="right"/>
    </xf>
    <xf numFmtId="4" fontId="5" fillId="4" borderId="1" xfId="0" applyNumberFormat="1" applyFont="1" applyFill="1" applyBorder="1" applyAlignment="1">
      <alignment horizontal="right"/>
    </xf>
    <xf numFmtId="4" fontId="2" fillId="11" borderId="4" xfId="0" applyNumberFormat="1" applyFont="1" applyFill="1" applyBorder="1" applyAlignment="1">
      <alignment horizontal="right"/>
    </xf>
    <xf numFmtId="4" fontId="2" fillId="11" borderId="6" xfId="0" applyNumberFormat="1" applyFont="1" applyFill="1" applyBorder="1" applyAlignment="1">
      <alignment horizontal="right"/>
    </xf>
    <xf numFmtId="4" fontId="5" fillId="4" borderId="4" xfId="0" applyNumberFormat="1" applyFont="1" applyFill="1" applyBorder="1" applyAlignment="1">
      <alignment horizontal="right"/>
    </xf>
    <xf numFmtId="4" fontId="5" fillId="4" borderId="6" xfId="0" applyNumberFormat="1" applyFont="1" applyFill="1" applyBorder="1" applyAlignment="1">
      <alignment horizontal="right"/>
    </xf>
    <xf numFmtId="4" fontId="4" fillId="4" borderId="1" xfId="0" applyNumberFormat="1" applyFont="1" applyFill="1" applyBorder="1" applyAlignment="1">
      <alignment horizontal="right"/>
    </xf>
    <xf numFmtId="4" fontId="5" fillId="3" borderId="1" xfId="0" applyNumberFormat="1" applyFont="1" applyFill="1" applyBorder="1" applyAlignment="1">
      <alignment horizontal="right"/>
    </xf>
    <xf numFmtId="4" fontId="2" fillId="12" borderId="4" xfId="0" applyNumberFormat="1" applyFont="1" applyFill="1" applyBorder="1" applyAlignment="1">
      <alignment horizontal="right"/>
    </xf>
    <xf numFmtId="4" fontId="2" fillId="12" borderId="6" xfId="0" applyNumberFormat="1" applyFont="1" applyFill="1" applyBorder="1" applyAlignment="1">
      <alignment horizontal="right"/>
    </xf>
    <xf numFmtId="4" fontId="2" fillId="14" borderId="1" xfId="0" applyNumberFormat="1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/>
    </xf>
    <xf numFmtId="0" fontId="7" fillId="12" borderId="4" xfId="0" applyFont="1" applyFill="1" applyBorder="1" applyAlignment="1">
      <alignment horizontal="center"/>
    </xf>
    <xf numFmtId="0" fontId="7" fillId="12" borderId="6" xfId="0" applyFont="1" applyFill="1" applyBorder="1" applyAlignment="1">
      <alignment horizontal="center"/>
    </xf>
    <xf numFmtId="0" fontId="12" fillId="10" borderId="2" xfId="0" applyFont="1" applyFill="1" applyBorder="1" applyAlignment="1">
      <alignment horizontal="center" vertical="center"/>
    </xf>
    <xf numFmtId="0" fontId="12" fillId="10" borderId="3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15" fillId="9" borderId="1" xfId="0" applyFont="1" applyFill="1" applyBorder="1" applyAlignment="1">
      <alignment horizontal="center" vertical="center"/>
    </xf>
    <xf numFmtId="4" fontId="2" fillId="11" borderId="1" xfId="0" applyNumberFormat="1" applyFont="1" applyFill="1" applyBorder="1" applyAlignment="1">
      <alignment horizontal="right"/>
    </xf>
    <xf numFmtId="0" fontId="7" fillId="12" borderId="1" xfId="0" applyFont="1" applyFill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190000</xdr:colOff>
      <xdr:row>3</xdr:row>
      <xdr:rowOff>105215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CE3818C-3D7E-8E73-4A53-03AB92190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419475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B4630-5D09-475E-9573-03E70CEF9D42}">
  <dimension ref="A1:P113"/>
  <sheetViews>
    <sheetView tabSelected="1" zoomScaleNormal="100" workbookViewId="0">
      <pane xSplit="1" topLeftCell="B1" activePane="topRight" state="frozen"/>
      <selection activeCell="A76" sqref="A76"/>
      <selection pane="topRight" activeCell="M7" sqref="M7"/>
    </sheetView>
  </sheetViews>
  <sheetFormatPr defaultRowHeight="15" x14ac:dyDescent="0.25"/>
  <cols>
    <col min="1" max="1" width="61.140625" customWidth="1"/>
    <col min="2" max="3" width="5" customWidth="1"/>
    <col min="4" max="4" width="12.5703125" bestFit="1" customWidth="1"/>
    <col min="5" max="6" width="5" customWidth="1"/>
    <col min="7" max="7" width="9.85546875" bestFit="1" customWidth="1"/>
    <col min="8" max="9" width="5" customWidth="1"/>
    <col min="10" max="10" width="11.7109375" bestFit="1" customWidth="1"/>
    <col min="11" max="12" width="5" customWidth="1"/>
    <col min="13" max="13" width="11.7109375" bestFit="1" customWidth="1"/>
    <col min="16" max="16" width="12.7109375" bestFit="1" customWidth="1"/>
    <col min="17" max="17" width="4.140625" customWidth="1"/>
  </cols>
  <sheetData>
    <row r="1" spans="1:16" x14ac:dyDescent="0.2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x14ac:dyDescent="0.2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6" x14ac:dyDescent="0.2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</row>
    <row r="4" spans="1:16" x14ac:dyDescent="0.25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</row>
    <row r="5" spans="1:16" x14ac:dyDescent="0.25">
      <c r="A5" s="80" t="s">
        <v>104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2"/>
    </row>
    <row r="6" spans="1:16" ht="24" customHeight="1" x14ac:dyDescent="0.25">
      <c r="A6" s="83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5"/>
    </row>
    <row r="9" spans="1:16" x14ac:dyDescent="0.25">
      <c r="A9" s="149"/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</row>
    <row r="11" spans="1:16" x14ac:dyDescent="0.25">
      <c r="A11" s="2" t="s">
        <v>0</v>
      </c>
      <c r="B11" s="90" t="s">
        <v>90</v>
      </c>
      <c r="C11" s="91"/>
      <c r="D11" s="92"/>
      <c r="E11" s="74" t="s">
        <v>1</v>
      </c>
      <c r="F11" s="74"/>
      <c r="G11" s="74"/>
      <c r="H11" s="74" t="s">
        <v>88</v>
      </c>
      <c r="I11" s="74"/>
      <c r="J11" s="74"/>
      <c r="K11" s="74" t="s">
        <v>97</v>
      </c>
      <c r="L11" s="74"/>
      <c r="M11" s="74"/>
      <c r="N11" s="152" t="s">
        <v>2</v>
      </c>
      <c r="O11" s="152"/>
      <c r="P11" s="152"/>
    </row>
    <row r="12" spans="1:16" x14ac:dyDescent="0.25">
      <c r="A12" s="3" t="s">
        <v>3</v>
      </c>
      <c r="B12" s="87">
        <v>9586.0300000000007</v>
      </c>
      <c r="C12" s="87"/>
      <c r="D12" s="87"/>
      <c r="E12" s="106"/>
      <c r="F12" s="107"/>
      <c r="G12" s="108"/>
      <c r="H12" s="106"/>
      <c r="I12" s="107"/>
      <c r="J12" s="108"/>
      <c r="K12" s="106"/>
      <c r="L12" s="107"/>
      <c r="M12" s="108"/>
      <c r="N12" s="87">
        <v>9586.0300000000007</v>
      </c>
      <c r="O12" s="87"/>
      <c r="P12" s="87"/>
    </row>
    <row r="13" spans="1:16" x14ac:dyDescent="0.25">
      <c r="A13" s="4" t="s">
        <v>4</v>
      </c>
      <c r="B13" s="86">
        <v>13836</v>
      </c>
      <c r="C13" s="86"/>
      <c r="D13" s="86"/>
      <c r="E13" s="109"/>
      <c r="F13" s="110"/>
      <c r="G13" s="111"/>
      <c r="H13" s="109"/>
      <c r="I13" s="110"/>
      <c r="J13" s="111"/>
      <c r="K13" s="106"/>
      <c r="L13" s="107"/>
      <c r="M13" s="108"/>
      <c r="N13" s="86"/>
      <c r="O13" s="86"/>
      <c r="P13" s="86"/>
    </row>
    <row r="14" spans="1:16" x14ac:dyDescent="0.25">
      <c r="A14" s="4" t="s">
        <v>5</v>
      </c>
      <c r="B14" s="86">
        <v>642.76</v>
      </c>
      <c r="C14" s="86"/>
      <c r="D14" s="86"/>
      <c r="E14" s="109"/>
      <c r="F14" s="110"/>
      <c r="G14" s="111"/>
      <c r="H14" s="109"/>
      <c r="I14" s="110"/>
      <c r="J14" s="111"/>
      <c r="K14" s="106"/>
      <c r="L14" s="107"/>
      <c r="M14" s="108"/>
      <c r="N14" s="86"/>
      <c r="O14" s="86"/>
      <c r="P14" s="86"/>
    </row>
    <row r="15" spans="1:16" x14ac:dyDescent="0.25">
      <c r="A15" s="4" t="s">
        <v>6</v>
      </c>
      <c r="B15" s="86">
        <v>-4892.7299999999996</v>
      </c>
      <c r="C15" s="86"/>
      <c r="D15" s="86"/>
      <c r="E15" s="109"/>
      <c r="F15" s="110"/>
      <c r="G15" s="111"/>
      <c r="H15" s="109"/>
      <c r="I15" s="110"/>
      <c r="J15" s="111"/>
      <c r="K15" s="106"/>
      <c r="L15" s="107"/>
      <c r="M15" s="108"/>
      <c r="N15" s="86"/>
      <c r="O15" s="86"/>
      <c r="P15" s="86"/>
    </row>
    <row r="16" spans="1:16" x14ac:dyDescent="0.25">
      <c r="A16" s="5" t="s">
        <v>7</v>
      </c>
      <c r="B16" s="95">
        <f>9053524.64</f>
        <v>9053524.6400000006</v>
      </c>
      <c r="C16" s="95"/>
      <c r="D16" s="95"/>
      <c r="E16" s="112"/>
      <c r="F16" s="113"/>
      <c r="G16" s="114"/>
      <c r="H16" s="112"/>
      <c r="I16" s="113"/>
      <c r="J16" s="114"/>
      <c r="K16" s="112"/>
      <c r="L16" s="113"/>
      <c r="M16" s="114"/>
      <c r="N16" s="95">
        <f>P27</f>
        <v>9572543.3000000007</v>
      </c>
      <c r="O16" s="95"/>
      <c r="P16" s="95"/>
    </row>
    <row r="17" spans="1:16" x14ac:dyDescent="0.25">
      <c r="A17" s="6" t="s">
        <v>8</v>
      </c>
      <c r="B17" s="94">
        <f>4734380.64</f>
        <v>4734380.6399999997</v>
      </c>
      <c r="C17" s="94"/>
      <c r="D17" s="94"/>
      <c r="E17" s="115"/>
      <c r="F17" s="116"/>
      <c r="G17" s="117"/>
      <c r="H17" s="115"/>
      <c r="I17" s="116"/>
      <c r="J17" s="117"/>
      <c r="K17" s="115"/>
      <c r="L17" s="116"/>
      <c r="M17" s="117"/>
      <c r="N17" s="94">
        <f>O99</f>
        <v>5320331.790000001</v>
      </c>
      <c r="O17" s="94"/>
      <c r="P17" s="94"/>
    </row>
    <row r="18" spans="1:16" x14ac:dyDescent="0.25">
      <c r="A18" s="5" t="s">
        <v>9</v>
      </c>
      <c r="B18" s="93">
        <f>B16-B17</f>
        <v>4319144.0000000009</v>
      </c>
      <c r="C18" s="93"/>
      <c r="D18" s="93"/>
      <c r="E18" s="118"/>
      <c r="F18" s="119"/>
      <c r="G18" s="120"/>
      <c r="H18" s="118"/>
      <c r="I18" s="119"/>
      <c r="J18" s="120"/>
      <c r="K18" s="118"/>
      <c r="L18" s="119"/>
      <c r="M18" s="120"/>
      <c r="N18" s="93">
        <f>N16-N17+N12</f>
        <v>4261797.54</v>
      </c>
      <c r="O18" s="93"/>
      <c r="P18" s="93"/>
    </row>
    <row r="21" spans="1:16" x14ac:dyDescent="0.25">
      <c r="A21" s="104" t="s">
        <v>10</v>
      </c>
      <c r="B21" s="90" t="s">
        <v>90</v>
      </c>
      <c r="C21" s="91"/>
      <c r="D21" s="92"/>
      <c r="E21" s="74" t="s">
        <v>1</v>
      </c>
      <c r="F21" s="74"/>
      <c r="G21" s="74"/>
      <c r="H21" s="74" t="s">
        <v>88</v>
      </c>
      <c r="I21" s="74"/>
      <c r="J21" s="74"/>
      <c r="K21" s="74" t="s">
        <v>97</v>
      </c>
      <c r="L21" s="74"/>
      <c r="M21" s="74"/>
      <c r="N21" s="147" t="s">
        <v>11</v>
      </c>
      <c r="O21" s="145" t="s">
        <v>2</v>
      </c>
      <c r="P21" s="146"/>
    </row>
    <row r="22" spans="1:16" x14ac:dyDescent="0.25">
      <c r="A22" s="105"/>
      <c r="B22" s="88" t="s">
        <v>12</v>
      </c>
      <c r="C22" s="89"/>
      <c r="D22" s="26" t="s">
        <v>13</v>
      </c>
      <c r="E22" s="26" t="s">
        <v>14</v>
      </c>
      <c r="F22" s="26" t="s">
        <v>15</v>
      </c>
      <c r="G22" s="32" t="s">
        <v>13</v>
      </c>
      <c r="H22" s="26" t="s">
        <v>14</v>
      </c>
      <c r="I22" s="26" t="s">
        <v>15</v>
      </c>
      <c r="J22" s="32" t="s">
        <v>13</v>
      </c>
      <c r="K22" s="26" t="s">
        <v>14</v>
      </c>
      <c r="L22" s="26" t="s">
        <v>15</v>
      </c>
      <c r="M22" s="32" t="s">
        <v>13</v>
      </c>
      <c r="N22" s="148"/>
      <c r="O22" s="30" t="s">
        <v>12</v>
      </c>
      <c r="P22" s="34" t="s">
        <v>13</v>
      </c>
    </row>
    <row r="23" spans="1:16" x14ac:dyDescent="0.25">
      <c r="A23" s="7" t="s">
        <v>16</v>
      </c>
      <c r="B23" s="122">
        <v>158</v>
      </c>
      <c r="C23" s="122"/>
      <c r="D23" s="27">
        <v>208300.66</v>
      </c>
      <c r="E23" s="29"/>
      <c r="F23" s="29"/>
      <c r="G23" s="37"/>
      <c r="H23" s="29"/>
      <c r="I23" s="29"/>
      <c r="J23" s="37"/>
      <c r="K23" s="29"/>
      <c r="L23" s="29"/>
      <c r="M23" s="33"/>
      <c r="N23" s="39"/>
      <c r="O23" s="42">
        <v>158</v>
      </c>
      <c r="P23" s="35">
        <v>208300.66</v>
      </c>
    </row>
    <row r="24" spans="1:16" x14ac:dyDescent="0.25">
      <c r="A24" s="4" t="s">
        <v>17</v>
      </c>
      <c r="B24" s="122">
        <f>7221</f>
        <v>7221</v>
      </c>
      <c r="C24" s="122"/>
      <c r="D24" s="27">
        <f>7615729.13</f>
        <v>7615729.1299999999</v>
      </c>
      <c r="E24" s="29">
        <f>-4</f>
        <v>-4</v>
      </c>
      <c r="F24" s="29">
        <f>0</f>
        <v>0</v>
      </c>
      <c r="G24" s="33">
        <f>20</f>
        <v>20</v>
      </c>
      <c r="H24" s="29">
        <f>-1</f>
        <v>-1</v>
      </c>
      <c r="I24" s="29">
        <f>0</f>
        <v>0</v>
      </c>
      <c r="J24" s="33">
        <f>20</f>
        <v>20</v>
      </c>
      <c r="K24" s="39">
        <f>E24+H24</f>
        <v>-5</v>
      </c>
      <c r="L24" s="39">
        <f>F24+I24</f>
        <v>0</v>
      </c>
      <c r="M24" s="33">
        <f>G24+J24</f>
        <v>40</v>
      </c>
      <c r="N24" s="43">
        <v>3.4008245866014308E-2</v>
      </c>
      <c r="O24" s="40">
        <f>7260+K24+L24</f>
        <v>7255</v>
      </c>
      <c r="P24" s="1">
        <f>7615729.13+M24</f>
        <v>7615769.1299999999</v>
      </c>
    </row>
    <row r="25" spans="1:16" x14ac:dyDescent="0.25">
      <c r="A25" s="8" t="s">
        <v>18</v>
      </c>
      <c r="B25" s="122"/>
      <c r="C25" s="122"/>
      <c r="D25" s="27">
        <f>1609947.68</f>
        <v>1609947.68</v>
      </c>
      <c r="E25" s="29"/>
      <c r="F25" s="29"/>
      <c r="G25" s="33">
        <f>2.65+31605.24+13505.4</f>
        <v>45113.29</v>
      </c>
      <c r="H25" s="29"/>
      <c r="I25" s="29"/>
      <c r="J25" s="33">
        <f>599.49+28930.8+12767.52</f>
        <v>42297.81</v>
      </c>
      <c r="K25" s="29"/>
      <c r="L25" s="29"/>
      <c r="M25" s="33">
        <f>G25+J25</f>
        <v>87411.1</v>
      </c>
      <c r="N25" s="44">
        <v>0.96599175413398575</v>
      </c>
      <c r="O25" s="42"/>
      <c r="P25" s="1">
        <f>1609947.68+M25</f>
        <v>1697358.78</v>
      </c>
    </row>
    <row r="26" spans="1:16" x14ac:dyDescent="0.25">
      <c r="A26" s="9" t="s">
        <v>19</v>
      </c>
      <c r="B26" s="122"/>
      <c r="C26" s="122"/>
      <c r="D26" s="27">
        <f>51114.73</f>
        <v>51114.73</v>
      </c>
      <c r="E26" s="29"/>
      <c r="F26" s="29"/>
      <c r="G26" s="37"/>
      <c r="H26" s="29"/>
      <c r="I26" s="29"/>
      <c r="J26" s="37"/>
      <c r="K26" s="29"/>
      <c r="L26" s="29"/>
      <c r="M26" s="37"/>
      <c r="N26" s="45">
        <v>0</v>
      </c>
      <c r="O26" s="42"/>
      <c r="P26" s="35">
        <f>51114.73+M26</f>
        <v>51114.73</v>
      </c>
    </row>
    <row r="27" spans="1:16" x14ac:dyDescent="0.25">
      <c r="A27" s="10" t="s">
        <v>20</v>
      </c>
      <c r="B27" s="123">
        <f>SUM(B23:C26)</f>
        <v>7379</v>
      </c>
      <c r="C27" s="123"/>
      <c r="D27" s="28">
        <f>SUM(D23:D26)</f>
        <v>9485092.2000000011</v>
      </c>
      <c r="E27" s="63">
        <f>B27+E24+F24</f>
        <v>7375</v>
      </c>
      <c r="F27" s="73"/>
      <c r="G27" s="38">
        <f>SUM(G24:G26)</f>
        <v>45133.29</v>
      </c>
      <c r="H27" s="63">
        <f>E27+H24+I24</f>
        <v>7374</v>
      </c>
      <c r="I27" s="73"/>
      <c r="J27" s="38">
        <f>SUM(J24:J26)</f>
        <v>42317.81</v>
      </c>
      <c r="K27" s="63">
        <f>B27+K24+L24</f>
        <v>7374</v>
      </c>
      <c r="L27" s="73"/>
      <c r="M27" s="38">
        <f>SUM(M24:M26)</f>
        <v>87451.1</v>
      </c>
      <c r="N27" s="46">
        <v>1</v>
      </c>
      <c r="O27" s="41">
        <f>SUM(O23:O26)</f>
        <v>7413</v>
      </c>
      <c r="P27" s="36">
        <f>SUM(P23:P26)</f>
        <v>9572543.3000000007</v>
      </c>
    </row>
    <row r="30" spans="1:16" ht="15.75" x14ac:dyDescent="0.25">
      <c r="A30" s="150" t="s">
        <v>21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</row>
    <row r="32" spans="1:16" x14ac:dyDescent="0.25">
      <c r="A32" s="11" t="s">
        <v>8</v>
      </c>
      <c r="B32" s="90" t="s">
        <v>90</v>
      </c>
      <c r="C32" s="91"/>
      <c r="D32" s="92"/>
      <c r="E32" s="74" t="s">
        <v>1</v>
      </c>
      <c r="F32" s="74"/>
      <c r="G32" s="74"/>
      <c r="H32" s="74" t="s">
        <v>88</v>
      </c>
      <c r="I32" s="74"/>
      <c r="J32" s="74"/>
      <c r="K32" s="74" t="s">
        <v>97</v>
      </c>
      <c r="L32" s="74"/>
      <c r="M32" s="74"/>
      <c r="N32" s="31" t="s">
        <v>11</v>
      </c>
      <c r="O32" s="145" t="s">
        <v>2</v>
      </c>
      <c r="P32" s="146"/>
    </row>
    <row r="33" spans="1:16" x14ac:dyDescent="0.25">
      <c r="A33" s="12" t="s">
        <v>22</v>
      </c>
      <c r="B33" s="67">
        <f>SUM(B34:D41)</f>
        <v>1213453.6299999999</v>
      </c>
      <c r="C33" s="68"/>
      <c r="D33" s="69"/>
      <c r="E33" s="67">
        <f>SUM(E34:G41)</f>
        <v>14032</v>
      </c>
      <c r="F33" s="68"/>
      <c r="G33" s="69"/>
      <c r="H33" s="67">
        <f t="shared" ref="H33" si="0">SUM(H34:J41)</f>
        <v>13764</v>
      </c>
      <c r="I33" s="68"/>
      <c r="J33" s="69"/>
      <c r="K33" s="67">
        <f>SUM(K34:M41)</f>
        <v>27796</v>
      </c>
      <c r="L33" s="68"/>
      <c r="M33" s="69"/>
      <c r="N33" s="49">
        <v>0.53162074279436378</v>
      </c>
      <c r="O33" s="135">
        <f>SUM(O34:P41)</f>
        <v>1241249.6299999999</v>
      </c>
      <c r="P33" s="136"/>
    </row>
    <row r="34" spans="1:16" x14ac:dyDescent="0.25">
      <c r="A34" s="13" t="s">
        <v>23</v>
      </c>
      <c r="B34" s="64">
        <v>86065.64</v>
      </c>
      <c r="C34" s="65"/>
      <c r="D34" s="66"/>
      <c r="E34" s="75">
        <f>0</f>
        <v>0</v>
      </c>
      <c r="F34" s="76"/>
      <c r="G34" s="77"/>
      <c r="H34" s="75">
        <f>0</f>
        <v>0</v>
      </c>
      <c r="I34" s="76"/>
      <c r="J34" s="77"/>
      <c r="K34" s="130">
        <f>0+E34+H34</f>
        <v>0</v>
      </c>
      <c r="L34" s="131"/>
      <c r="M34" s="132"/>
      <c r="N34" s="43">
        <v>0</v>
      </c>
      <c r="O34" s="134">
        <f>86065.64+K34</f>
        <v>86065.64</v>
      </c>
      <c r="P34" s="134"/>
    </row>
    <row r="35" spans="1:16" x14ac:dyDescent="0.25">
      <c r="A35" s="14" t="s">
        <v>24</v>
      </c>
      <c r="B35" s="64">
        <f>434100</f>
        <v>434100</v>
      </c>
      <c r="C35" s="65"/>
      <c r="D35" s="66"/>
      <c r="E35" s="75">
        <f>8200</f>
        <v>8200</v>
      </c>
      <c r="F35" s="76"/>
      <c r="G35" s="77"/>
      <c r="H35" s="75">
        <f>8200</f>
        <v>8200</v>
      </c>
      <c r="I35" s="76"/>
      <c r="J35" s="77"/>
      <c r="K35" s="130">
        <f t="shared" ref="K35:K41" si="1">0+E35+H35</f>
        <v>16400</v>
      </c>
      <c r="L35" s="131"/>
      <c r="M35" s="132"/>
      <c r="N35" s="43">
        <v>0.22120141863843154</v>
      </c>
      <c r="O35" s="134">
        <f>434100+K35</f>
        <v>450500</v>
      </c>
      <c r="P35" s="134"/>
    </row>
    <row r="36" spans="1:16" x14ac:dyDescent="0.25">
      <c r="A36" s="13" t="s">
        <v>25</v>
      </c>
      <c r="B36" s="64">
        <f>121442.06</f>
        <v>121442.06</v>
      </c>
      <c r="C36" s="65"/>
      <c r="D36" s="66"/>
      <c r="E36" s="75">
        <f>1959</f>
        <v>1959</v>
      </c>
      <c r="F36" s="76"/>
      <c r="G36" s="77"/>
      <c r="H36" s="75">
        <f>1691</f>
        <v>1691</v>
      </c>
      <c r="I36" s="76"/>
      <c r="J36" s="77"/>
      <c r="K36" s="130">
        <f t="shared" si="1"/>
        <v>3650</v>
      </c>
      <c r="L36" s="131"/>
      <c r="M36" s="132"/>
      <c r="N36" s="43">
        <v>5.9724383032376517E-2</v>
      </c>
      <c r="O36" s="134">
        <f>121442.06+K36</f>
        <v>125092.06</v>
      </c>
      <c r="P36" s="134"/>
    </row>
    <row r="37" spans="1:16" x14ac:dyDescent="0.25">
      <c r="A37" s="15" t="s">
        <v>27</v>
      </c>
      <c r="B37" s="70">
        <f>244837.15</f>
        <v>244837.15</v>
      </c>
      <c r="C37" s="71"/>
      <c r="D37" s="72"/>
      <c r="E37" s="75">
        <f>3873</f>
        <v>3873</v>
      </c>
      <c r="F37" s="76"/>
      <c r="G37" s="77"/>
      <c r="H37" s="75">
        <f>3873</f>
        <v>3873</v>
      </c>
      <c r="I37" s="76"/>
      <c r="J37" s="77"/>
      <c r="K37" s="130">
        <f t="shared" si="1"/>
        <v>7746</v>
      </c>
      <c r="L37" s="131"/>
      <c r="M37" s="132"/>
      <c r="N37" s="43">
        <v>0.1290341608724184</v>
      </c>
      <c r="O37" s="134">
        <f>244837.15+K37</f>
        <v>252583.15</v>
      </c>
      <c r="P37" s="134"/>
    </row>
    <row r="38" spans="1:16" x14ac:dyDescent="0.25">
      <c r="A38" s="15" t="s">
        <v>28</v>
      </c>
      <c r="B38" s="70">
        <f>100893.66</f>
        <v>100893.66</v>
      </c>
      <c r="C38" s="71"/>
      <c r="D38" s="72"/>
      <c r="E38" s="75">
        <f>0</f>
        <v>0</v>
      </c>
      <c r="F38" s="76"/>
      <c r="G38" s="77"/>
      <c r="H38" s="75">
        <f>0</f>
        <v>0</v>
      </c>
      <c r="I38" s="76"/>
      <c r="J38" s="77"/>
      <c r="K38" s="130">
        <f t="shared" si="1"/>
        <v>0</v>
      </c>
      <c r="L38" s="131"/>
      <c r="M38" s="132"/>
      <c r="N38" s="43">
        <v>0.12166078025113736</v>
      </c>
      <c r="O38" s="134">
        <f>100893.66+K38</f>
        <v>100893.66</v>
      </c>
      <c r="P38" s="134"/>
    </row>
    <row r="39" spans="1:16" x14ac:dyDescent="0.25">
      <c r="A39" s="57" t="s">
        <v>26</v>
      </c>
      <c r="B39" s="64">
        <f>215821.12</f>
        <v>215821.12</v>
      </c>
      <c r="C39" s="65"/>
      <c r="D39" s="66"/>
      <c r="E39" s="70">
        <f>0</f>
        <v>0</v>
      </c>
      <c r="F39" s="71"/>
      <c r="G39" s="72"/>
      <c r="H39" s="70">
        <f>0</f>
        <v>0</v>
      </c>
      <c r="I39" s="71"/>
      <c r="J39" s="72"/>
      <c r="K39" s="130">
        <f t="shared" si="1"/>
        <v>0</v>
      </c>
      <c r="L39" s="131"/>
      <c r="M39" s="132"/>
      <c r="N39" s="58">
        <v>0</v>
      </c>
      <c r="O39" s="140">
        <f>215821.12+K39</f>
        <v>215821.12</v>
      </c>
      <c r="P39" s="140"/>
    </row>
    <row r="40" spans="1:16" x14ac:dyDescent="0.25">
      <c r="A40" s="56" t="s">
        <v>29</v>
      </c>
      <c r="B40" s="70">
        <f>8289</f>
        <v>8289</v>
      </c>
      <c r="C40" s="71"/>
      <c r="D40" s="72"/>
      <c r="E40" s="70">
        <f>0</f>
        <v>0</v>
      </c>
      <c r="F40" s="71"/>
      <c r="G40" s="72"/>
      <c r="H40" s="70">
        <f>0</f>
        <v>0</v>
      </c>
      <c r="I40" s="71"/>
      <c r="J40" s="72"/>
      <c r="K40" s="130">
        <f t="shared" si="1"/>
        <v>0</v>
      </c>
      <c r="L40" s="131"/>
      <c r="M40" s="132"/>
      <c r="N40" s="58">
        <v>0</v>
      </c>
      <c r="O40" s="140">
        <f>8289+K40</f>
        <v>8289</v>
      </c>
      <c r="P40" s="140"/>
    </row>
    <row r="41" spans="1:16" x14ac:dyDescent="0.25">
      <c r="A41" s="57" t="s">
        <v>30</v>
      </c>
      <c r="B41" s="64">
        <f>2005</f>
        <v>2005</v>
      </c>
      <c r="C41" s="65"/>
      <c r="D41" s="66"/>
      <c r="E41" s="70">
        <f>0</f>
        <v>0</v>
      </c>
      <c r="F41" s="71"/>
      <c r="G41" s="72"/>
      <c r="H41" s="70">
        <f>0</f>
        <v>0</v>
      </c>
      <c r="I41" s="71"/>
      <c r="J41" s="72"/>
      <c r="K41" s="130">
        <f t="shared" si="1"/>
        <v>0</v>
      </c>
      <c r="L41" s="131"/>
      <c r="M41" s="132"/>
      <c r="N41" s="58">
        <v>0</v>
      </c>
      <c r="O41" s="140">
        <f>2005+K41</f>
        <v>2005</v>
      </c>
      <c r="P41" s="140"/>
    </row>
    <row r="42" spans="1:16" x14ac:dyDescent="0.25">
      <c r="A42" s="12" t="s">
        <v>31</v>
      </c>
      <c r="B42" s="67">
        <f>SUM(B43:D45)</f>
        <v>751546.74</v>
      </c>
      <c r="C42" s="68"/>
      <c r="D42" s="69"/>
      <c r="E42" s="67">
        <f>SUM(E43:G45)</f>
        <v>0</v>
      </c>
      <c r="F42" s="68"/>
      <c r="G42" s="69"/>
      <c r="H42" s="67">
        <f>SUM(H43:J45)</f>
        <v>0</v>
      </c>
      <c r="I42" s="68"/>
      <c r="J42" s="69"/>
      <c r="K42" s="67">
        <f>SUM(K43:M45)</f>
        <v>0</v>
      </c>
      <c r="L42" s="68"/>
      <c r="M42" s="69"/>
      <c r="N42" s="48">
        <v>0</v>
      </c>
      <c r="O42" s="135">
        <f>SUM(O43:P45)</f>
        <v>751546.74</v>
      </c>
      <c r="P42" s="136"/>
    </row>
    <row r="43" spans="1:16" x14ac:dyDescent="0.25">
      <c r="A43" s="13" t="s">
        <v>32</v>
      </c>
      <c r="B43" s="64">
        <v>583007.5</v>
      </c>
      <c r="C43" s="65"/>
      <c r="D43" s="66"/>
      <c r="E43" s="75">
        <f>0</f>
        <v>0</v>
      </c>
      <c r="F43" s="76"/>
      <c r="G43" s="77"/>
      <c r="H43" s="75">
        <f>0</f>
        <v>0</v>
      </c>
      <c r="I43" s="76"/>
      <c r="J43" s="77"/>
      <c r="K43" s="130">
        <f>0+E43+H43</f>
        <v>0</v>
      </c>
      <c r="L43" s="131"/>
      <c r="M43" s="132"/>
      <c r="N43" s="43">
        <v>0</v>
      </c>
      <c r="O43" s="134">
        <f>583007.5+K43</f>
        <v>583007.5</v>
      </c>
      <c r="P43" s="134"/>
    </row>
    <row r="44" spans="1:16" x14ac:dyDescent="0.25">
      <c r="A44" s="13" t="s">
        <v>33</v>
      </c>
      <c r="B44" s="64">
        <v>151996.63</v>
      </c>
      <c r="C44" s="65"/>
      <c r="D44" s="66"/>
      <c r="E44" s="75">
        <f>0</f>
        <v>0</v>
      </c>
      <c r="F44" s="76"/>
      <c r="G44" s="77"/>
      <c r="H44" s="75">
        <f>0</f>
        <v>0</v>
      </c>
      <c r="I44" s="76"/>
      <c r="J44" s="77"/>
      <c r="K44" s="130">
        <f t="shared" ref="K44:K45" si="2">0+E44+H44</f>
        <v>0</v>
      </c>
      <c r="L44" s="131"/>
      <c r="M44" s="132"/>
      <c r="N44" s="43">
        <v>0</v>
      </c>
      <c r="O44" s="137">
        <f>151996.63+K44</f>
        <v>151996.63</v>
      </c>
      <c r="P44" s="138"/>
    </row>
    <row r="45" spans="1:16" x14ac:dyDescent="0.25">
      <c r="A45" s="13" t="s">
        <v>34</v>
      </c>
      <c r="B45" s="64">
        <f>16542.61</f>
        <v>16542.61</v>
      </c>
      <c r="C45" s="65"/>
      <c r="D45" s="66"/>
      <c r="E45" s="75">
        <f>0</f>
        <v>0</v>
      </c>
      <c r="F45" s="76"/>
      <c r="G45" s="77"/>
      <c r="H45" s="75">
        <f>0</f>
        <v>0</v>
      </c>
      <c r="I45" s="76"/>
      <c r="J45" s="77"/>
      <c r="K45" s="130">
        <f t="shared" si="2"/>
        <v>0</v>
      </c>
      <c r="L45" s="131"/>
      <c r="M45" s="132"/>
      <c r="N45" s="43">
        <v>0</v>
      </c>
      <c r="O45" s="137">
        <f>16542.61+K45</f>
        <v>16542.61</v>
      </c>
      <c r="P45" s="138"/>
    </row>
    <row r="46" spans="1:16" x14ac:dyDescent="0.25">
      <c r="A46" s="12" t="s">
        <v>35</v>
      </c>
      <c r="B46" s="67">
        <f>SUM(B47:D49)</f>
        <v>126209</v>
      </c>
      <c r="C46" s="68"/>
      <c r="D46" s="69"/>
      <c r="E46" s="67">
        <f>SUM(E47:G49)</f>
        <v>0</v>
      </c>
      <c r="F46" s="68"/>
      <c r="G46" s="69"/>
      <c r="H46" s="67">
        <f>SUM(H47:J49)</f>
        <v>0</v>
      </c>
      <c r="I46" s="68"/>
      <c r="J46" s="69"/>
      <c r="K46" s="67">
        <f>SUM(K47:M49)</f>
        <v>0</v>
      </c>
      <c r="L46" s="68"/>
      <c r="M46" s="69"/>
      <c r="N46" s="48">
        <v>0</v>
      </c>
      <c r="O46" s="135">
        <f>SUM(O47:P49)</f>
        <v>126209</v>
      </c>
      <c r="P46" s="136"/>
    </row>
    <row r="47" spans="1:16" x14ac:dyDescent="0.25">
      <c r="A47" s="13" t="s">
        <v>36</v>
      </c>
      <c r="B47" s="70">
        <f>6921.51</f>
        <v>6921.51</v>
      </c>
      <c r="C47" s="71"/>
      <c r="D47" s="72"/>
      <c r="E47" s="75">
        <f>0</f>
        <v>0</v>
      </c>
      <c r="F47" s="76"/>
      <c r="G47" s="77"/>
      <c r="H47" s="75">
        <f>0</f>
        <v>0</v>
      </c>
      <c r="I47" s="76"/>
      <c r="J47" s="77"/>
      <c r="K47" s="130">
        <f>0+E47+H47</f>
        <v>0</v>
      </c>
      <c r="L47" s="131"/>
      <c r="M47" s="132"/>
      <c r="N47" s="43">
        <v>0</v>
      </c>
      <c r="O47" s="139">
        <f>6921.51+K47</f>
        <v>6921.51</v>
      </c>
      <c r="P47" s="139"/>
    </row>
    <row r="48" spans="1:16" x14ac:dyDescent="0.25">
      <c r="A48" s="13" t="s">
        <v>37</v>
      </c>
      <c r="B48" s="64">
        <v>13191.49</v>
      </c>
      <c r="C48" s="65"/>
      <c r="D48" s="66"/>
      <c r="E48" s="75">
        <f>0</f>
        <v>0</v>
      </c>
      <c r="F48" s="76"/>
      <c r="G48" s="77"/>
      <c r="H48" s="75">
        <f>0</f>
        <v>0</v>
      </c>
      <c r="I48" s="76"/>
      <c r="J48" s="77"/>
      <c r="K48" s="130">
        <f t="shared" ref="K48:K49" si="3">0+E48+H48</f>
        <v>0</v>
      </c>
      <c r="L48" s="131"/>
      <c r="M48" s="132"/>
      <c r="N48" s="43">
        <v>0</v>
      </c>
      <c r="O48" s="137">
        <f>13191.49+K48</f>
        <v>13191.49</v>
      </c>
      <c r="P48" s="138"/>
    </row>
    <row r="49" spans="1:16" x14ac:dyDescent="0.25">
      <c r="A49" s="13" t="s">
        <v>38</v>
      </c>
      <c r="B49" s="64">
        <f>106096</f>
        <v>106096</v>
      </c>
      <c r="C49" s="65"/>
      <c r="D49" s="66"/>
      <c r="E49" s="75">
        <f>0</f>
        <v>0</v>
      </c>
      <c r="F49" s="76"/>
      <c r="G49" s="77"/>
      <c r="H49" s="75">
        <f>0</f>
        <v>0</v>
      </c>
      <c r="I49" s="76"/>
      <c r="J49" s="77"/>
      <c r="K49" s="130">
        <f t="shared" si="3"/>
        <v>0</v>
      </c>
      <c r="L49" s="131"/>
      <c r="M49" s="132"/>
      <c r="N49" s="43">
        <v>0</v>
      </c>
      <c r="O49" s="137">
        <f>106096+K49</f>
        <v>106096</v>
      </c>
      <c r="P49" s="138"/>
    </row>
    <row r="50" spans="1:16" x14ac:dyDescent="0.25">
      <c r="A50" s="12" t="s">
        <v>39</v>
      </c>
      <c r="B50" s="67">
        <f>SUM(B51:D61)</f>
        <v>566973.84</v>
      </c>
      <c r="C50" s="68"/>
      <c r="D50" s="69"/>
      <c r="E50" s="67">
        <f>SUM(E51:G61)</f>
        <v>5567.2</v>
      </c>
      <c r="F50" s="68"/>
      <c r="G50" s="69"/>
      <c r="H50" s="67">
        <f>SUM(H51:J61)</f>
        <v>5065.08</v>
      </c>
      <c r="I50" s="68"/>
      <c r="J50" s="69"/>
      <c r="K50" s="67">
        <f>SUM(K52:M61)</f>
        <v>10052.279999999999</v>
      </c>
      <c r="L50" s="68"/>
      <c r="M50" s="69"/>
      <c r="N50" s="48">
        <v>0.18400750610147248</v>
      </c>
      <c r="O50" s="135">
        <f>SUM(O51:P61)</f>
        <v>577606.11999999988</v>
      </c>
      <c r="P50" s="136"/>
    </row>
    <row r="51" spans="1:16" x14ac:dyDescent="0.25">
      <c r="A51" s="53" t="s">
        <v>99</v>
      </c>
      <c r="B51" s="64">
        <f>16240+46230</f>
        <v>62470</v>
      </c>
      <c r="C51" s="65"/>
      <c r="D51" s="66"/>
      <c r="E51" s="75">
        <f>540</f>
        <v>540</v>
      </c>
      <c r="F51" s="76"/>
      <c r="G51" s="77"/>
      <c r="H51" s="75">
        <f>40</f>
        <v>40</v>
      </c>
      <c r="I51" s="76"/>
      <c r="J51" s="77"/>
      <c r="K51" s="130">
        <f>0+E51+H51</f>
        <v>580</v>
      </c>
      <c r="L51" s="131"/>
      <c r="M51" s="132"/>
      <c r="N51" s="43">
        <v>1.990812767745884E-2</v>
      </c>
      <c r="O51" s="137">
        <f>62470+K51</f>
        <v>63050</v>
      </c>
      <c r="P51" s="138"/>
    </row>
    <row r="52" spans="1:16" x14ac:dyDescent="0.25">
      <c r="A52" s="54" t="s">
        <v>100</v>
      </c>
      <c r="B52" s="64">
        <f>34667.08</f>
        <v>34667.08</v>
      </c>
      <c r="C52" s="65"/>
      <c r="D52" s="66"/>
      <c r="E52" s="75">
        <f>700</f>
        <v>700</v>
      </c>
      <c r="F52" s="76"/>
      <c r="G52" s="77"/>
      <c r="H52" s="75">
        <f>700</f>
        <v>700</v>
      </c>
      <c r="I52" s="76"/>
      <c r="J52" s="77"/>
      <c r="K52" s="130">
        <f t="shared" ref="K52:K61" si="4">0+E52+H52</f>
        <v>1400</v>
      </c>
      <c r="L52" s="131"/>
      <c r="M52" s="132"/>
      <c r="N52" s="43">
        <v>0</v>
      </c>
      <c r="O52" s="134">
        <f>34667.08+K52</f>
        <v>36067.08</v>
      </c>
      <c r="P52" s="134"/>
    </row>
    <row r="53" spans="1:16" x14ac:dyDescent="0.25">
      <c r="A53" s="55" t="s">
        <v>101</v>
      </c>
      <c r="B53" s="64">
        <f>315737.21+58116.7</f>
        <v>373853.91000000003</v>
      </c>
      <c r="C53" s="65"/>
      <c r="D53" s="66"/>
      <c r="E53" s="75">
        <f>3910.87</f>
        <v>3910.87</v>
      </c>
      <c r="F53" s="76"/>
      <c r="G53" s="77"/>
      <c r="H53" s="75">
        <f>3908.75</f>
        <v>3908.75</v>
      </c>
      <c r="I53" s="76"/>
      <c r="J53" s="77"/>
      <c r="K53" s="130">
        <f t="shared" si="4"/>
        <v>7819.62</v>
      </c>
      <c r="L53" s="131"/>
      <c r="M53" s="132"/>
      <c r="N53" s="43">
        <v>0</v>
      </c>
      <c r="O53" s="137">
        <f>373853.91+K53</f>
        <v>381673.52999999997</v>
      </c>
      <c r="P53" s="138"/>
    </row>
    <row r="54" spans="1:16" x14ac:dyDescent="0.25">
      <c r="A54" s="13" t="s">
        <v>40</v>
      </c>
      <c r="B54" s="64">
        <f>28870.32</f>
        <v>28870.32</v>
      </c>
      <c r="C54" s="65"/>
      <c r="D54" s="66"/>
      <c r="E54" s="75">
        <f>373.16</f>
        <v>373.16</v>
      </c>
      <c r="F54" s="76"/>
      <c r="G54" s="77"/>
      <c r="H54" s="75">
        <f>373.16</f>
        <v>373.16</v>
      </c>
      <c r="I54" s="76"/>
      <c r="J54" s="77"/>
      <c r="K54" s="130">
        <f t="shared" si="4"/>
        <v>746.32</v>
      </c>
      <c r="L54" s="131"/>
      <c r="M54" s="132"/>
      <c r="N54" s="43">
        <v>1.3107658730451326E-2</v>
      </c>
      <c r="O54" s="137">
        <f>28870.32+K54</f>
        <v>29616.639999999999</v>
      </c>
      <c r="P54" s="138"/>
    </row>
    <row r="55" spans="1:16" x14ac:dyDescent="0.25">
      <c r="A55" s="13" t="s">
        <v>41</v>
      </c>
      <c r="B55" s="64">
        <f>9319.68</f>
        <v>9319.68</v>
      </c>
      <c r="C55" s="65"/>
      <c r="D55" s="66"/>
      <c r="E55" s="75">
        <f>0</f>
        <v>0</v>
      </c>
      <c r="F55" s="76"/>
      <c r="G55" s="77"/>
      <c r="H55" s="75">
        <f>0</f>
        <v>0</v>
      </c>
      <c r="I55" s="76"/>
      <c r="J55" s="77"/>
      <c r="K55" s="130">
        <f t="shared" si="4"/>
        <v>0</v>
      </c>
      <c r="L55" s="131"/>
      <c r="M55" s="132"/>
      <c r="N55" s="43">
        <v>2.4022474064133667E-3</v>
      </c>
      <c r="O55" s="137">
        <f>9319.68+K55</f>
        <v>9319.68</v>
      </c>
      <c r="P55" s="138"/>
    </row>
    <row r="56" spans="1:16" x14ac:dyDescent="0.25">
      <c r="A56" s="13" t="s">
        <v>42</v>
      </c>
      <c r="B56" s="64">
        <f>2116.84</f>
        <v>2116.84</v>
      </c>
      <c r="C56" s="65"/>
      <c r="D56" s="66"/>
      <c r="E56" s="75">
        <f>43.17</f>
        <v>43.17</v>
      </c>
      <c r="F56" s="76"/>
      <c r="G56" s="77"/>
      <c r="H56" s="75">
        <f>43.17</f>
        <v>43.17</v>
      </c>
      <c r="I56" s="76"/>
      <c r="J56" s="77"/>
      <c r="K56" s="130">
        <f t="shared" si="4"/>
        <v>86.34</v>
      </c>
      <c r="L56" s="131"/>
      <c r="M56" s="132"/>
      <c r="N56" s="43">
        <v>1.437809221149805E-3</v>
      </c>
      <c r="O56" s="137">
        <f>2116.84+K56</f>
        <v>2203.1800000000003</v>
      </c>
      <c r="P56" s="138"/>
    </row>
    <row r="57" spans="1:16" x14ac:dyDescent="0.25">
      <c r="A57" s="13" t="s">
        <v>43</v>
      </c>
      <c r="B57" s="64">
        <v>27432.46</v>
      </c>
      <c r="C57" s="65"/>
      <c r="D57" s="66"/>
      <c r="E57" s="75">
        <f>0</f>
        <v>0</v>
      </c>
      <c r="F57" s="76"/>
      <c r="G57" s="77"/>
      <c r="H57" s="75">
        <f>0</f>
        <v>0</v>
      </c>
      <c r="I57" s="76"/>
      <c r="J57" s="77"/>
      <c r="K57" s="130">
        <f t="shared" si="4"/>
        <v>0</v>
      </c>
      <c r="L57" s="131"/>
      <c r="M57" s="132"/>
      <c r="N57" s="43">
        <v>0</v>
      </c>
      <c r="O57" s="137">
        <f>27432.46+K57</f>
        <v>27432.46</v>
      </c>
      <c r="P57" s="138"/>
    </row>
    <row r="58" spans="1:16" x14ac:dyDescent="0.25">
      <c r="A58" s="13" t="s">
        <v>93</v>
      </c>
      <c r="B58" s="64">
        <f>18941.84</f>
        <v>18941.84</v>
      </c>
      <c r="C58" s="65"/>
      <c r="D58" s="66"/>
      <c r="E58" s="75">
        <v>0</v>
      </c>
      <c r="F58" s="76"/>
      <c r="G58" s="77"/>
      <c r="H58" s="75">
        <f>0</f>
        <v>0</v>
      </c>
      <c r="I58" s="76"/>
      <c r="J58" s="77"/>
      <c r="K58" s="130">
        <f t="shared" si="4"/>
        <v>0</v>
      </c>
      <c r="L58" s="131"/>
      <c r="M58" s="132"/>
      <c r="N58" s="43">
        <v>0</v>
      </c>
      <c r="O58" s="137">
        <f>18941.84+K58</f>
        <v>18941.84</v>
      </c>
      <c r="P58" s="138"/>
    </row>
    <row r="59" spans="1:16" x14ac:dyDescent="0.25">
      <c r="A59" s="13" t="s">
        <v>44</v>
      </c>
      <c r="B59" s="64">
        <v>5618.11</v>
      </c>
      <c r="C59" s="65"/>
      <c r="D59" s="66"/>
      <c r="E59" s="75">
        <f>0</f>
        <v>0</v>
      </c>
      <c r="F59" s="76"/>
      <c r="G59" s="77"/>
      <c r="H59" s="75">
        <f>0</f>
        <v>0</v>
      </c>
      <c r="I59" s="76"/>
      <c r="J59" s="77"/>
      <c r="K59" s="130">
        <f t="shared" si="4"/>
        <v>0</v>
      </c>
      <c r="L59" s="131"/>
      <c r="M59" s="132"/>
      <c r="N59" s="43">
        <v>0</v>
      </c>
      <c r="O59" s="137">
        <f>5618.11+K59</f>
        <v>5618.11</v>
      </c>
      <c r="P59" s="138"/>
    </row>
    <row r="60" spans="1:16" x14ac:dyDescent="0.25">
      <c r="A60" s="13" t="s">
        <v>45</v>
      </c>
      <c r="B60" s="64">
        <f>412</f>
        <v>412</v>
      </c>
      <c r="C60" s="65"/>
      <c r="D60" s="66"/>
      <c r="E60" s="75">
        <f>0</f>
        <v>0</v>
      </c>
      <c r="F60" s="76"/>
      <c r="G60" s="77"/>
      <c r="H60" s="75">
        <f>0</f>
        <v>0</v>
      </c>
      <c r="I60" s="76"/>
      <c r="J60" s="77"/>
      <c r="K60" s="130">
        <f t="shared" si="4"/>
        <v>0</v>
      </c>
      <c r="L60" s="131"/>
      <c r="M60" s="132"/>
      <c r="N60" s="43">
        <v>0</v>
      </c>
      <c r="O60" s="137">
        <f>412+K60</f>
        <v>412</v>
      </c>
      <c r="P60" s="138"/>
    </row>
    <row r="61" spans="1:16" x14ac:dyDescent="0.25">
      <c r="A61" s="13" t="s">
        <v>91</v>
      </c>
      <c r="B61" s="64">
        <f>3271.6</f>
        <v>3271.6</v>
      </c>
      <c r="C61" s="65"/>
      <c r="D61" s="66"/>
      <c r="E61" s="75">
        <f>0</f>
        <v>0</v>
      </c>
      <c r="F61" s="76"/>
      <c r="G61" s="77"/>
      <c r="H61" s="75">
        <f>0</f>
        <v>0</v>
      </c>
      <c r="I61" s="76"/>
      <c r="J61" s="77"/>
      <c r="K61" s="130">
        <f t="shared" si="4"/>
        <v>0</v>
      </c>
      <c r="L61" s="131"/>
      <c r="M61" s="132"/>
      <c r="N61" s="43">
        <v>0</v>
      </c>
      <c r="O61" s="137">
        <f>3271.6+K61</f>
        <v>3271.6</v>
      </c>
      <c r="P61" s="138"/>
    </row>
    <row r="62" spans="1:16" x14ac:dyDescent="0.25">
      <c r="A62" s="12" t="s">
        <v>46</v>
      </c>
      <c r="B62" s="67">
        <f>SUM(B63:D66)</f>
        <v>726618.91000000015</v>
      </c>
      <c r="C62" s="68"/>
      <c r="D62" s="69"/>
      <c r="E62" s="67">
        <f>SUM(E63:G66)</f>
        <v>314.49</v>
      </c>
      <c r="F62" s="68"/>
      <c r="G62" s="69"/>
      <c r="H62" s="67">
        <f>SUM(H63:J66)</f>
        <v>659.22</v>
      </c>
      <c r="I62" s="68"/>
      <c r="J62" s="69"/>
      <c r="K62" s="67">
        <f>SUM(K63:M66)</f>
        <v>973.71</v>
      </c>
      <c r="L62" s="68"/>
      <c r="M62" s="69"/>
      <c r="N62" s="48">
        <v>1.6136643489673582E-2</v>
      </c>
      <c r="O62" s="135">
        <f>SUM(O63:P66)</f>
        <v>727592.62</v>
      </c>
      <c r="P62" s="136"/>
    </row>
    <row r="63" spans="1:16" x14ac:dyDescent="0.25">
      <c r="A63" s="13" t="s">
        <v>47</v>
      </c>
      <c r="B63" s="64">
        <f>466396.67</f>
        <v>466396.67</v>
      </c>
      <c r="C63" s="65"/>
      <c r="D63" s="66"/>
      <c r="E63" s="75">
        <f>75+8.5+8.5</f>
        <v>92</v>
      </c>
      <c r="F63" s="76"/>
      <c r="G63" s="77"/>
      <c r="H63" s="75">
        <f>8.5+8.5+75</f>
        <v>92</v>
      </c>
      <c r="I63" s="76"/>
      <c r="J63" s="77"/>
      <c r="K63" s="130">
        <f>0+E63+H63</f>
        <v>184</v>
      </c>
      <c r="L63" s="131"/>
      <c r="M63" s="132"/>
      <c r="N63" s="43">
        <v>4.8808093022569927E-3</v>
      </c>
      <c r="O63" s="134">
        <f>466396.67+K63</f>
        <v>466580.67</v>
      </c>
      <c r="P63" s="134"/>
    </row>
    <row r="64" spans="1:16" x14ac:dyDescent="0.25">
      <c r="A64" s="13" t="s">
        <v>48</v>
      </c>
      <c r="B64" s="64">
        <f>89017.87</f>
        <v>89017.87</v>
      </c>
      <c r="C64" s="65"/>
      <c r="D64" s="66"/>
      <c r="E64" s="75">
        <f>123.61+9.88+74.17+14.83</f>
        <v>222.49000000000004</v>
      </c>
      <c r="F64" s="76"/>
      <c r="G64" s="77"/>
      <c r="H64" s="75">
        <f>107.44+8.59+64.46+12.89</f>
        <v>193.38</v>
      </c>
      <c r="I64" s="76"/>
      <c r="J64" s="77"/>
      <c r="K64" s="130">
        <f t="shared" ref="K64:K66" si="5">0+E64+H64</f>
        <v>415.87</v>
      </c>
      <c r="L64" s="131"/>
      <c r="M64" s="132"/>
      <c r="N64" s="43">
        <v>7.3081262027827141E-3</v>
      </c>
      <c r="O64" s="137">
        <f>89017.87+K64</f>
        <v>89433.739999999991</v>
      </c>
      <c r="P64" s="138"/>
    </row>
    <row r="65" spans="1:16" x14ac:dyDescent="0.25">
      <c r="A65" s="13" t="s">
        <v>49</v>
      </c>
      <c r="B65" s="64">
        <f>155393.07</f>
        <v>155393.07</v>
      </c>
      <c r="C65" s="65"/>
      <c r="D65" s="66"/>
      <c r="E65" s="75">
        <f>0</f>
        <v>0</v>
      </c>
      <c r="F65" s="76"/>
      <c r="G65" s="77"/>
      <c r="H65" s="75">
        <f>5.26+12.53+356.05</f>
        <v>373.84000000000003</v>
      </c>
      <c r="I65" s="76"/>
      <c r="J65" s="77"/>
      <c r="K65" s="130">
        <f t="shared" si="5"/>
        <v>373.84000000000003</v>
      </c>
      <c r="L65" s="131"/>
      <c r="M65" s="132"/>
      <c r="N65" s="43">
        <v>3.9477079846338753E-3</v>
      </c>
      <c r="O65" s="137">
        <f>155393.07+K65</f>
        <v>155766.91</v>
      </c>
      <c r="P65" s="138"/>
    </row>
    <row r="66" spans="1:16" x14ac:dyDescent="0.25">
      <c r="A66" s="13" t="s">
        <v>94</v>
      </c>
      <c r="B66" s="64">
        <f>15811.3</f>
        <v>15811.3</v>
      </c>
      <c r="C66" s="65"/>
      <c r="D66" s="66"/>
      <c r="E66" s="75">
        <f>0</f>
        <v>0</v>
      </c>
      <c r="F66" s="76"/>
      <c r="G66" s="77"/>
      <c r="H66" s="75">
        <f>0</f>
        <v>0</v>
      </c>
      <c r="I66" s="76"/>
      <c r="J66" s="77"/>
      <c r="K66" s="130">
        <f t="shared" si="5"/>
        <v>0</v>
      </c>
      <c r="L66" s="131"/>
      <c r="M66" s="132"/>
      <c r="N66" s="43">
        <v>0</v>
      </c>
      <c r="O66" s="137">
        <f>15811.3+K66</f>
        <v>15811.3</v>
      </c>
      <c r="P66" s="138"/>
    </row>
    <row r="67" spans="1:16" x14ac:dyDescent="0.25">
      <c r="A67" s="12" t="s">
        <v>50</v>
      </c>
      <c r="B67" s="67">
        <f>SUM(B68:D80)</f>
        <v>1043169.37</v>
      </c>
      <c r="C67" s="68"/>
      <c r="D67" s="69"/>
      <c r="E67" s="67">
        <f>SUM(E68:G80)</f>
        <v>10023.740000000002</v>
      </c>
      <c r="F67" s="68"/>
      <c r="G67" s="69"/>
      <c r="H67" s="67">
        <f t="shared" ref="H67" si="6">SUM(H68:J80)</f>
        <v>14883.12</v>
      </c>
      <c r="I67" s="68"/>
      <c r="J67" s="69"/>
      <c r="K67" s="67">
        <f>SUM(K68:M80)</f>
        <v>24906.86</v>
      </c>
      <c r="L67" s="68"/>
      <c r="M67" s="69"/>
      <c r="N67" s="48">
        <v>0.26429182365822906</v>
      </c>
      <c r="O67" s="151">
        <f>SUM(O68:P80)</f>
        <v>1068076.2300000002</v>
      </c>
      <c r="P67" s="151"/>
    </row>
    <row r="68" spans="1:16" x14ac:dyDescent="0.25">
      <c r="A68" s="16" t="s">
        <v>51</v>
      </c>
      <c r="B68" s="64">
        <f>9958.81</f>
        <v>9958.81</v>
      </c>
      <c r="C68" s="65"/>
      <c r="D68" s="66"/>
      <c r="E68" s="75">
        <f>0</f>
        <v>0</v>
      </c>
      <c r="F68" s="76"/>
      <c r="G68" s="77"/>
      <c r="H68" s="75">
        <f>0</f>
        <v>0</v>
      </c>
      <c r="I68" s="76"/>
      <c r="J68" s="77"/>
      <c r="K68" s="130">
        <f>0+E68+H68</f>
        <v>0</v>
      </c>
      <c r="L68" s="131"/>
      <c r="M68" s="132"/>
      <c r="N68" s="43">
        <v>0</v>
      </c>
      <c r="O68" s="134">
        <f>9958.81+K68</f>
        <v>9958.81</v>
      </c>
      <c r="P68" s="134"/>
    </row>
    <row r="69" spans="1:16" x14ac:dyDescent="0.25">
      <c r="A69" s="16" t="s">
        <v>102</v>
      </c>
      <c r="B69" s="64">
        <f>5767.4+16416.05</f>
        <v>22183.449999999997</v>
      </c>
      <c r="C69" s="65"/>
      <c r="D69" s="66"/>
      <c r="E69" s="75">
        <f>0</f>
        <v>0</v>
      </c>
      <c r="F69" s="76"/>
      <c r="G69" s="77"/>
      <c r="H69" s="75">
        <f>0</f>
        <v>0</v>
      </c>
      <c r="I69" s="76"/>
      <c r="J69" s="77"/>
      <c r="K69" s="130">
        <f t="shared" ref="K69:K80" si="7">0+E69+H69</f>
        <v>0</v>
      </c>
      <c r="L69" s="131"/>
      <c r="M69" s="132"/>
      <c r="N69" s="43">
        <v>0</v>
      </c>
      <c r="O69" s="134">
        <f>22183.45+K69</f>
        <v>22183.45</v>
      </c>
      <c r="P69" s="134"/>
    </row>
    <row r="70" spans="1:16" x14ac:dyDescent="0.25">
      <c r="A70" s="16" t="s">
        <v>89</v>
      </c>
      <c r="B70" s="64">
        <f>18917.64</f>
        <v>18917.64</v>
      </c>
      <c r="C70" s="65"/>
      <c r="D70" s="66"/>
      <c r="E70" s="75">
        <f>0</f>
        <v>0</v>
      </c>
      <c r="F70" s="76"/>
      <c r="G70" s="77"/>
      <c r="H70" s="75">
        <f>2779.58</f>
        <v>2779.58</v>
      </c>
      <c r="I70" s="76"/>
      <c r="J70" s="77"/>
      <c r="K70" s="130">
        <f t="shared" si="7"/>
        <v>2779.58</v>
      </c>
      <c r="L70" s="131"/>
      <c r="M70" s="132"/>
      <c r="N70" s="43">
        <v>0</v>
      </c>
      <c r="O70" s="134">
        <f>18917.64+K70</f>
        <v>21697.22</v>
      </c>
      <c r="P70" s="134"/>
    </row>
    <row r="71" spans="1:16" x14ac:dyDescent="0.25">
      <c r="A71" s="13" t="s">
        <v>53</v>
      </c>
      <c r="B71" s="64">
        <f>9681.67</f>
        <v>9681.67</v>
      </c>
      <c r="C71" s="65"/>
      <c r="D71" s="66"/>
      <c r="E71" s="75">
        <f>0</f>
        <v>0</v>
      </c>
      <c r="F71" s="76"/>
      <c r="G71" s="77"/>
      <c r="H71" s="75">
        <f>0</f>
        <v>0</v>
      </c>
      <c r="I71" s="76"/>
      <c r="J71" s="77"/>
      <c r="K71" s="130">
        <f t="shared" si="7"/>
        <v>0</v>
      </c>
      <c r="L71" s="131"/>
      <c r="M71" s="132"/>
      <c r="N71" s="43">
        <v>0</v>
      </c>
      <c r="O71" s="134">
        <f>9681.67+K71</f>
        <v>9681.67</v>
      </c>
      <c r="P71" s="134"/>
    </row>
    <row r="72" spans="1:16" x14ac:dyDescent="0.25">
      <c r="A72" s="16" t="s">
        <v>54</v>
      </c>
      <c r="B72" s="64">
        <f>177010.78</f>
        <v>177010.78</v>
      </c>
      <c r="C72" s="65"/>
      <c r="D72" s="66"/>
      <c r="E72" s="75">
        <f>2047.05</f>
        <v>2047.05</v>
      </c>
      <c r="F72" s="76"/>
      <c r="G72" s="77"/>
      <c r="H72" s="75">
        <f>2189.84</f>
        <v>2189.84</v>
      </c>
      <c r="I72" s="76"/>
      <c r="J72" s="77"/>
      <c r="K72" s="130">
        <f t="shared" si="7"/>
        <v>4236.8900000000003</v>
      </c>
      <c r="L72" s="131"/>
      <c r="M72" s="132"/>
      <c r="N72" s="43">
        <v>6.7828834342257588E-2</v>
      </c>
      <c r="O72" s="134">
        <f>177010.78+K72</f>
        <v>181247.67</v>
      </c>
      <c r="P72" s="134"/>
    </row>
    <row r="73" spans="1:16" x14ac:dyDescent="0.25">
      <c r="A73" s="16" t="s">
        <v>55</v>
      </c>
      <c r="B73" s="64">
        <f>33133.62</f>
        <v>33133.620000000003</v>
      </c>
      <c r="C73" s="65"/>
      <c r="D73" s="66"/>
      <c r="E73" s="75">
        <f>139.32+107.63+149.56</f>
        <v>396.51</v>
      </c>
      <c r="F73" s="76"/>
      <c r="G73" s="77"/>
      <c r="H73" s="75">
        <f>389.09</f>
        <v>389.09</v>
      </c>
      <c r="I73" s="76"/>
      <c r="J73" s="77"/>
      <c r="K73" s="130">
        <f t="shared" si="7"/>
        <v>785.59999999999991</v>
      </c>
      <c r="L73" s="131"/>
      <c r="M73" s="132"/>
      <c r="N73" s="43">
        <v>1.0950944898726618E-2</v>
      </c>
      <c r="O73" s="134">
        <f>33133.62+K73</f>
        <v>33919.22</v>
      </c>
      <c r="P73" s="134"/>
    </row>
    <row r="74" spans="1:16" x14ac:dyDescent="0.25">
      <c r="A74" s="16" t="s">
        <v>56</v>
      </c>
      <c r="B74" s="64">
        <f>10684.03</f>
        <v>10684.03</v>
      </c>
      <c r="C74" s="65"/>
      <c r="D74" s="66"/>
      <c r="E74" s="75">
        <f>20+12.99+12.99+20+20</f>
        <v>85.98</v>
      </c>
      <c r="F74" s="76"/>
      <c r="G74" s="77"/>
      <c r="H74" s="75">
        <f>10.95+20+20</f>
        <v>50.95</v>
      </c>
      <c r="I74" s="76"/>
      <c r="J74" s="77"/>
      <c r="K74" s="130">
        <f t="shared" si="7"/>
        <v>136.93</v>
      </c>
      <c r="L74" s="131"/>
      <c r="M74" s="132"/>
      <c r="N74" s="43">
        <v>0</v>
      </c>
      <c r="O74" s="134">
        <f>10684.03+K74</f>
        <v>10820.960000000001</v>
      </c>
      <c r="P74" s="134"/>
    </row>
    <row r="75" spans="1:16" x14ac:dyDescent="0.25">
      <c r="A75" s="16" t="s">
        <v>57</v>
      </c>
      <c r="B75" s="64">
        <f>5133.78</f>
        <v>5133.78</v>
      </c>
      <c r="C75" s="65"/>
      <c r="D75" s="66"/>
      <c r="E75" s="75">
        <f>80+17.98</f>
        <v>97.98</v>
      </c>
      <c r="F75" s="76"/>
      <c r="G75" s="77"/>
      <c r="H75" s="75">
        <f>14.97</f>
        <v>14.97</v>
      </c>
      <c r="I75" s="76"/>
      <c r="J75" s="77"/>
      <c r="K75" s="130">
        <f t="shared" si="7"/>
        <v>112.95</v>
      </c>
      <c r="L75" s="131"/>
      <c r="M75" s="132"/>
      <c r="N75" s="43">
        <v>0</v>
      </c>
      <c r="O75" s="134">
        <f>5133.78+K75</f>
        <v>5246.73</v>
      </c>
      <c r="P75" s="134"/>
    </row>
    <row r="76" spans="1:16" x14ac:dyDescent="0.25">
      <c r="A76" s="16" t="s">
        <v>103</v>
      </c>
      <c r="B76" s="64">
        <f>2686.55</f>
        <v>2686.55</v>
      </c>
      <c r="C76" s="65"/>
      <c r="D76" s="66"/>
      <c r="E76" s="75">
        <f>0</f>
        <v>0</v>
      </c>
      <c r="F76" s="76"/>
      <c r="G76" s="77"/>
      <c r="H76" s="75">
        <f>0</f>
        <v>0</v>
      </c>
      <c r="I76" s="76"/>
      <c r="J76" s="77"/>
      <c r="K76" s="130">
        <f t="shared" si="7"/>
        <v>0</v>
      </c>
      <c r="L76" s="131"/>
      <c r="M76" s="132"/>
      <c r="N76" s="43">
        <v>0</v>
      </c>
      <c r="O76" s="134">
        <f>2686.55+K76</f>
        <v>2686.55</v>
      </c>
      <c r="P76" s="134"/>
    </row>
    <row r="77" spans="1:16" x14ac:dyDescent="0.25">
      <c r="A77" s="16" t="s">
        <v>59</v>
      </c>
      <c r="B77" s="64">
        <v>435851.76</v>
      </c>
      <c r="C77" s="65"/>
      <c r="D77" s="66"/>
      <c r="E77" s="75">
        <f>1942.75+1800</f>
        <v>3742.75</v>
      </c>
      <c r="F77" s="76"/>
      <c r="G77" s="77"/>
      <c r="H77" s="75">
        <f>6432.63</f>
        <v>6432.63</v>
      </c>
      <c r="I77" s="76"/>
      <c r="J77" s="77"/>
      <c r="K77" s="130">
        <f t="shared" si="7"/>
        <v>10175.380000000001</v>
      </c>
      <c r="L77" s="131"/>
      <c r="M77" s="132"/>
      <c r="N77" s="43">
        <v>6.9171158284361794E-2</v>
      </c>
      <c r="O77" s="134">
        <f>435851.76+K77</f>
        <v>446027.14</v>
      </c>
      <c r="P77" s="134"/>
    </row>
    <row r="78" spans="1:16" x14ac:dyDescent="0.25">
      <c r="A78" s="16" t="s">
        <v>60</v>
      </c>
      <c r="B78" s="64">
        <f>313838.94</f>
        <v>313838.94</v>
      </c>
      <c r="C78" s="65"/>
      <c r="D78" s="66"/>
      <c r="E78" s="75">
        <f>511.07+988.94+49.44+357+49.44+567.47+85.96+511.35+532.8</f>
        <v>3653.4700000000003</v>
      </c>
      <c r="F78" s="76"/>
      <c r="G78" s="77"/>
      <c r="H78" s="75">
        <f>3026.06</f>
        <v>3026.06</v>
      </c>
      <c r="I78" s="76"/>
      <c r="J78" s="77"/>
      <c r="K78" s="130">
        <f t="shared" si="7"/>
        <v>6679.5300000000007</v>
      </c>
      <c r="L78" s="131"/>
      <c r="M78" s="132"/>
      <c r="N78" s="43">
        <v>0.11634088613288307</v>
      </c>
      <c r="O78" s="134">
        <f>313838.94+K78</f>
        <v>320518.47000000003</v>
      </c>
      <c r="P78" s="134"/>
    </row>
    <row r="79" spans="1:16" x14ac:dyDescent="0.25">
      <c r="A79" s="59" t="s">
        <v>52</v>
      </c>
      <c r="B79" s="64">
        <v>2031.58</v>
      </c>
      <c r="C79" s="65"/>
      <c r="D79" s="66"/>
      <c r="E79" s="70">
        <f>0</f>
        <v>0</v>
      </c>
      <c r="F79" s="71"/>
      <c r="G79" s="72"/>
      <c r="H79" s="70">
        <f>0</f>
        <v>0</v>
      </c>
      <c r="I79" s="71"/>
      <c r="J79" s="72"/>
      <c r="K79" s="130">
        <f t="shared" si="7"/>
        <v>0</v>
      </c>
      <c r="L79" s="131"/>
      <c r="M79" s="132"/>
      <c r="N79" s="58">
        <v>0</v>
      </c>
      <c r="O79" s="140">
        <f>2031.58+K79</f>
        <v>2031.58</v>
      </c>
      <c r="P79" s="140"/>
    </row>
    <row r="80" spans="1:16" x14ac:dyDescent="0.25">
      <c r="A80" s="59" t="s">
        <v>58</v>
      </c>
      <c r="B80" s="64">
        <f>2056.76</f>
        <v>2056.7600000000002</v>
      </c>
      <c r="C80" s="65"/>
      <c r="D80" s="66"/>
      <c r="E80" s="70">
        <f>0</f>
        <v>0</v>
      </c>
      <c r="F80" s="71"/>
      <c r="G80" s="72"/>
      <c r="H80" s="70">
        <f>0</f>
        <v>0</v>
      </c>
      <c r="I80" s="71"/>
      <c r="J80" s="72"/>
      <c r="K80" s="130">
        <f t="shared" si="7"/>
        <v>0</v>
      </c>
      <c r="L80" s="131"/>
      <c r="M80" s="132"/>
      <c r="N80" s="58">
        <v>0</v>
      </c>
      <c r="O80" s="140">
        <f>2056.76+K80</f>
        <v>2056.7600000000002</v>
      </c>
      <c r="P80" s="140"/>
    </row>
    <row r="81" spans="1:16" x14ac:dyDescent="0.25">
      <c r="A81" s="12" t="s">
        <v>61</v>
      </c>
      <c r="B81" s="67">
        <f>SUM(B82:D85)</f>
        <v>25267.710000000003</v>
      </c>
      <c r="C81" s="68"/>
      <c r="D81" s="69"/>
      <c r="E81" s="67">
        <f>SUM(E82:G85)</f>
        <v>0</v>
      </c>
      <c r="F81" s="68"/>
      <c r="G81" s="69"/>
      <c r="H81" s="67">
        <f>SUM(H82:J85)</f>
        <v>0</v>
      </c>
      <c r="I81" s="68"/>
      <c r="J81" s="69"/>
      <c r="K81" s="67">
        <f>SUM(K82:M85)</f>
        <v>0</v>
      </c>
      <c r="L81" s="68"/>
      <c r="M81" s="69"/>
      <c r="N81" s="48">
        <v>6.2673735280888935E-4</v>
      </c>
      <c r="O81" s="135">
        <f>SUM(O82:P85)</f>
        <v>25267.710000000003</v>
      </c>
      <c r="P81" s="136"/>
    </row>
    <row r="82" spans="1:16" x14ac:dyDescent="0.25">
      <c r="A82" s="13" t="s">
        <v>62</v>
      </c>
      <c r="B82" s="64">
        <f>5332.06</f>
        <v>5332.06</v>
      </c>
      <c r="C82" s="65"/>
      <c r="D82" s="66"/>
      <c r="E82" s="75">
        <f>0</f>
        <v>0</v>
      </c>
      <c r="F82" s="76"/>
      <c r="G82" s="77"/>
      <c r="H82" s="75">
        <f>0</f>
        <v>0</v>
      </c>
      <c r="I82" s="76"/>
      <c r="J82" s="77"/>
      <c r="K82" s="130">
        <f>0+E82+H82</f>
        <v>0</v>
      </c>
      <c r="L82" s="131"/>
      <c r="M82" s="132"/>
      <c r="N82" s="43">
        <v>0</v>
      </c>
      <c r="O82" s="134">
        <f>5332.06+K82</f>
        <v>5332.06</v>
      </c>
      <c r="P82" s="134"/>
    </row>
    <row r="83" spans="1:16" x14ac:dyDescent="0.25">
      <c r="A83" s="13" t="s">
        <v>63</v>
      </c>
      <c r="B83" s="64">
        <f>2565.95</f>
        <v>2565.9499999999998</v>
      </c>
      <c r="C83" s="65"/>
      <c r="D83" s="66"/>
      <c r="E83" s="75">
        <f>0</f>
        <v>0</v>
      </c>
      <c r="F83" s="76"/>
      <c r="G83" s="77"/>
      <c r="H83" s="75">
        <f>0</f>
        <v>0</v>
      </c>
      <c r="I83" s="76"/>
      <c r="J83" s="77"/>
      <c r="K83" s="130">
        <f t="shared" ref="K83:K85" si="8">0+E83+H83</f>
        <v>0</v>
      </c>
      <c r="L83" s="131"/>
      <c r="M83" s="132"/>
      <c r="N83" s="43">
        <v>2.0830882641257875E-3</v>
      </c>
      <c r="O83" s="134">
        <f>2565.95+K83</f>
        <v>2565.9499999999998</v>
      </c>
      <c r="P83" s="134"/>
    </row>
    <row r="84" spans="1:16" x14ac:dyDescent="0.25">
      <c r="A84" s="13" t="s">
        <v>64</v>
      </c>
      <c r="B84" s="64">
        <f>16346.96</f>
        <v>16346.96</v>
      </c>
      <c r="C84" s="65"/>
      <c r="D84" s="66"/>
      <c r="E84" s="75">
        <f>0</f>
        <v>0</v>
      </c>
      <c r="F84" s="76"/>
      <c r="G84" s="77"/>
      <c r="H84" s="75">
        <f>0</f>
        <v>0</v>
      </c>
      <c r="I84" s="76"/>
      <c r="J84" s="77"/>
      <c r="K84" s="130">
        <f t="shared" si="8"/>
        <v>0</v>
      </c>
      <c r="L84" s="131"/>
      <c r="M84" s="132"/>
      <c r="N84" s="43">
        <v>0</v>
      </c>
      <c r="O84" s="134">
        <f>16346.96+K84</f>
        <v>16346.96</v>
      </c>
      <c r="P84" s="134"/>
    </row>
    <row r="85" spans="1:16" x14ac:dyDescent="0.25">
      <c r="A85" s="13" t="s">
        <v>65</v>
      </c>
      <c r="B85" s="64">
        <f>1022.74</f>
        <v>1022.74</v>
      </c>
      <c r="C85" s="65"/>
      <c r="D85" s="66"/>
      <c r="E85" s="75">
        <f>0</f>
        <v>0</v>
      </c>
      <c r="F85" s="76"/>
      <c r="G85" s="77"/>
      <c r="H85" s="75">
        <f>0</f>
        <v>0</v>
      </c>
      <c r="I85" s="76"/>
      <c r="J85" s="77"/>
      <c r="K85" s="130">
        <f t="shared" si="8"/>
        <v>0</v>
      </c>
      <c r="L85" s="131"/>
      <c r="M85" s="132"/>
      <c r="N85" s="43">
        <v>0</v>
      </c>
      <c r="O85" s="134">
        <f>1022.74+K85</f>
        <v>1022.74</v>
      </c>
      <c r="P85" s="134"/>
    </row>
    <row r="86" spans="1:16" x14ac:dyDescent="0.25">
      <c r="A86" s="12" t="s">
        <v>66</v>
      </c>
      <c r="B86" s="67">
        <f>SUM(B87:D90)</f>
        <v>427070.25999999995</v>
      </c>
      <c r="C86" s="68"/>
      <c r="D86" s="69"/>
      <c r="E86" s="67">
        <f>SUM(E87:G90)</f>
        <v>0</v>
      </c>
      <c r="F86" s="68"/>
      <c r="G86" s="69"/>
      <c r="H86" s="67">
        <f>SUM(H87:J90)</f>
        <v>0</v>
      </c>
      <c r="I86" s="68"/>
      <c r="J86" s="69"/>
      <c r="K86" s="67">
        <f>SUM(K87:M90)</f>
        <v>0</v>
      </c>
      <c r="L86" s="68"/>
      <c r="M86" s="69"/>
      <c r="N86" s="48">
        <v>0</v>
      </c>
      <c r="O86" s="135">
        <f>SUM(O87:P90)</f>
        <v>427070.25999999995</v>
      </c>
      <c r="P86" s="136"/>
    </row>
    <row r="87" spans="1:16" x14ac:dyDescent="0.25">
      <c r="A87" s="13" t="s">
        <v>67</v>
      </c>
      <c r="B87" s="64">
        <f>229107.72</f>
        <v>229107.72</v>
      </c>
      <c r="C87" s="65"/>
      <c r="D87" s="66"/>
      <c r="E87" s="75">
        <f>0</f>
        <v>0</v>
      </c>
      <c r="F87" s="76"/>
      <c r="G87" s="77"/>
      <c r="H87" s="75">
        <f>0</f>
        <v>0</v>
      </c>
      <c r="I87" s="76"/>
      <c r="J87" s="77"/>
      <c r="K87" s="130">
        <f>0+E87+H87</f>
        <v>0</v>
      </c>
      <c r="L87" s="131"/>
      <c r="M87" s="132"/>
      <c r="N87" s="43">
        <v>0</v>
      </c>
      <c r="O87" s="134">
        <f>229107.72+K87</f>
        <v>229107.72</v>
      </c>
      <c r="P87" s="134"/>
    </row>
    <row r="88" spans="1:16" x14ac:dyDescent="0.25">
      <c r="A88" s="13" t="s">
        <v>92</v>
      </c>
      <c r="B88" s="64">
        <f>9871.05</f>
        <v>9871.0499999999993</v>
      </c>
      <c r="C88" s="65"/>
      <c r="D88" s="66"/>
      <c r="E88" s="75">
        <f>0</f>
        <v>0</v>
      </c>
      <c r="F88" s="76"/>
      <c r="G88" s="77"/>
      <c r="H88" s="75">
        <f>0</f>
        <v>0</v>
      </c>
      <c r="I88" s="76"/>
      <c r="J88" s="77"/>
      <c r="K88" s="130">
        <f t="shared" ref="K88:K90" si="9">0+E88+H88</f>
        <v>0</v>
      </c>
      <c r="L88" s="131"/>
      <c r="M88" s="132"/>
      <c r="N88" s="43">
        <v>0</v>
      </c>
      <c r="O88" s="134">
        <f>9871.05+K88</f>
        <v>9871.0499999999993</v>
      </c>
      <c r="P88" s="134"/>
    </row>
    <row r="89" spans="1:16" x14ac:dyDescent="0.25">
      <c r="A89" s="13" t="s">
        <v>68</v>
      </c>
      <c r="B89" s="64">
        <f>183145.19</f>
        <v>183145.19</v>
      </c>
      <c r="C89" s="65"/>
      <c r="D89" s="66"/>
      <c r="E89" s="75">
        <f>0</f>
        <v>0</v>
      </c>
      <c r="F89" s="76"/>
      <c r="G89" s="77"/>
      <c r="H89" s="75">
        <f>0</f>
        <v>0</v>
      </c>
      <c r="I89" s="76"/>
      <c r="J89" s="77"/>
      <c r="K89" s="130">
        <f t="shared" si="9"/>
        <v>0</v>
      </c>
      <c r="L89" s="131"/>
      <c r="M89" s="132"/>
      <c r="N89" s="43">
        <v>0</v>
      </c>
      <c r="O89" s="134">
        <f>183145.19+K89</f>
        <v>183145.19</v>
      </c>
      <c r="P89" s="134"/>
    </row>
    <row r="90" spans="1:16" x14ac:dyDescent="0.25">
      <c r="A90" s="13" t="s">
        <v>69</v>
      </c>
      <c r="B90" s="64">
        <v>4946.3</v>
      </c>
      <c r="C90" s="65"/>
      <c r="D90" s="66"/>
      <c r="E90" s="75">
        <f>0</f>
        <v>0</v>
      </c>
      <c r="F90" s="76"/>
      <c r="G90" s="77"/>
      <c r="H90" s="75">
        <f>0</f>
        <v>0</v>
      </c>
      <c r="I90" s="76"/>
      <c r="J90" s="77"/>
      <c r="K90" s="130">
        <f t="shared" si="9"/>
        <v>0</v>
      </c>
      <c r="L90" s="131"/>
      <c r="M90" s="132"/>
      <c r="N90" s="43">
        <v>0</v>
      </c>
      <c r="O90" s="134">
        <f>4946.3+K90</f>
        <v>4946.3</v>
      </c>
      <c r="P90" s="134"/>
    </row>
    <row r="91" spans="1:16" x14ac:dyDescent="0.25">
      <c r="A91" s="12" t="s">
        <v>70</v>
      </c>
      <c r="B91" s="67">
        <f>SUM(B92:D98)</f>
        <v>374353.01</v>
      </c>
      <c r="C91" s="68"/>
      <c r="D91" s="69"/>
      <c r="E91" s="67">
        <f>SUM(E92:G98)</f>
        <v>143.88</v>
      </c>
      <c r="F91" s="68"/>
      <c r="G91" s="69"/>
      <c r="H91" s="67">
        <f>SUM(H92:J98)</f>
        <v>1216.5899999999999</v>
      </c>
      <c r="I91" s="68"/>
      <c r="J91" s="69"/>
      <c r="K91" s="67">
        <f>SUM(K92:M98)</f>
        <v>1360.4699999999998</v>
      </c>
      <c r="L91" s="68"/>
      <c r="M91" s="69"/>
      <c r="N91" s="48">
        <v>3.3165466034522167E-3</v>
      </c>
      <c r="O91" s="135">
        <f>SUM(O92:P98)</f>
        <v>375713.48</v>
      </c>
      <c r="P91" s="136"/>
    </row>
    <row r="92" spans="1:16" x14ac:dyDescent="0.25">
      <c r="A92" s="16" t="s">
        <v>71</v>
      </c>
      <c r="B92" s="64">
        <f>134045.08</f>
        <v>134045.07999999999</v>
      </c>
      <c r="C92" s="65"/>
      <c r="D92" s="66"/>
      <c r="E92" s="75">
        <f>143.88</f>
        <v>143.88</v>
      </c>
      <c r="F92" s="76"/>
      <c r="G92" s="77"/>
      <c r="H92" s="75">
        <f>0</f>
        <v>0</v>
      </c>
      <c r="I92" s="76"/>
      <c r="J92" s="77"/>
      <c r="K92" s="130">
        <f>0+E92+H92</f>
        <v>143.88</v>
      </c>
      <c r="L92" s="131"/>
      <c r="M92" s="132"/>
      <c r="N92" s="43">
        <v>0</v>
      </c>
      <c r="O92" s="134">
        <f>134045.08+K92</f>
        <v>134188.96</v>
      </c>
      <c r="P92" s="134"/>
    </row>
    <row r="93" spans="1:16" x14ac:dyDescent="0.25">
      <c r="A93" s="16" t="s">
        <v>72</v>
      </c>
      <c r="B93" s="64">
        <f>30847.1</f>
        <v>30847.1</v>
      </c>
      <c r="C93" s="65"/>
      <c r="D93" s="66"/>
      <c r="E93" s="75">
        <f>0</f>
        <v>0</v>
      </c>
      <c r="F93" s="76"/>
      <c r="G93" s="77"/>
      <c r="H93" s="75">
        <f>1216.59</f>
        <v>1216.5899999999999</v>
      </c>
      <c r="I93" s="76"/>
      <c r="J93" s="77"/>
      <c r="K93" s="130">
        <f t="shared" ref="K93:K98" si="10">0+E93+H93</f>
        <v>1216.5899999999999</v>
      </c>
      <c r="L93" s="131"/>
      <c r="M93" s="132"/>
      <c r="N93" s="43">
        <v>0</v>
      </c>
      <c r="O93" s="137">
        <f>30847.1+K93</f>
        <v>32063.69</v>
      </c>
      <c r="P93" s="138"/>
    </row>
    <row r="94" spans="1:16" x14ac:dyDescent="0.25">
      <c r="A94" s="16" t="s">
        <v>73</v>
      </c>
      <c r="B94" s="64">
        <f>59749.69</f>
        <v>59749.69</v>
      </c>
      <c r="C94" s="65"/>
      <c r="D94" s="66"/>
      <c r="E94" s="75">
        <f>0</f>
        <v>0</v>
      </c>
      <c r="F94" s="76"/>
      <c r="G94" s="77"/>
      <c r="H94" s="75">
        <f>0</f>
        <v>0</v>
      </c>
      <c r="I94" s="76"/>
      <c r="J94" s="77"/>
      <c r="K94" s="130">
        <f t="shared" si="10"/>
        <v>0</v>
      </c>
      <c r="L94" s="131"/>
      <c r="M94" s="132"/>
      <c r="N94" s="43">
        <v>0</v>
      </c>
      <c r="O94" s="137">
        <f>59749.69+K94</f>
        <v>59749.69</v>
      </c>
      <c r="P94" s="138"/>
    </row>
    <row r="95" spans="1:16" x14ac:dyDescent="0.25">
      <c r="A95" s="16" t="s">
        <v>74</v>
      </c>
      <c r="B95" s="64">
        <f>30309.02</f>
        <v>30309.02</v>
      </c>
      <c r="C95" s="65"/>
      <c r="D95" s="66"/>
      <c r="E95" s="75">
        <f>0</f>
        <v>0</v>
      </c>
      <c r="F95" s="76"/>
      <c r="G95" s="77"/>
      <c r="H95" s="75">
        <f>0</f>
        <v>0</v>
      </c>
      <c r="I95" s="76"/>
      <c r="J95" s="77"/>
      <c r="K95" s="130">
        <f t="shared" si="10"/>
        <v>0</v>
      </c>
      <c r="L95" s="131"/>
      <c r="M95" s="132"/>
      <c r="N95" s="43">
        <v>0</v>
      </c>
      <c r="O95" s="137">
        <f>30309.02+K95</f>
        <v>30309.02</v>
      </c>
      <c r="P95" s="138"/>
    </row>
    <row r="96" spans="1:16" x14ac:dyDescent="0.25">
      <c r="A96" s="16" t="s">
        <v>75</v>
      </c>
      <c r="B96" s="64">
        <f>27426.37</f>
        <v>27426.37</v>
      </c>
      <c r="C96" s="65"/>
      <c r="D96" s="66"/>
      <c r="E96" s="75">
        <f>0</f>
        <v>0</v>
      </c>
      <c r="F96" s="76"/>
      <c r="G96" s="77"/>
      <c r="H96" s="75">
        <f>0</f>
        <v>0</v>
      </c>
      <c r="I96" s="76"/>
      <c r="J96" s="77"/>
      <c r="K96" s="130">
        <f t="shared" si="10"/>
        <v>0</v>
      </c>
      <c r="L96" s="131"/>
      <c r="M96" s="132"/>
      <c r="N96" s="43">
        <v>3.3165466034522167E-3</v>
      </c>
      <c r="O96" s="137">
        <f>27426.37+K96</f>
        <v>27426.37</v>
      </c>
      <c r="P96" s="138"/>
    </row>
    <row r="97" spans="1:16" x14ac:dyDescent="0.25">
      <c r="A97" s="16" t="s">
        <v>76</v>
      </c>
      <c r="B97" s="64">
        <f>46481.17</f>
        <v>46481.17</v>
      </c>
      <c r="C97" s="65"/>
      <c r="D97" s="66"/>
      <c r="E97" s="75">
        <f>0</f>
        <v>0</v>
      </c>
      <c r="F97" s="76"/>
      <c r="G97" s="77"/>
      <c r="H97" s="75">
        <f>0</f>
        <v>0</v>
      </c>
      <c r="I97" s="76"/>
      <c r="J97" s="77"/>
      <c r="K97" s="130">
        <f t="shared" si="10"/>
        <v>0</v>
      </c>
      <c r="L97" s="131"/>
      <c r="M97" s="132"/>
      <c r="N97" s="43">
        <v>0</v>
      </c>
      <c r="O97" s="137">
        <f>46481.17+K97</f>
        <v>46481.17</v>
      </c>
      <c r="P97" s="138"/>
    </row>
    <row r="98" spans="1:16" x14ac:dyDescent="0.25">
      <c r="A98" s="16" t="s">
        <v>77</v>
      </c>
      <c r="B98" s="64">
        <f>45494.58</f>
        <v>45494.58</v>
      </c>
      <c r="C98" s="65"/>
      <c r="D98" s="66"/>
      <c r="E98" s="75">
        <f>0</f>
        <v>0</v>
      </c>
      <c r="F98" s="76"/>
      <c r="G98" s="77"/>
      <c r="H98" s="75">
        <f>0</f>
        <v>0</v>
      </c>
      <c r="I98" s="76"/>
      <c r="J98" s="77"/>
      <c r="K98" s="130">
        <f t="shared" si="10"/>
        <v>0</v>
      </c>
      <c r="L98" s="131"/>
      <c r="M98" s="132"/>
      <c r="N98" s="43">
        <v>0</v>
      </c>
      <c r="O98" s="137">
        <f>45494.58+K98</f>
        <v>45494.58</v>
      </c>
      <c r="P98" s="138"/>
    </row>
    <row r="99" spans="1:16" x14ac:dyDescent="0.25">
      <c r="A99" s="17" t="s">
        <v>78</v>
      </c>
      <c r="B99" s="96">
        <f>B33+B42+B46+B50+B62+B67+B81+B86+B91</f>
        <v>5254662.47</v>
      </c>
      <c r="C99" s="97"/>
      <c r="D99" s="98"/>
      <c r="E99" s="124">
        <f>E33+E42+E46+E50+E62+E67+E81+E86+E91</f>
        <v>30081.310000000005</v>
      </c>
      <c r="F99" s="125"/>
      <c r="G99" s="126"/>
      <c r="H99" s="124">
        <f>H33+H42+H46+H50+H62+H67+H81+H86+H91</f>
        <v>35588.01</v>
      </c>
      <c r="I99" s="125"/>
      <c r="J99" s="126"/>
      <c r="K99" s="124">
        <f>K91+K86+K81+K67+K62+K50+K46+K42+K33</f>
        <v>65089.32</v>
      </c>
      <c r="L99" s="125"/>
      <c r="M99" s="126"/>
      <c r="N99" s="47">
        <v>1</v>
      </c>
      <c r="O99" s="141">
        <f>O33+O42+O46+O50+O62+O67+O81+O86+O91</f>
        <v>5320331.790000001</v>
      </c>
      <c r="P99" s="142"/>
    </row>
    <row r="100" spans="1:16" x14ac:dyDescent="0.25">
      <c r="A100" s="18" t="s">
        <v>79</v>
      </c>
      <c r="B100" s="99">
        <v>4776783.2000000011</v>
      </c>
      <c r="C100" s="100"/>
      <c r="D100" s="101"/>
      <c r="E100" s="127">
        <f>G27-E99</f>
        <v>15051.979999999996</v>
      </c>
      <c r="F100" s="128"/>
      <c r="G100" s="129"/>
      <c r="H100" s="127">
        <f>J27-H99</f>
        <v>6729.7999999999956</v>
      </c>
      <c r="I100" s="128"/>
      <c r="J100" s="129"/>
      <c r="K100" s="133">
        <v>8160.9600000000064</v>
      </c>
      <c r="L100" s="133"/>
      <c r="M100" s="133"/>
      <c r="N100" s="143">
        <f>P27-O99</f>
        <v>4252211.51</v>
      </c>
      <c r="O100" s="144"/>
      <c r="P100" s="144"/>
    </row>
    <row r="101" spans="1:16" x14ac:dyDescent="0.25">
      <c r="A101" s="19" t="s">
        <v>98</v>
      </c>
      <c r="B101" s="102">
        <f>D27-B99</f>
        <v>4230429.7300000014</v>
      </c>
      <c r="C101" s="102"/>
      <c r="D101" s="102"/>
    </row>
    <row r="104" spans="1:16" x14ac:dyDescent="0.25">
      <c r="A104" s="20" t="s">
        <v>80</v>
      </c>
      <c r="B104" s="103" t="s">
        <v>90</v>
      </c>
      <c r="C104" s="103"/>
      <c r="D104" s="103"/>
      <c r="E104" s="103" t="s">
        <v>1</v>
      </c>
      <c r="F104" s="103"/>
      <c r="G104" s="103"/>
      <c r="H104" s="103" t="s">
        <v>88</v>
      </c>
      <c r="I104" s="103"/>
      <c r="J104" s="103"/>
      <c r="L104" s="50"/>
    </row>
    <row r="105" spans="1:16" x14ac:dyDescent="0.25">
      <c r="A105" s="21" t="s">
        <v>81</v>
      </c>
      <c r="B105" s="86">
        <f>265.94</f>
        <v>265.94</v>
      </c>
      <c r="C105" s="86"/>
      <c r="D105" s="86"/>
      <c r="E105" s="86">
        <f>B105+2.65</f>
        <v>268.58999999999997</v>
      </c>
      <c r="F105" s="86"/>
      <c r="G105" s="86"/>
      <c r="H105" s="86">
        <f>E105-5032.48-5.26-12.53+90000+599.49</f>
        <v>85817.810000000012</v>
      </c>
      <c r="I105" s="86"/>
      <c r="J105" s="86"/>
      <c r="M105" s="52"/>
    </row>
    <row r="106" spans="1:16" x14ac:dyDescent="0.25">
      <c r="A106" s="21" t="s">
        <v>82</v>
      </c>
      <c r="B106" s="86">
        <f>2936549.89</f>
        <v>2936549.89</v>
      </c>
      <c r="C106" s="86"/>
      <c r="D106" s="86"/>
      <c r="E106" s="86">
        <f>B106+31605.24</f>
        <v>2968155.1300000004</v>
      </c>
      <c r="F106" s="86"/>
      <c r="G106" s="86"/>
      <c r="H106" s="86">
        <f>E106-110000-356.05+28930.8</f>
        <v>2886729.8800000004</v>
      </c>
      <c r="I106" s="86"/>
      <c r="J106" s="86"/>
    </row>
    <row r="107" spans="1:16" x14ac:dyDescent="0.25">
      <c r="A107" s="21" t="s">
        <v>95</v>
      </c>
      <c r="B107" s="60">
        <f>1253139.81</f>
        <v>1253139.81</v>
      </c>
      <c r="C107" s="61"/>
      <c r="D107" s="62"/>
      <c r="E107" s="60">
        <f>B107+13505.4</f>
        <v>1266645.21</v>
      </c>
      <c r="F107" s="61"/>
      <c r="G107" s="62"/>
      <c r="H107" s="60">
        <f>E107+12767.52</f>
        <v>1279412.73</v>
      </c>
      <c r="I107" s="61"/>
      <c r="J107" s="62"/>
    </row>
    <row r="108" spans="1:16" x14ac:dyDescent="0.25">
      <c r="A108" s="21" t="s">
        <v>96</v>
      </c>
      <c r="B108" s="86">
        <f>0</f>
        <v>0</v>
      </c>
      <c r="C108" s="86"/>
      <c r="D108" s="86"/>
      <c r="E108" s="86">
        <f>0</f>
        <v>0</v>
      </c>
      <c r="F108" s="86"/>
      <c r="G108" s="86"/>
      <c r="H108" s="86">
        <f>0</f>
        <v>0</v>
      </c>
      <c r="I108" s="86"/>
      <c r="J108" s="86"/>
    </row>
    <row r="109" spans="1:16" x14ac:dyDescent="0.25">
      <c r="A109" s="22" t="s">
        <v>83</v>
      </c>
      <c r="B109" s="121">
        <f>SUM(B105:D108)</f>
        <v>4189955.64</v>
      </c>
      <c r="C109" s="121"/>
      <c r="D109" s="121"/>
      <c r="E109" s="121">
        <f>SUM(E105:G108)</f>
        <v>4235068.93</v>
      </c>
      <c r="F109" s="121"/>
      <c r="G109" s="121"/>
      <c r="H109" s="121">
        <f>SUM(H105:J108)</f>
        <v>4251960.42</v>
      </c>
      <c r="I109" s="121"/>
      <c r="J109" s="121"/>
      <c r="P109" s="51"/>
    </row>
    <row r="110" spans="1:16" x14ac:dyDescent="0.25">
      <c r="A110" s="23" t="s">
        <v>84</v>
      </c>
    </row>
    <row r="111" spans="1:16" x14ac:dyDescent="0.25">
      <c r="A111" s="24" t="s">
        <v>85</v>
      </c>
    </row>
    <row r="112" spans="1:16" x14ac:dyDescent="0.25">
      <c r="A112" s="24" t="s">
        <v>86</v>
      </c>
    </row>
    <row r="113" spans="1:1" x14ac:dyDescent="0.25">
      <c r="A113" s="25" t="s">
        <v>87</v>
      </c>
    </row>
  </sheetData>
  <sheetProtection algorithmName="SHA-512" hashValue="rNr3xwoLpILix1Fc0FYYR1ICcNkA7h5RRfc5nY0ZFczR2yih8BRDtN6CY4NUez7pBve9RlaQkrt0Xzwz30CfmQ==" saltValue="vhVv6lV67s35ab/dPPsfvg==" spinCount="100000" sheet="1" objects="1" scenarios="1"/>
  <mergeCells count="424">
    <mergeCell ref="K93:M93"/>
    <mergeCell ref="K94:M94"/>
    <mergeCell ref="K95:M95"/>
    <mergeCell ref="K96:M96"/>
    <mergeCell ref="K97:M97"/>
    <mergeCell ref="K98:M98"/>
    <mergeCell ref="K84:M84"/>
    <mergeCell ref="K85:M85"/>
    <mergeCell ref="K88:M88"/>
    <mergeCell ref="K89:M89"/>
    <mergeCell ref="K90:M90"/>
    <mergeCell ref="K80:M80"/>
    <mergeCell ref="K77:M77"/>
    <mergeCell ref="K78:M78"/>
    <mergeCell ref="K83:M83"/>
    <mergeCell ref="K69:M69"/>
    <mergeCell ref="K70:M70"/>
    <mergeCell ref="K79:M79"/>
    <mergeCell ref="K71:M71"/>
    <mergeCell ref="K72:M72"/>
    <mergeCell ref="K73:M73"/>
    <mergeCell ref="K74:M74"/>
    <mergeCell ref="K59:M59"/>
    <mergeCell ref="K60:M60"/>
    <mergeCell ref="K61:M61"/>
    <mergeCell ref="K64:M64"/>
    <mergeCell ref="K65:M65"/>
    <mergeCell ref="K66:M66"/>
    <mergeCell ref="K52:M52"/>
    <mergeCell ref="K53:M53"/>
    <mergeCell ref="K54:M54"/>
    <mergeCell ref="K55:M55"/>
    <mergeCell ref="K56:M56"/>
    <mergeCell ref="K57:M57"/>
    <mergeCell ref="K75:M75"/>
    <mergeCell ref="K76:M76"/>
    <mergeCell ref="K44:M44"/>
    <mergeCell ref="K45:M45"/>
    <mergeCell ref="K48:M48"/>
    <mergeCell ref="K49:M49"/>
    <mergeCell ref="K35:M35"/>
    <mergeCell ref="K36:M36"/>
    <mergeCell ref="K39:M39"/>
    <mergeCell ref="K37:M37"/>
    <mergeCell ref="K38:M38"/>
    <mergeCell ref="K40:M40"/>
    <mergeCell ref="K58:M58"/>
    <mergeCell ref="K41:M41"/>
    <mergeCell ref="H105:J105"/>
    <mergeCell ref="H106:J106"/>
    <mergeCell ref="H108:J108"/>
    <mergeCell ref="H109:J109"/>
    <mergeCell ref="H93:J93"/>
    <mergeCell ref="H94:J94"/>
    <mergeCell ref="H95:J95"/>
    <mergeCell ref="H96:J96"/>
    <mergeCell ref="H97:J97"/>
    <mergeCell ref="H98:J98"/>
    <mergeCell ref="H99:J99"/>
    <mergeCell ref="H100:J100"/>
    <mergeCell ref="H104:J104"/>
    <mergeCell ref="H84:J84"/>
    <mergeCell ref="H85:J85"/>
    <mergeCell ref="H86:J86"/>
    <mergeCell ref="H87:J87"/>
    <mergeCell ref="H88:J88"/>
    <mergeCell ref="H89:J89"/>
    <mergeCell ref="H90:J90"/>
    <mergeCell ref="H91:J91"/>
    <mergeCell ref="H92:J92"/>
    <mergeCell ref="H75:J75"/>
    <mergeCell ref="H76:J76"/>
    <mergeCell ref="H80:J80"/>
    <mergeCell ref="H77:J77"/>
    <mergeCell ref="H78:J78"/>
    <mergeCell ref="H81:J81"/>
    <mergeCell ref="H82:J82"/>
    <mergeCell ref="H83:J83"/>
    <mergeCell ref="H68:J68"/>
    <mergeCell ref="H69:J69"/>
    <mergeCell ref="H70:J70"/>
    <mergeCell ref="H79:J79"/>
    <mergeCell ref="H71:J71"/>
    <mergeCell ref="H72:J72"/>
    <mergeCell ref="H73:J73"/>
    <mergeCell ref="H74:J74"/>
    <mergeCell ref="H58:J58"/>
    <mergeCell ref="H59:J59"/>
    <mergeCell ref="H60:J60"/>
    <mergeCell ref="H61:J61"/>
    <mergeCell ref="H62:J62"/>
    <mergeCell ref="H63:J63"/>
    <mergeCell ref="H64:J64"/>
    <mergeCell ref="H65:J65"/>
    <mergeCell ref="H66:J66"/>
    <mergeCell ref="H52:J52"/>
    <mergeCell ref="H51:J51"/>
    <mergeCell ref="H53:J53"/>
    <mergeCell ref="H54:J54"/>
    <mergeCell ref="H55:J55"/>
    <mergeCell ref="H56:J56"/>
    <mergeCell ref="H57:J57"/>
    <mergeCell ref="H42:J42"/>
    <mergeCell ref="H43:J43"/>
    <mergeCell ref="H44:J44"/>
    <mergeCell ref="H45:J45"/>
    <mergeCell ref="H46:J46"/>
    <mergeCell ref="H47:J47"/>
    <mergeCell ref="H48:J48"/>
    <mergeCell ref="H49:J49"/>
    <mergeCell ref="H50:J50"/>
    <mergeCell ref="H67:J67"/>
    <mergeCell ref="H34:J34"/>
    <mergeCell ref="H35:J35"/>
    <mergeCell ref="H36:J36"/>
    <mergeCell ref="H39:J39"/>
    <mergeCell ref="H37:J37"/>
    <mergeCell ref="H38:J38"/>
    <mergeCell ref="H40:J40"/>
    <mergeCell ref="H41:J41"/>
    <mergeCell ref="H13:J13"/>
    <mergeCell ref="H14:J14"/>
    <mergeCell ref="H15:J15"/>
    <mergeCell ref="H16:J16"/>
    <mergeCell ref="H17:J17"/>
    <mergeCell ref="H18:J18"/>
    <mergeCell ref="H21:J21"/>
    <mergeCell ref="H27:I27"/>
    <mergeCell ref="H32:J32"/>
    <mergeCell ref="A9:P9"/>
    <mergeCell ref="A30:P30"/>
    <mergeCell ref="N13:P13"/>
    <mergeCell ref="N14:P14"/>
    <mergeCell ref="O97:P97"/>
    <mergeCell ref="O98:P98"/>
    <mergeCell ref="O63:P63"/>
    <mergeCell ref="O64:P64"/>
    <mergeCell ref="O65:P65"/>
    <mergeCell ref="O66:P66"/>
    <mergeCell ref="O67:P67"/>
    <mergeCell ref="O58:P58"/>
    <mergeCell ref="O62:P62"/>
    <mergeCell ref="O54:P54"/>
    <mergeCell ref="O55:P55"/>
    <mergeCell ref="O56:P56"/>
    <mergeCell ref="O57:P57"/>
    <mergeCell ref="O38:P38"/>
    <mergeCell ref="O37:P37"/>
    <mergeCell ref="O39:P39"/>
    <mergeCell ref="O59:P59"/>
    <mergeCell ref="H11:J11"/>
    <mergeCell ref="H12:J12"/>
    <mergeCell ref="O81:P81"/>
    <mergeCell ref="O72:P72"/>
    <mergeCell ref="O60:P60"/>
    <mergeCell ref="O61:P61"/>
    <mergeCell ref="O32:P32"/>
    <mergeCell ref="N18:P18"/>
    <mergeCell ref="N11:P11"/>
    <mergeCell ref="N12:P12"/>
    <mergeCell ref="H33:J33"/>
    <mergeCell ref="O99:P99"/>
    <mergeCell ref="O73:P73"/>
    <mergeCell ref="O74:P74"/>
    <mergeCell ref="O75:P75"/>
    <mergeCell ref="O68:P68"/>
    <mergeCell ref="O69:P69"/>
    <mergeCell ref="O70:P70"/>
    <mergeCell ref="O79:P79"/>
    <mergeCell ref="O71:P71"/>
    <mergeCell ref="N100:P100"/>
    <mergeCell ref="O21:P21"/>
    <mergeCell ref="N21:N22"/>
    <mergeCell ref="O92:P92"/>
    <mergeCell ref="O93:P93"/>
    <mergeCell ref="O94:P94"/>
    <mergeCell ref="O95:P95"/>
    <mergeCell ref="O96:P96"/>
    <mergeCell ref="O87:P87"/>
    <mergeCell ref="O88:P88"/>
    <mergeCell ref="O89:P89"/>
    <mergeCell ref="O90:P90"/>
    <mergeCell ref="O91:P91"/>
    <mergeCell ref="O82:P82"/>
    <mergeCell ref="O83:P83"/>
    <mergeCell ref="O84:P84"/>
    <mergeCell ref="O85:P85"/>
    <mergeCell ref="O86:P86"/>
    <mergeCell ref="O76:P76"/>
    <mergeCell ref="O80:P80"/>
    <mergeCell ref="O77:P77"/>
    <mergeCell ref="O78:P78"/>
    <mergeCell ref="N17:P17"/>
    <mergeCell ref="N16:P16"/>
    <mergeCell ref="N15:P15"/>
    <mergeCell ref="O36:P36"/>
    <mergeCell ref="O50:P50"/>
    <mergeCell ref="O52:P52"/>
    <mergeCell ref="O51:P51"/>
    <mergeCell ref="O53:P53"/>
    <mergeCell ref="O45:P45"/>
    <mergeCell ref="O46:P46"/>
    <mergeCell ref="O47:P47"/>
    <mergeCell ref="O48:P48"/>
    <mergeCell ref="O49:P49"/>
    <mergeCell ref="O33:P33"/>
    <mergeCell ref="O34:P34"/>
    <mergeCell ref="O35:P35"/>
    <mergeCell ref="O44:P44"/>
    <mergeCell ref="O43:P43"/>
    <mergeCell ref="O42:P42"/>
    <mergeCell ref="O41:P41"/>
    <mergeCell ref="O40:P40"/>
    <mergeCell ref="K63:M63"/>
    <mergeCell ref="K67:M67"/>
    <mergeCell ref="K46:M46"/>
    <mergeCell ref="K47:M47"/>
    <mergeCell ref="K62:M62"/>
    <mergeCell ref="K50:M50"/>
    <mergeCell ref="K51:M51"/>
    <mergeCell ref="K99:M99"/>
    <mergeCell ref="K100:M100"/>
    <mergeCell ref="K92:M92"/>
    <mergeCell ref="K87:M87"/>
    <mergeCell ref="K91:M91"/>
    <mergeCell ref="K82:M82"/>
    <mergeCell ref="K86:M86"/>
    <mergeCell ref="K68:M68"/>
    <mergeCell ref="E72:G72"/>
    <mergeCell ref="E73:G73"/>
    <mergeCell ref="E74:G74"/>
    <mergeCell ref="E67:G67"/>
    <mergeCell ref="E68:G68"/>
    <mergeCell ref="E69:G69"/>
    <mergeCell ref="E70:G70"/>
    <mergeCell ref="E79:G79"/>
    <mergeCell ref="K81:M81"/>
    <mergeCell ref="K11:M11"/>
    <mergeCell ref="K12:M12"/>
    <mergeCell ref="K13:M13"/>
    <mergeCell ref="K14:M14"/>
    <mergeCell ref="K15:M15"/>
    <mergeCell ref="K16:M16"/>
    <mergeCell ref="K17:M17"/>
    <mergeCell ref="K18:M18"/>
    <mergeCell ref="K21:M21"/>
    <mergeCell ref="K27:L27"/>
    <mergeCell ref="K32:M32"/>
    <mergeCell ref="K33:M33"/>
    <mergeCell ref="K34:M34"/>
    <mergeCell ref="K42:M42"/>
    <mergeCell ref="K43:M43"/>
    <mergeCell ref="E96:G96"/>
    <mergeCell ref="E97:G97"/>
    <mergeCell ref="E98:G98"/>
    <mergeCell ref="E99:G99"/>
    <mergeCell ref="E100:G100"/>
    <mergeCell ref="E91:G91"/>
    <mergeCell ref="E92:G92"/>
    <mergeCell ref="E93:G93"/>
    <mergeCell ref="E94:G94"/>
    <mergeCell ref="E95:G95"/>
    <mergeCell ref="E104:G104"/>
    <mergeCell ref="E105:G105"/>
    <mergeCell ref="E106:G106"/>
    <mergeCell ref="E108:G108"/>
    <mergeCell ref="E86:G86"/>
    <mergeCell ref="E87:G87"/>
    <mergeCell ref="E88:G88"/>
    <mergeCell ref="E89:G89"/>
    <mergeCell ref="E90:G90"/>
    <mergeCell ref="E81:G81"/>
    <mergeCell ref="E84:G84"/>
    <mergeCell ref="E85:G85"/>
    <mergeCell ref="E75:G75"/>
    <mergeCell ref="E76:G76"/>
    <mergeCell ref="E80:G80"/>
    <mergeCell ref="E77:G77"/>
    <mergeCell ref="E78:G78"/>
    <mergeCell ref="B109:D109"/>
    <mergeCell ref="B26:C26"/>
    <mergeCell ref="B23:C23"/>
    <mergeCell ref="B24:C24"/>
    <mergeCell ref="B25:C25"/>
    <mergeCell ref="B27:C27"/>
    <mergeCell ref="B50:D50"/>
    <mergeCell ref="B43:D43"/>
    <mergeCell ref="B44:D44"/>
    <mergeCell ref="B45:D45"/>
    <mergeCell ref="B46:D46"/>
    <mergeCell ref="B47:D47"/>
    <mergeCell ref="B48:D48"/>
    <mergeCell ref="B49:D49"/>
    <mergeCell ref="B59:D59"/>
    <mergeCell ref="B60:D60"/>
    <mergeCell ref="B61:D61"/>
    <mergeCell ref="B62:D62"/>
    <mergeCell ref="B58:D58"/>
    <mergeCell ref="E82:G82"/>
    <mergeCell ref="E53:G53"/>
    <mergeCell ref="E54:G54"/>
    <mergeCell ref="E55:G55"/>
    <mergeCell ref="E109:G109"/>
    <mergeCell ref="E59:G59"/>
    <mergeCell ref="E60:G60"/>
    <mergeCell ref="E61:G61"/>
    <mergeCell ref="E71:G71"/>
    <mergeCell ref="E56:G56"/>
    <mergeCell ref="E46:G46"/>
    <mergeCell ref="E47:G47"/>
    <mergeCell ref="E52:G52"/>
    <mergeCell ref="E51:G51"/>
    <mergeCell ref="E48:G48"/>
    <mergeCell ref="E49:G49"/>
    <mergeCell ref="E50:G50"/>
    <mergeCell ref="E57:G57"/>
    <mergeCell ref="E58:G58"/>
    <mergeCell ref="E62:G62"/>
    <mergeCell ref="E63:G63"/>
    <mergeCell ref="E64:G64"/>
    <mergeCell ref="E65:G65"/>
    <mergeCell ref="E66:G66"/>
    <mergeCell ref="E11:G11"/>
    <mergeCell ref="E21:G21"/>
    <mergeCell ref="E12:G12"/>
    <mergeCell ref="E13:G13"/>
    <mergeCell ref="E14:G14"/>
    <mergeCell ref="E15:G15"/>
    <mergeCell ref="E16:G16"/>
    <mergeCell ref="E17:G17"/>
    <mergeCell ref="E18:G18"/>
    <mergeCell ref="E44:G44"/>
    <mergeCell ref="E45:G45"/>
    <mergeCell ref="E36:G36"/>
    <mergeCell ref="E39:G39"/>
    <mergeCell ref="E37:G37"/>
    <mergeCell ref="E38:G38"/>
    <mergeCell ref="E40:G40"/>
    <mergeCell ref="E41:G41"/>
    <mergeCell ref="E43:G43"/>
    <mergeCell ref="B21:D21"/>
    <mergeCell ref="B90:D90"/>
    <mergeCell ref="B91:D91"/>
    <mergeCell ref="B92:D92"/>
    <mergeCell ref="B93:D93"/>
    <mergeCell ref="B71:D71"/>
    <mergeCell ref="B72:D72"/>
    <mergeCell ref="B73:D73"/>
    <mergeCell ref="B74:D74"/>
    <mergeCell ref="B75:D75"/>
    <mergeCell ref="B76:D76"/>
    <mergeCell ref="B80:D80"/>
    <mergeCell ref="B77:D77"/>
    <mergeCell ref="B81:D81"/>
    <mergeCell ref="B63:D63"/>
    <mergeCell ref="B82:D82"/>
    <mergeCell ref="B83:D83"/>
    <mergeCell ref="B84:D84"/>
    <mergeCell ref="B85:D85"/>
    <mergeCell ref="B51:D51"/>
    <mergeCell ref="B53:D53"/>
    <mergeCell ref="B54:D54"/>
    <mergeCell ref="B55:D55"/>
    <mergeCell ref="B56:D56"/>
    <mergeCell ref="B57:D57"/>
    <mergeCell ref="B86:D86"/>
    <mergeCell ref="B34:D34"/>
    <mergeCell ref="B68:D68"/>
    <mergeCell ref="B69:D69"/>
    <mergeCell ref="B70:D70"/>
    <mergeCell ref="B52:D52"/>
    <mergeCell ref="A1:P4"/>
    <mergeCell ref="A5:P6"/>
    <mergeCell ref="B105:D105"/>
    <mergeCell ref="B106:D106"/>
    <mergeCell ref="B108:D108"/>
    <mergeCell ref="B12:D12"/>
    <mergeCell ref="B22:C22"/>
    <mergeCell ref="B11:D11"/>
    <mergeCell ref="B18:D18"/>
    <mergeCell ref="B17:D17"/>
    <mergeCell ref="B16:D16"/>
    <mergeCell ref="B15:D15"/>
    <mergeCell ref="B14:D14"/>
    <mergeCell ref="B13:D13"/>
    <mergeCell ref="B94:D94"/>
    <mergeCell ref="B95:D95"/>
    <mergeCell ref="B96:D96"/>
    <mergeCell ref="B97:D97"/>
    <mergeCell ref="B98:D98"/>
    <mergeCell ref="B99:D99"/>
    <mergeCell ref="B100:D100"/>
    <mergeCell ref="B101:D101"/>
    <mergeCell ref="B104:D104"/>
    <mergeCell ref="B78:D78"/>
    <mergeCell ref="B87:D87"/>
    <mergeCell ref="B88:D88"/>
    <mergeCell ref="B89:D89"/>
    <mergeCell ref="A21:A22"/>
    <mergeCell ref="B32:D32"/>
    <mergeCell ref="B42:D42"/>
    <mergeCell ref="B33:D33"/>
    <mergeCell ref="E107:G107"/>
    <mergeCell ref="H107:J107"/>
    <mergeCell ref="B79:D79"/>
    <mergeCell ref="B64:D64"/>
    <mergeCell ref="B65:D65"/>
    <mergeCell ref="B66:D66"/>
    <mergeCell ref="B67:D67"/>
    <mergeCell ref="B41:D41"/>
    <mergeCell ref="B40:D40"/>
    <mergeCell ref="B38:D38"/>
    <mergeCell ref="B37:D37"/>
    <mergeCell ref="B39:D39"/>
    <mergeCell ref="B36:D36"/>
    <mergeCell ref="B35:D35"/>
    <mergeCell ref="E27:F27"/>
    <mergeCell ref="E32:G32"/>
    <mergeCell ref="E33:G33"/>
    <mergeCell ref="E34:G34"/>
    <mergeCell ref="E35:G35"/>
    <mergeCell ref="E83:G83"/>
    <mergeCell ref="E42:G42"/>
    <mergeCell ref="B107:D107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H46 H42 H86 K91 K86 K81 K62 K50 K46 K42 E62 E42 E46 E37 E56 E75 E86 E54 E67 E81 H56 H67 H70 H81 H91 H9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Anipa Participantes</dc:creator>
  <cp:lastModifiedBy>Financeiro ANIPA</cp:lastModifiedBy>
  <dcterms:created xsi:type="dcterms:W3CDTF">2023-04-14T18:57:22Z</dcterms:created>
  <dcterms:modified xsi:type="dcterms:W3CDTF">2025-04-15T14:34:08Z</dcterms:modified>
</cp:coreProperties>
</file>