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os\Desktop\FINANCEIRO\02. FINANCEIRO\2020\12. DEZ\Histórico Mensal\"/>
    </mc:Choice>
  </mc:AlternateContent>
  <xr:revisionPtr revIDLastSave="0" documentId="8_{83617451-FB17-4BCD-80EB-6A7BCDA273CC}" xr6:coauthVersionLast="46" xr6:coauthVersionMax="46" xr10:uidLastSave="{00000000-0000-0000-0000-000000000000}"/>
  <workbookProtection workbookAlgorithmName="SHA-512" workbookHashValue="LKF3fn3df4klysD+QAiCVxipsoWxhztK2u0slVOgVHsiUOTwRJbSF3Mv3Sif+sck5kY4H2YIj0S/1ZT6cEwzZg==" workbookSaltValue="O+jEpwhaeKClwp+K9CKI2g==" workbookSpinCount="100000" lockStructure="1"/>
  <bookViews>
    <workbookView xWindow="-120" yWindow="-120" windowWidth="20730" windowHeight="11160" xr2:uid="{7DD83758-ADE5-48C6-AF56-009D528E6000}"/>
  </bookViews>
  <sheets>
    <sheet name="DE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6" i="1" l="1"/>
  <c r="AK24" i="1"/>
  <c r="AK26" i="1"/>
  <c r="AN26" i="1" l="1"/>
  <c r="AN24" i="1"/>
  <c r="AP24" i="1"/>
  <c r="AO24" i="1"/>
  <c r="AI113" i="1" l="1"/>
  <c r="W113" i="1"/>
  <c r="T113" i="1"/>
  <c r="K113" i="1"/>
  <c r="E113" i="1"/>
  <c r="E112" i="1"/>
  <c r="H112" i="1" s="1"/>
  <c r="K112" i="1" s="1"/>
  <c r="N112" i="1" s="1"/>
  <c r="Q112" i="1" s="1"/>
  <c r="T112" i="1" s="1"/>
  <c r="W112" i="1" s="1"/>
  <c r="Z112" i="1" s="1"/>
  <c r="AC112" i="1" s="1"/>
  <c r="AF112" i="1" s="1"/>
  <c r="AI112" i="1" s="1"/>
  <c r="AL112" i="1" s="1"/>
  <c r="N111" i="1"/>
  <c r="Q111" i="1" s="1"/>
  <c r="T111" i="1" s="1"/>
  <c r="W111" i="1" s="1"/>
  <c r="Z111" i="1" s="1"/>
  <c r="AC111" i="1" s="1"/>
  <c r="AF111" i="1" s="1"/>
  <c r="AI111" i="1" s="1"/>
  <c r="AL111" i="1" s="1"/>
  <c r="K110" i="1"/>
  <c r="N110" i="1" s="1"/>
  <c r="Q110" i="1" s="1"/>
  <c r="T110" i="1" s="1"/>
  <c r="W110" i="1" s="1"/>
  <c r="Z110" i="1" s="1"/>
  <c r="AC110" i="1" s="1"/>
  <c r="AF110" i="1" s="1"/>
  <c r="AI110" i="1" s="1"/>
  <c r="AL110" i="1" s="1"/>
  <c r="E110" i="1"/>
  <c r="H110" i="1" s="1"/>
  <c r="B109" i="1"/>
  <c r="K102" i="1"/>
  <c r="E102" i="1"/>
  <c r="AO102" i="1" s="1"/>
  <c r="AS102" i="1" s="1"/>
  <c r="AO101" i="1"/>
  <c r="AS101" i="1" s="1"/>
  <c r="K100" i="1"/>
  <c r="AO100" i="1" s="1"/>
  <c r="AS100" i="1" s="1"/>
  <c r="K99" i="1"/>
  <c r="AO99" i="1" s="1"/>
  <c r="AS99" i="1" s="1"/>
  <c r="K98" i="1"/>
  <c r="H98" i="1"/>
  <c r="E98" i="1"/>
  <c r="H97" i="1"/>
  <c r="AO97" i="1" s="1"/>
  <c r="K96" i="1"/>
  <c r="H96" i="1"/>
  <c r="AO96" i="1" s="1"/>
  <c r="AS96" i="1" s="1"/>
  <c r="AL95" i="1"/>
  <c r="AI95" i="1"/>
  <c r="AF95" i="1"/>
  <c r="AC95" i="1"/>
  <c r="Z95" i="1"/>
  <c r="W95" i="1"/>
  <c r="T95" i="1"/>
  <c r="Q95" i="1"/>
  <c r="N95" i="1"/>
  <c r="B95" i="1"/>
  <c r="Z94" i="1"/>
  <c r="AO94" i="1" s="1"/>
  <c r="AL93" i="1"/>
  <c r="AL90" i="1" s="1"/>
  <c r="K93" i="1"/>
  <c r="E93" i="1"/>
  <c r="AO93" i="1" s="1"/>
  <c r="H92" i="1"/>
  <c r="Z91" i="1"/>
  <c r="Q91" i="1"/>
  <c r="Q90" i="1" s="1"/>
  <c r="E91" i="1"/>
  <c r="E90" i="1" s="1"/>
  <c r="B91" i="1"/>
  <c r="B90" i="1" s="1"/>
  <c r="AI90" i="1"/>
  <c r="AF90" i="1"/>
  <c r="AC90" i="1"/>
  <c r="W90" i="1"/>
  <c r="T90" i="1"/>
  <c r="N90" i="1"/>
  <c r="K90" i="1"/>
  <c r="AI89" i="1"/>
  <c r="Z89" i="1"/>
  <c r="Q89" i="1"/>
  <c r="K89" i="1"/>
  <c r="E89" i="1"/>
  <c r="AI88" i="1"/>
  <c r="AC88" i="1"/>
  <c r="Z88" i="1"/>
  <c r="W88" i="1"/>
  <c r="T88" i="1"/>
  <c r="Q88" i="1"/>
  <c r="K88" i="1"/>
  <c r="E88" i="1"/>
  <c r="AL87" i="1"/>
  <c r="AL84" i="1" s="1"/>
  <c r="AI87" i="1"/>
  <c r="AF87" i="1"/>
  <c r="AF84" i="1" s="1"/>
  <c r="AC87" i="1"/>
  <c r="Z87" i="1"/>
  <c r="W87" i="1"/>
  <c r="T87" i="1"/>
  <c r="Q87" i="1"/>
  <c r="Q84" i="1" s="1"/>
  <c r="K87" i="1"/>
  <c r="H87" i="1"/>
  <c r="E87" i="1"/>
  <c r="AO86" i="1"/>
  <c r="AS86" i="1" s="1"/>
  <c r="AO85" i="1"/>
  <c r="AS85" i="1" s="1"/>
  <c r="AC84" i="1"/>
  <c r="Z84" i="1"/>
  <c r="N84" i="1"/>
  <c r="H84" i="1"/>
  <c r="B84" i="1"/>
  <c r="AL83" i="1"/>
  <c r="AI83" i="1"/>
  <c r="AF83" i="1"/>
  <c r="AC83" i="1"/>
  <c r="Z83" i="1"/>
  <c r="W83" i="1"/>
  <c r="T83" i="1"/>
  <c r="Q83" i="1"/>
  <c r="N83" i="1"/>
  <c r="K83" i="1"/>
  <c r="H83" i="1"/>
  <c r="E83" i="1"/>
  <c r="AL82" i="1"/>
  <c r="AI82" i="1"/>
  <c r="AF82" i="1"/>
  <c r="AC82" i="1"/>
  <c r="Z82" i="1"/>
  <c r="W82" i="1"/>
  <c r="T82" i="1"/>
  <c r="Q82" i="1"/>
  <c r="N82" i="1"/>
  <c r="K82" i="1"/>
  <c r="H82" i="1"/>
  <c r="E82" i="1"/>
  <c r="AO81" i="1"/>
  <c r="AS81" i="1" s="1"/>
  <c r="E80" i="1"/>
  <c r="AO80" i="1" s="1"/>
  <c r="AS80" i="1" s="1"/>
  <c r="AC79" i="1"/>
  <c r="H79" i="1"/>
  <c r="E79" i="1"/>
  <c r="AO78" i="1"/>
  <c r="AS78" i="1" s="1"/>
  <c r="AL77" i="1"/>
  <c r="AI77" i="1"/>
  <c r="AF77" i="1"/>
  <c r="AC77" i="1"/>
  <c r="Z77" i="1"/>
  <c r="W77" i="1"/>
  <c r="K77" i="1"/>
  <c r="H77" i="1"/>
  <c r="E77" i="1"/>
  <c r="AL76" i="1"/>
  <c r="AI76" i="1"/>
  <c r="AF76" i="1"/>
  <c r="AC76" i="1"/>
  <c r="Z76" i="1"/>
  <c r="W76" i="1"/>
  <c r="T76" i="1"/>
  <c r="Q76" i="1"/>
  <c r="N76" i="1"/>
  <c r="K76" i="1"/>
  <c r="H76" i="1"/>
  <c r="E76" i="1"/>
  <c r="AL75" i="1"/>
  <c r="AI75" i="1"/>
  <c r="AF75" i="1"/>
  <c r="AC75" i="1"/>
  <c r="Z75" i="1"/>
  <c r="W75" i="1"/>
  <c r="T75" i="1"/>
  <c r="Q75" i="1"/>
  <c r="Q69" i="1" s="1"/>
  <c r="N75" i="1"/>
  <c r="K75" i="1"/>
  <c r="H75" i="1"/>
  <c r="E75" i="1"/>
  <c r="AI74" i="1"/>
  <c r="AC74" i="1"/>
  <c r="Z74" i="1"/>
  <c r="W74" i="1"/>
  <c r="Q74" i="1"/>
  <c r="H74" i="1"/>
  <c r="E74" i="1"/>
  <c r="AI73" i="1"/>
  <c r="AO73" i="1" s="1"/>
  <c r="AS73" i="1" s="1"/>
  <c r="K72" i="1"/>
  <c r="H72" i="1"/>
  <c r="E72" i="1"/>
  <c r="AO71" i="1"/>
  <c r="AS71" i="1" s="1"/>
  <c r="AF71" i="1"/>
  <c r="AO70" i="1"/>
  <c r="B69" i="1"/>
  <c r="W68" i="1"/>
  <c r="N68" i="1"/>
  <c r="N64" i="1" s="1"/>
  <c r="H68" i="1"/>
  <c r="E68" i="1"/>
  <c r="AL67" i="1"/>
  <c r="AI67" i="1"/>
  <c r="AF67" i="1"/>
  <c r="AC67" i="1"/>
  <c r="Z67" i="1"/>
  <c r="W67" i="1"/>
  <c r="T67" i="1"/>
  <c r="Q67" i="1"/>
  <c r="N67" i="1"/>
  <c r="K67" i="1"/>
  <c r="H67" i="1"/>
  <c r="E67" i="1"/>
  <c r="AL66" i="1"/>
  <c r="AI66" i="1"/>
  <c r="AF66" i="1"/>
  <c r="AC66" i="1"/>
  <c r="Z66" i="1"/>
  <c r="W66" i="1"/>
  <c r="T66" i="1"/>
  <c r="Q66" i="1"/>
  <c r="N66" i="1"/>
  <c r="K66" i="1"/>
  <c r="H66" i="1"/>
  <c r="E66" i="1"/>
  <c r="AL65" i="1"/>
  <c r="AI65" i="1"/>
  <c r="AF65" i="1"/>
  <c r="AC65" i="1"/>
  <c r="AC64" i="1" s="1"/>
  <c r="Z65" i="1"/>
  <c r="Z64" i="1" s="1"/>
  <c r="W65" i="1"/>
  <c r="W64" i="1" s="1"/>
  <c r="T65" i="1"/>
  <c r="Q65" i="1"/>
  <c r="N65" i="1"/>
  <c r="K65" i="1"/>
  <c r="K64" i="1" s="1"/>
  <c r="H65" i="1"/>
  <c r="E65" i="1"/>
  <c r="E64" i="1" s="1"/>
  <c r="AL64" i="1"/>
  <c r="AI64" i="1"/>
  <c r="B64" i="1"/>
  <c r="AO63" i="1"/>
  <c r="N62" i="1"/>
  <c r="AO62" i="1" s="1"/>
  <c r="AS62" i="1" s="1"/>
  <c r="AO61" i="1"/>
  <c r="AS61" i="1" s="1"/>
  <c r="AO60" i="1"/>
  <c r="AS60" i="1" s="1"/>
  <c r="Q59" i="1"/>
  <c r="AO59" i="1" s="1"/>
  <c r="AL58" i="1"/>
  <c r="AI58" i="1"/>
  <c r="AF58" i="1"/>
  <c r="AC58" i="1"/>
  <c r="Z58" i="1"/>
  <c r="W58" i="1"/>
  <c r="AL57" i="1"/>
  <c r="AI57" i="1"/>
  <c r="AF57" i="1"/>
  <c r="AC57" i="1"/>
  <c r="Z57" i="1"/>
  <c r="W57" i="1"/>
  <c r="T57" i="1"/>
  <c r="Q57" i="1"/>
  <c r="N57" i="1"/>
  <c r="K57" i="1"/>
  <c r="H57" i="1"/>
  <c r="E57" i="1"/>
  <c r="AL56" i="1"/>
  <c r="AI56" i="1"/>
  <c r="AF56" i="1"/>
  <c r="AC56" i="1"/>
  <c r="Z56" i="1"/>
  <c r="W56" i="1"/>
  <c r="T56" i="1"/>
  <c r="Q56" i="1"/>
  <c r="N56" i="1"/>
  <c r="K56" i="1"/>
  <c r="H56" i="1"/>
  <c r="E56" i="1"/>
  <c r="AL55" i="1"/>
  <c r="AL50" i="1" s="1"/>
  <c r="AI55" i="1"/>
  <c r="AF55" i="1"/>
  <c r="AC55" i="1"/>
  <c r="Z55" i="1"/>
  <c r="W55" i="1"/>
  <c r="T55" i="1"/>
  <c r="Q55" i="1"/>
  <c r="N55" i="1"/>
  <c r="K55" i="1"/>
  <c r="H55" i="1"/>
  <c r="E55" i="1"/>
  <c r="AF54" i="1"/>
  <c r="AO54" i="1" s="1"/>
  <c r="AS54" i="1" s="1"/>
  <c r="AL53" i="1"/>
  <c r="AI53" i="1"/>
  <c r="AI50" i="1" s="1"/>
  <c r="AF53" i="1"/>
  <c r="AC53" i="1"/>
  <c r="Z53" i="1"/>
  <c r="W53" i="1"/>
  <c r="T53" i="1"/>
  <c r="Q53" i="1"/>
  <c r="N53" i="1"/>
  <c r="K53" i="1"/>
  <c r="H53" i="1"/>
  <c r="E53" i="1"/>
  <c r="AO52" i="1"/>
  <c r="AS52" i="1" s="1"/>
  <c r="AO51" i="1"/>
  <c r="B50" i="1"/>
  <c r="AO49" i="1"/>
  <c r="AF48" i="1"/>
  <c r="AF46" i="1" s="1"/>
  <c r="Z48" i="1"/>
  <c r="AI47" i="1"/>
  <c r="AI46" i="1" s="1"/>
  <c r="AC47" i="1"/>
  <c r="AL46" i="1"/>
  <c r="AC46" i="1"/>
  <c r="W46" i="1"/>
  <c r="T46" i="1"/>
  <c r="Q46" i="1"/>
  <c r="N46" i="1"/>
  <c r="K46" i="1"/>
  <c r="H46" i="1"/>
  <c r="E46" i="1"/>
  <c r="B46" i="1"/>
  <c r="AO45" i="1"/>
  <c r="AS45" i="1" s="1"/>
  <c r="AO44" i="1"/>
  <c r="B44" i="1"/>
  <c r="AL43" i="1"/>
  <c r="AL42" i="1" s="1"/>
  <c r="AI43" i="1"/>
  <c r="AI42" i="1" s="1"/>
  <c r="AF43" i="1"/>
  <c r="AF42" i="1" s="1"/>
  <c r="T43" i="1"/>
  <c r="T42" i="1" s="1"/>
  <c r="Q43" i="1"/>
  <c r="N43" i="1"/>
  <c r="N42" i="1" s="1"/>
  <c r="B43" i="1"/>
  <c r="AC42" i="1"/>
  <c r="Z42" i="1"/>
  <c r="W42" i="1"/>
  <c r="Q42" i="1"/>
  <c r="K42" i="1"/>
  <c r="H42" i="1"/>
  <c r="E42" i="1"/>
  <c r="AO41" i="1"/>
  <c r="AS41" i="1" s="1"/>
  <c r="B41" i="1"/>
  <c r="AS40" i="1"/>
  <c r="AO40" i="1"/>
  <c r="B40" i="1"/>
  <c r="AO39" i="1"/>
  <c r="AS39" i="1" s="1"/>
  <c r="B39" i="1"/>
  <c r="AL38" i="1"/>
  <c r="AI38" i="1"/>
  <c r="AF38" i="1"/>
  <c r="AC38" i="1"/>
  <c r="Z38" i="1"/>
  <c r="W38" i="1"/>
  <c r="T38" i="1"/>
  <c r="N38" i="1"/>
  <c r="K38" i="1"/>
  <c r="H38" i="1"/>
  <c r="AL37" i="1"/>
  <c r="AI37" i="1"/>
  <c r="AF37" i="1"/>
  <c r="AC37" i="1"/>
  <c r="Z37" i="1"/>
  <c r="W37" i="1"/>
  <c r="T37" i="1"/>
  <c r="Q37" i="1"/>
  <c r="N37" i="1"/>
  <c r="K37" i="1"/>
  <c r="H37" i="1"/>
  <c r="AL36" i="1"/>
  <c r="AI36" i="1"/>
  <c r="AF36" i="1"/>
  <c r="AC36" i="1"/>
  <c r="Z36" i="1"/>
  <c r="W36" i="1"/>
  <c r="T36" i="1"/>
  <c r="T33" i="1" s="1"/>
  <c r="Q36" i="1"/>
  <c r="N36" i="1"/>
  <c r="K36" i="1"/>
  <c r="H36" i="1"/>
  <c r="E36" i="1"/>
  <c r="AI35" i="1"/>
  <c r="AF35" i="1"/>
  <c r="AC35" i="1"/>
  <c r="Z35" i="1"/>
  <c r="W35" i="1"/>
  <c r="T35" i="1"/>
  <c r="Q35" i="1"/>
  <c r="N35" i="1"/>
  <c r="K35" i="1"/>
  <c r="E35" i="1"/>
  <c r="AO34" i="1"/>
  <c r="AS34" i="1" s="1"/>
  <c r="B34" i="1"/>
  <c r="Q33" i="1"/>
  <c r="B27" i="1"/>
  <c r="AT26" i="1"/>
  <c r="D26" i="1"/>
  <c r="AN25" i="1"/>
  <c r="AK25" i="1"/>
  <c r="AH25" i="1"/>
  <c r="AE25" i="1"/>
  <c r="AB25" i="1"/>
  <c r="Y25" i="1"/>
  <c r="V25" i="1"/>
  <c r="S25" i="1"/>
  <c r="P25" i="1"/>
  <c r="M25" i="1"/>
  <c r="J25" i="1"/>
  <c r="G25" i="1"/>
  <c r="D25" i="1"/>
  <c r="AK27" i="1"/>
  <c r="AH24" i="1"/>
  <c r="AE24" i="1"/>
  <c r="AE27" i="1" s="1"/>
  <c r="AB24" i="1"/>
  <c r="Y24" i="1"/>
  <c r="Y27" i="1" s="1"/>
  <c r="V24" i="1"/>
  <c r="S24" i="1"/>
  <c r="S27" i="1" s="1"/>
  <c r="P24" i="1"/>
  <c r="M24" i="1"/>
  <c r="M27" i="1" s="1"/>
  <c r="J24" i="1"/>
  <c r="G24" i="1"/>
  <c r="G27" i="1" s="1"/>
  <c r="E24" i="1"/>
  <c r="D24" i="1"/>
  <c r="AT23" i="1"/>
  <c r="D23" i="1"/>
  <c r="AI18" i="1"/>
  <c r="B17" i="1"/>
  <c r="B16" i="1"/>
  <c r="B15" i="1"/>
  <c r="B14" i="1"/>
  <c r="B13" i="1"/>
  <c r="AR12" i="1"/>
  <c r="AO12" i="1"/>
  <c r="P27" i="1" l="1"/>
  <c r="AB27" i="1"/>
  <c r="AN27" i="1"/>
  <c r="AI84" i="1"/>
  <c r="H33" i="1"/>
  <c r="K33" i="1"/>
  <c r="AO74" i="1"/>
  <c r="AO75" i="1"/>
  <c r="AS75" i="1" s="1"/>
  <c r="AF33" i="1"/>
  <c r="AO48" i="1"/>
  <c r="AS48" i="1" s="1"/>
  <c r="E50" i="1"/>
  <c r="AO56" i="1"/>
  <c r="AS56" i="1" s="1"/>
  <c r="AO57" i="1"/>
  <c r="W69" i="1"/>
  <c r="AO72" i="1"/>
  <c r="AS72" i="1" s="1"/>
  <c r="W84" i="1"/>
  <c r="B42" i="1"/>
  <c r="AO47" i="1"/>
  <c r="AS47" i="1" s="1"/>
  <c r="AI69" i="1"/>
  <c r="Z69" i="1"/>
  <c r="AO88" i="1"/>
  <c r="E95" i="1"/>
  <c r="K95" i="1"/>
  <c r="AC50" i="1"/>
  <c r="AC69" i="1"/>
  <c r="B12" i="1"/>
  <c r="N33" i="1"/>
  <c r="Z33" i="1"/>
  <c r="AL33" i="1"/>
  <c r="AO38" i="1"/>
  <c r="N50" i="1"/>
  <c r="Z50" i="1"/>
  <c r="K50" i="1"/>
  <c r="W50" i="1"/>
  <c r="AO65" i="1"/>
  <c r="AS65" i="1" s="1"/>
  <c r="AO66" i="1"/>
  <c r="AS66" i="1" s="1"/>
  <c r="Q64" i="1"/>
  <c r="K69" i="1"/>
  <c r="AO79" i="1"/>
  <c r="AS79" i="1" s="1"/>
  <c r="T84" i="1"/>
  <c r="AO89" i="1"/>
  <c r="H95" i="1"/>
  <c r="AO35" i="1"/>
  <c r="AS35" i="1" s="1"/>
  <c r="J27" i="1"/>
  <c r="V27" i="1"/>
  <c r="AH27" i="1"/>
  <c r="AQ25" i="1"/>
  <c r="B33" i="1"/>
  <c r="AO36" i="1"/>
  <c r="AC33" i="1"/>
  <c r="AO43" i="1"/>
  <c r="AS43" i="1" s="1"/>
  <c r="Z46" i="1"/>
  <c r="N69" i="1"/>
  <c r="AL69" i="1"/>
  <c r="AL103" i="1" s="1"/>
  <c r="AO98" i="1"/>
  <c r="AS98" i="1" s="1"/>
  <c r="AS74" i="1"/>
  <c r="AS36" i="1"/>
  <c r="E27" i="1"/>
  <c r="H27" i="1" s="1"/>
  <c r="K27" i="1" s="1"/>
  <c r="N27" i="1" s="1"/>
  <c r="Q27" i="1" s="1"/>
  <c r="T27" i="1" s="1"/>
  <c r="W27" i="1" s="1"/>
  <c r="Z27" i="1" s="1"/>
  <c r="AC27" i="1" s="1"/>
  <c r="AF27" i="1" s="1"/>
  <c r="AI27" i="1" s="1"/>
  <c r="AL27" i="1" s="1"/>
  <c r="AO27" i="1"/>
  <c r="AS57" i="1"/>
  <c r="AS63" i="1"/>
  <c r="AS94" i="1"/>
  <c r="AO46" i="1"/>
  <c r="AS88" i="1"/>
  <c r="B18" i="1"/>
  <c r="Q50" i="1"/>
  <c r="AO53" i="1"/>
  <c r="AO55" i="1"/>
  <c r="H64" i="1"/>
  <c r="T64" i="1"/>
  <c r="AF64" i="1"/>
  <c r="E69" i="1"/>
  <c r="AS70" i="1"/>
  <c r="AS89" i="1"/>
  <c r="AO95" i="1"/>
  <c r="AT25" i="1"/>
  <c r="AO42" i="1"/>
  <c r="AS59" i="1"/>
  <c r="AO92" i="1"/>
  <c r="H90" i="1"/>
  <c r="B114" i="1"/>
  <c r="E109" i="1"/>
  <c r="AQ24" i="1"/>
  <c r="Q103" i="1"/>
  <c r="Q104" i="1" s="1"/>
  <c r="AO68" i="1"/>
  <c r="AO87" i="1"/>
  <c r="E84" i="1"/>
  <c r="AS93" i="1"/>
  <c r="AS97" i="1"/>
  <c r="AS51" i="1"/>
  <c r="D27" i="1"/>
  <c r="B104" i="1" s="1"/>
  <c r="AS24" i="1"/>
  <c r="AS27" i="1" s="1"/>
  <c r="E33" i="1"/>
  <c r="W33" i="1"/>
  <c r="AI33" i="1"/>
  <c r="AS38" i="1"/>
  <c r="AS44" i="1"/>
  <c r="AO58" i="1"/>
  <c r="AO67" i="1"/>
  <c r="AO82" i="1"/>
  <c r="AO83" i="1"/>
  <c r="Z90" i="1"/>
  <c r="H50" i="1"/>
  <c r="T50" i="1"/>
  <c r="AF50" i="1"/>
  <c r="AF69" i="1"/>
  <c r="H69" i="1"/>
  <c r="K84" i="1"/>
  <c r="K103" i="1" s="1"/>
  <c r="K104" i="1" s="1"/>
  <c r="AO76" i="1"/>
  <c r="AO37" i="1"/>
  <c r="AO33" i="1" s="1"/>
  <c r="AS49" i="1"/>
  <c r="AS46" i="1" s="1"/>
  <c r="T69" i="1"/>
  <c r="AO77" i="1"/>
  <c r="AO91" i="1"/>
  <c r="AL104" i="1" l="1"/>
  <c r="AI103" i="1"/>
  <c r="AI104" i="1" s="1"/>
  <c r="AO50" i="1"/>
  <c r="AC103" i="1"/>
  <c r="AC104" i="1" s="1"/>
  <c r="Z103" i="1"/>
  <c r="Z104" i="1" s="1"/>
  <c r="W103" i="1"/>
  <c r="W104" i="1" s="1"/>
  <c r="AF103" i="1"/>
  <c r="AF104" i="1" s="1"/>
  <c r="AS95" i="1"/>
  <c r="AO69" i="1"/>
  <c r="T103" i="1"/>
  <c r="T104" i="1" s="1"/>
  <c r="N103" i="1"/>
  <c r="N104" i="1" s="1"/>
  <c r="H103" i="1"/>
  <c r="H104" i="1" s="1"/>
  <c r="AS68" i="1"/>
  <c r="AS67" i="1"/>
  <c r="AQ27" i="1"/>
  <c r="AR24" i="1"/>
  <c r="AT24" i="1"/>
  <c r="AT27" i="1" s="1"/>
  <c r="AS92" i="1"/>
  <c r="AS55" i="1"/>
  <c r="AS77" i="1"/>
  <c r="AS37" i="1"/>
  <c r="AS33" i="1" s="1"/>
  <c r="AS83" i="1"/>
  <c r="AS82" i="1"/>
  <c r="AS76" i="1"/>
  <c r="AS91" i="1"/>
  <c r="AS90" i="1" s="1"/>
  <c r="AO90" i="1"/>
  <c r="AS58" i="1"/>
  <c r="E103" i="1"/>
  <c r="E104" i="1" s="1"/>
  <c r="AS87" i="1"/>
  <c r="AS84" i="1" s="1"/>
  <c r="AO84" i="1"/>
  <c r="H109" i="1"/>
  <c r="E114" i="1"/>
  <c r="AS42" i="1"/>
  <c r="AS53" i="1"/>
  <c r="AS50" i="1" s="1"/>
  <c r="AO64" i="1"/>
  <c r="AS69" i="1" l="1"/>
  <c r="AS64" i="1"/>
  <c r="AR16" i="1"/>
  <c r="AS103" i="1"/>
  <c r="AR17" i="1" s="1"/>
  <c r="AO103" i="1"/>
  <c r="AR64" i="1" s="1"/>
  <c r="AO16" i="1"/>
  <c r="AR27" i="1"/>
  <c r="AR26" i="1"/>
  <c r="AR25" i="1"/>
  <c r="H114" i="1"/>
  <c r="K109" i="1"/>
  <c r="AR18" i="1" l="1"/>
  <c r="AO104" i="1"/>
  <c r="AR58" i="1" s="1"/>
  <c r="AR104" i="1"/>
  <c r="AR45" i="1"/>
  <c r="K114" i="1"/>
  <c r="N109" i="1"/>
  <c r="AR103" i="1"/>
  <c r="AR101" i="1"/>
  <c r="AR81" i="1"/>
  <c r="AR73" i="1"/>
  <c r="AR62" i="1"/>
  <c r="AR86" i="1"/>
  <c r="AR80" i="1"/>
  <c r="AR98" i="1"/>
  <c r="AR72" i="1"/>
  <c r="AR71" i="1"/>
  <c r="AR48" i="1"/>
  <c r="AR34" i="1"/>
  <c r="AR79" i="1"/>
  <c r="AR61" i="1"/>
  <c r="AO17" i="1"/>
  <c r="AO18" i="1" s="1"/>
  <c r="AR100" i="1"/>
  <c r="AR99" i="1"/>
  <c r="AR54" i="1"/>
  <c r="AR57" i="1"/>
  <c r="AR70" i="1"/>
  <c r="AR89" i="1"/>
  <c r="AR75" i="1"/>
  <c r="AR47" i="1"/>
  <c r="AR97" i="1"/>
  <c r="AR49" i="1"/>
  <c r="AR39" i="1"/>
  <c r="AR35" i="1"/>
  <c r="AR66" i="1"/>
  <c r="AR40" i="1"/>
  <c r="AR102" i="1"/>
  <c r="AR59" i="1"/>
  <c r="AR85" i="1"/>
  <c r="AR93" i="1"/>
  <c r="AR44" i="1"/>
  <c r="AR78" i="1"/>
  <c r="AR74" i="1"/>
  <c r="AR56" i="1"/>
  <c r="AR36" i="1"/>
  <c r="AR94" i="1"/>
  <c r="AR38" i="1"/>
  <c r="AR96" i="1"/>
  <c r="AR52" i="1"/>
  <c r="AR65" i="1"/>
  <c r="AR41" i="1"/>
  <c r="AR63" i="1"/>
  <c r="AR88" i="1"/>
  <c r="AR60" i="1"/>
  <c r="AR43" i="1"/>
  <c r="AR51" i="1"/>
  <c r="AR69" i="1"/>
  <c r="AR68" i="1"/>
  <c r="AR50" i="1"/>
  <c r="AR46" i="1"/>
  <c r="AR76" i="1"/>
  <c r="AR91" i="1"/>
  <c r="AR53" i="1"/>
  <c r="AR92" i="1"/>
  <c r="AR77" i="1"/>
  <c r="AR83" i="1"/>
  <c r="AR82" i="1"/>
  <c r="AR67" i="1"/>
  <c r="AR55" i="1"/>
  <c r="AR42" i="1"/>
  <c r="AR87" i="1"/>
  <c r="AR33" i="1"/>
  <c r="AR37" i="1"/>
  <c r="AR95" i="1"/>
  <c r="AR90" i="1"/>
  <c r="AR84" i="1"/>
  <c r="N114" i="1" l="1"/>
  <c r="Q109" i="1"/>
  <c r="T109" i="1" l="1"/>
  <c r="Q114" i="1"/>
  <c r="T114" i="1" l="1"/>
  <c r="W109" i="1"/>
  <c r="W114" i="1" l="1"/>
  <c r="Z109" i="1"/>
  <c r="Z114" i="1" l="1"/>
  <c r="AC109" i="1"/>
  <c r="AF109" i="1" l="1"/>
  <c r="AC114" i="1"/>
  <c r="AF114" i="1" l="1"/>
  <c r="AI109" i="1"/>
  <c r="AI114" i="1" l="1"/>
  <c r="AL109" i="1"/>
  <c r="AL114" i="1" s="1"/>
</calcChain>
</file>

<file path=xl/sharedStrings.xml><?xml version="1.0" encoding="utf-8"?>
<sst xmlns="http://schemas.openxmlformats.org/spreadsheetml/2006/main" count="200" uniqueCount="130">
  <si>
    <r>
      <t xml:space="preserve">CONTROLE FINANCEIRO 2020
</t>
    </r>
    <r>
      <rPr>
        <b/>
        <sz val="12"/>
        <rFont val="Calibri"/>
        <family val="2"/>
        <scheme val="minor"/>
      </rPr>
      <t>Posição DEZEMBRO</t>
    </r>
  </si>
  <si>
    <t>Bens da ANIPA</t>
  </si>
  <si>
    <t>Acumulado 2019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</si>
  <si>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</si>
  <si>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</si>
  <si>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</si>
  <si>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</si>
  <si>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</si>
  <si>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</si>
  <si>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</si>
  <si>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</si>
  <si>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</si>
  <si>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</si>
  <si>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Acumulado 2020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</si>
  <si>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</si>
  <si>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</si>
  <si>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</si>
  <si>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</si>
  <si>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</si>
  <si>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 xml:space="preserve"> </t>
  </si>
  <si>
    <t>Receitas</t>
  </si>
  <si>
    <t>Despesas</t>
  </si>
  <si>
    <t>Total Parcial e Acumulado</t>
  </si>
  <si>
    <t>Associados / Receitas</t>
  </si>
  <si>
    <t>NOV</t>
  </si>
  <si>
    <t>DEZ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</si>
  <si>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</si>
  <si>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</si>
  <si>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</si>
  <si>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</si>
  <si>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</si>
  <si>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</si>
  <si>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</si>
  <si>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</si>
  <si>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</si>
  <si>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</si>
  <si>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</si>
  <si>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</si>
  <si>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</si>
  <si>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</si>
  <si>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</si>
  <si>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Consultoria/Assessoria Técnica (Fin, Cont, TI)</t>
  </si>
  <si>
    <t>Telemarketing (associados regular termos)</t>
  </si>
  <si>
    <t>Assessoria Comunicação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</si>
  <si>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</si>
  <si>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</si>
  <si>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(5)</t>
    </r>
  </si>
  <si>
    <t>Honorários mensais das ações</t>
  </si>
  <si>
    <t>Taxas de ajuizamento de ações</t>
  </si>
  <si>
    <t>Registros/Cartórios/Publicações</t>
  </si>
  <si>
    <t>Registros e Taxas(Cart, Pref, RF...)</t>
  </si>
  <si>
    <t>Cartórios (Aut, Doc, Rec Firma)</t>
  </si>
  <si>
    <t>Publicações Legais/Editais</t>
  </si>
  <si>
    <t>Tecnologia</t>
  </si>
  <si>
    <t>Desenvolvimento/Hospedagem SITE e Sistema inicial</t>
  </si>
  <si>
    <t>Desenvolvimento novo SITE</t>
  </si>
  <si>
    <t xml:space="preserve">Hospedagem/Manutenção novo SITE </t>
  </si>
  <si>
    <t xml:space="preserve">Desenvolvimento Sistema de Cadastros ANIPA </t>
  </si>
  <si>
    <t xml:space="preserve">Hospedagem / Manutenção Sistema de Cadastros ANIPA </t>
  </si>
  <si>
    <t>Serviço de E-mail</t>
  </si>
  <si>
    <r>
      <t xml:space="preserve">Serviço de Mensagens por celular </t>
    </r>
    <r>
      <rPr>
        <sz val="8"/>
        <rFont val="Calibri"/>
        <family val="2"/>
        <scheme val="minor"/>
      </rPr>
      <t>(3)</t>
    </r>
  </si>
  <si>
    <r>
      <t xml:space="preserve">Plataforma de assinatura eletrônica </t>
    </r>
    <r>
      <rPr>
        <sz val="8"/>
        <rFont val="Calibri"/>
        <family val="2"/>
        <scheme val="minor"/>
      </rPr>
      <t>(6)</t>
    </r>
  </si>
  <si>
    <t>Desenv/Serviço Sist Assembleia Virtual</t>
  </si>
  <si>
    <t>Desenv/Serviço Sist Eleição Virtual</t>
  </si>
  <si>
    <t>Desenv/Serviço Fórum Site ANIPA</t>
  </si>
  <si>
    <t>Registro Domínio ANIPA</t>
  </si>
  <si>
    <t>Certificado Segurança SITE / Certificado Digital</t>
  </si>
  <si>
    <t>Bancos/Impostos/Juros</t>
  </si>
  <si>
    <t>Tarifas Bancárias CAIXA</t>
  </si>
  <si>
    <r>
      <t>Impostos recolhidos à terceiros (INSS, IR, CONTR. FEDER...)</t>
    </r>
    <r>
      <rPr>
        <sz val="8"/>
        <rFont val="Calibri"/>
        <family val="2"/>
        <scheme val="minor"/>
      </rPr>
      <t>(2)</t>
    </r>
  </si>
  <si>
    <t>IRRF/IOF operações financeiras (sobre os investimentos)</t>
  </si>
  <si>
    <t>Despesas com Juros/Outras despesas financeiras</t>
  </si>
  <si>
    <t xml:space="preserve">Escritório ANIPA </t>
  </si>
  <si>
    <t>Móveis/Utensílios</t>
  </si>
  <si>
    <t>Computadores 4, impressoras 1, celular 1</t>
  </si>
  <si>
    <t>Softwares (Office, Antivírus, Adobe mensal)</t>
  </si>
  <si>
    <t>Assinatura de jornais, revistas, publicações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</si>
  <si>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</si>
  <si>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</si>
  <si>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</si>
  <si>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</si>
  <si>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Manutenção (de computadores, impressora)</t>
  </si>
  <si>
    <t>Higiene e Limpeza (material e serviço)</t>
  </si>
  <si>
    <t>Reforma escritório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</si>
  <si>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</si>
  <si>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</si>
  <si>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(2)</t>
    </r>
  </si>
  <si>
    <t>Outros Serviços</t>
  </si>
  <si>
    <t>Serv. Gráficos/Digitalizações/Cópias</t>
  </si>
  <si>
    <t>Serviços MSN/Telefonia</t>
  </si>
  <si>
    <t>Motoboy</t>
  </si>
  <si>
    <t>Correios</t>
  </si>
  <si>
    <t>Deslocamento (para serviços externos)</t>
  </si>
  <si>
    <t>Outros</t>
  </si>
  <si>
    <t>Locação sala Eventos/Assembleia/Equipamentos/Hotel</t>
  </si>
  <si>
    <t>Apoio a mobilizações</t>
  </si>
  <si>
    <t>Devoluções/Recebimentos indevidos</t>
  </si>
  <si>
    <t>Participações em outras associações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</si>
  <si>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</si>
  <si>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</si>
  <si>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</si>
  <si>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</si>
  <si>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</si>
  <si>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</si>
  <si>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</si>
  <si>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</si>
  <si>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</si>
  <si>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</si>
  <si>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Despesas Acumuladas até 2019</t>
  </si>
  <si>
    <t>Investimentos</t>
  </si>
  <si>
    <t>Acumulado até 2019</t>
  </si>
  <si>
    <t>Caixa FIC GIRO EMPRESAS</t>
  </si>
  <si>
    <t>Caixa FIC PREMIUM - mudou para FIC RUBI</t>
  </si>
  <si>
    <r>
      <t>Caixa FIC SIGMA (encerrado)</t>
    </r>
    <r>
      <rPr>
        <sz val="8"/>
        <color theme="1"/>
        <rFont val="Calibri"/>
        <family val="2"/>
        <scheme val="minor"/>
      </rPr>
      <t xml:space="preserve"> (7)</t>
    </r>
  </si>
  <si>
    <t>CDB Flex Empresarial</t>
  </si>
  <si>
    <r>
      <t>Bolsa Americana Multimercado (encerrado)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(4)</t>
    </r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</si>
  <si>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</si>
  <si>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</si>
  <si>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</si>
  <si>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</si>
  <si>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ANIPA.</t>
  </si>
  <si>
    <t>(2) Pagamento em duplicidade de algumas DARFs</t>
  </si>
  <si>
    <t>(3) Pagamento em atraso mensalidade de dez/2019</t>
  </si>
  <si>
    <t xml:space="preserve">(4) Investimento realizado indevidamente pela agência bancária, sem anuência da ANIPA. Valor integral da  aplicação devolvido mediante crédito em conta. </t>
  </si>
  <si>
    <t>(5) Ajuizamento de Ação Quórum Qualificado no valor de R$ 50.000,00 em 2x</t>
  </si>
  <si>
    <t>(6) Contratação de plataforma de assinatura eletrônica para assinaturas de atas e documentos necessários em razão da pandemia de COVID-19 que</t>
  </si>
  <si>
    <t xml:space="preserve">       impossibilita a reunião presencial de diretores e conselheiros.</t>
  </si>
  <si>
    <t>(8) Investimento em Renda Fixa Sigma resgatado em 16/12/2020</t>
  </si>
  <si>
    <t>(7) Honorários advocatícios cobrados dos associados para participarem da ação sobre o equacionamento.</t>
  </si>
  <si>
    <r>
      <t>Outras Receitas / Participação de associados em ações</t>
    </r>
    <r>
      <rPr>
        <sz val="8"/>
        <color theme="1"/>
        <rFont val="Calibri"/>
        <family val="2"/>
        <scheme val="minor"/>
      </rPr>
      <t xml:space="preserve"> (7)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</si>
</sst>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9ECA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10" fillId="7" borderId="7" xfId="0" applyFont="1" applyFill="1" applyBorder="1" applyAlignment="1">
      <alignment vertical="center"/>
    </xf>
    <xf numFmtId="0" fontId="9" fillId="8" borderId="5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0" fontId="8" fillId="8" borderId="1" xfId="0" applyFont="1" applyFill="1" applyBorder="1"/>
    <xf numFmtId="3" fontId="11" fillId="8" borderId="5" xfId="0" applyNumberFormat="1" applyFont="1" applyFill="1" applyBorder="1" applyAlignment="1">
      <alignment horizontal="right"/>
    </xf>
    <xf numFmtId="3" fontId="11" fillId="8" borderId="4" xfId="0" applyNumberFormat="1" applyFont="1" applyFill="1" applyBorder="1" applyAlignment="1">
      <alignment horizontal="right"/>
    </xf>
    <xf numFmtId="3" fontId="11" fillId="8" borderId="6" xfId="0" applyNumberFormat="1" applyFont="1" applyFill="1" applyBorder="1" applyAlignment="1">
      <alignment horizontal="right"/>
    </xf>
    <xf numFmtId="0" fontId="10" fillId="10" borderId="1" xfId="0" applyFont="1" applyFill="1" applyBorder="1" applyAlignment="1">
      <alignment horizontal="center"/>
    </xf>
    <xf numFmtId="3" fontId="11" fillId="10" borderId="5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right"/>
    </xf>
    <xf numFmtId="3" fontId="11" fillId="10" borderId="6" xfId="0" applyNumberFormat="1" applyFont="1" applyFill="1" applyBorder="1" applyAlignment="1">
      <alignment horizontal="right"/>
    </xf>
    <xf numFmtId="0" fontId="10" fillId="11" borderId="1" xfId="0" applyFont="1" applyFill="1" applyBorder="1" applyAlignment="1">
      <alignment horizontal="center"/>
    </xf>
    <xf numFmtId="3" fontId="9" fillId="11" borderId="5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right"/>
    </xf>
    <xf numFmtId="3" fontId="9" fillId="11" borderId="6" xfId="0" applyNumberFormat="1" applyFont="1" applyFill="1" applyBorder="1" applyAlignment="1">
      <alignment horizontal="right"/>
    </xf>
    <xf numFmtId="0" fontId="10" fillId="10" borderId="5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9" fillId="12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0" fontId="8" fillId="7" borderId="1" xfId="0" applyFont="1" applyFill="1" applyBorder="1"/>
    <xf numFmtId="164" fontId="11" fillId="7" borderId="1" xfId="0" applyNumberFormat="1" applyFont="1" applyFill="1" applyBorder="1"/>
    <xf numFmtId="10" fontId="12" fillId="7" borderId="1" xfId="0" applyNumberFormat="1" applyFont="1" applyFill="1" applyBorder="1"/>
    <xf numFmtId="3" fontId="8" fillId="13" borderId="1" xfId="0" applyNumberFormat="1" applyFont="1" applyFill="1" applyBorder="1"/>
    <xf numFmtId="164" fontId="8" fillId="13" borderId="1" xfId="0" applyNumberFormat="1" applyFont="1" applyFill="1" applyBorder="1"/>
    <xf numFmtId="164" fontId="11" fillId="8" borderId="1" xfId="0" applyNumberFormat="1" applyFont="1" applyFill="1" applyBorder="1" applyAlignment="1">
      <alignment horizontal="right"/>
    </xf>
    <xf numFmtId="3" fontId="8" fillId="7" borderId="1" xfId="0" applyNumberFormat="1" applyFont="1" applyFill="1" applyBorder="1"/>
    <xf numFmtId="10" fontId="12" fillId="8" borderId="1" xfId="0" applyNumberFormat="1" applyFont="1" applyFill="1" applyBorder="1"/>
    <xf numFmtId="3" fontId="8" fillId="8" borderId="1" xfId="0" applyNumberFormat="1" applyFont="1" applyFill="1" applyBorder="1"/>
    <xf numFmtId="164" fontId="8" fillId="8" borderId="1" xfId="0" applyNumberFormat="1" applyFont="1" applyFill="1" applyBorder="1"/>
    <xf numFmtId="0" fontId="11" fillId="8" borderId="1" xfId="0" applyFont="1" applyFill="1" applyBorder="1"/>
    <xf numFmtId="0" fontId="8" fillId="13" borderId="1" xfId="0" applyFont="1" applyFill="1" applyBorder="1"/>
    <xf numFmtId="0" fontId="10" fillId="14" borderId="1" xfId="0" applyFont="1" applyFill="1" applyBorder="1"/>
    <xf numFmtId="40" fontId="9" fillId="14" borderId="1" xfId="0" applyNumberFormat="1" applyFont="1" applyFill="1" applyBorder="1"/>
    <xf numFmtId="40" fontId="9" fillId="14" borderId="5" xfId="0" applyNumberFormat="1" applyFont="1" applyFill="1" applyBorder="1"/>
    <xf numFmtId="10" fontId="13" fillId="14" borderId="1" xfId="0" applyNumberFormat="1" applyFont="1" applyFill="1" applyBorder="1"/>
    <xf numFmtId="165" fontId="10" fillId="6" borderId="1" xfId="0" applyNumberFormat="1" applyFont="1" applyFill="1" applyBorder="1" applyAlignment="1">
      <alignment horizontal="right"/>
    </xf>
    <xf numFmtId="40" fontId="10" fillId="6" borderId="1" xfId="0" applyNumberFormat="1" applyFont="1" applyFill="1" applyBorder="1"/>
    <xf numFmtId="0" fontId="14" fillId="4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 applyProtection="1">
      <alignment horizontal="center"/>
      <protection locked="0"/>
    </xf>
    <xf numFmtId="10" fontId="9" fillId="12" borderId="1" xfId="0" applyNumberFormat="1" applyFont="1" applyFill="1" applyBorder="1" applyAlignment="1">
      <alignment horizontal="right"/>
    </xf>
    <xf numFmtId="0" fontId="11" fillId="8" borderId="1" xfId="0" applyFont="1" applyFill="1" applyBorder="1" applyProtection="1">
      <protection locked="0"/>
    </xf>
    <xf numFmtId="10" fontId="11" fillId="8" borderId="1" xfId="0" applyNumberFormat="1" applyFont="1" applyFill="1" applyBorder="1" applyAlignment="1">
      <alignment horizontal="right"/>
    </xf>
    <xf numFmtId="0" fontId="8" fillId="0" borderId="1" xfId="0" applyFont="1" applyBorder="1" applyProtection="1">
      <protection locked="0"/>
    </xf>
    <xf numFmtId="0" fontId="11" fillId="8" borderId="1" xfId="0" applyFont="1" applyFill="1" applyBorder="1" applyAlignment="1" applyProtection="1">
      <alignment horizontal="left"/>
      <protection locked="0"/>
    </xf>
    <xf numFmtId="10" fontId="11" fillId="8" borderId="1" xfId="1" applyNumberFormat="1" applyFont="1" applyFill="1" applyBorder="1" applyAlignment="1">
      <alignment horizontal="right"/>
    </xf>
    <xf numFmtId="0" fontId="10" fillId="3" borderId="1" xfId="0" applyFont="1" applyFill="1" applyBorder="1" applyAlignment="1" applyProtection="1">
      <alignment horizontal="center"/>
      <protection locked="0"/>
    </xf>
    <xf numFmtId="10" fontId="10" fillId="3" borderId="1" xfId="0" applyNumberFormat="1" applyFont="1" applyFill="1" applyBorder="1" applyAlignment="1">
      <alignment horizontal="right"/>
    </xf>
    <xf numFmtId="0" fontId="9" fillId="14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4" fontId="10" fillId="8" borderId="0" xfId="0" applyNumberFormat="1" applyFont="1" applyFill="1" applyAlignment="1">
      <alignment horizontal="right"/>
    </xf>
    <xf numFmtId="4" fontId="6" fillId="8" borderId="0" xfId="0" applyNumberFormat="1" applyFont="1" applyFill="1" applyAlignment="1">
      <alignment horizontal="right"/>
    </xf>
    <xf numFmtId="0" fontId="10" fillId="10" borderId="7" xfId="0" applyFont="1" applyFill="1" applyBorder="1" applyAlignment="1">
      <alignment horizontal="center" vertical="center"/>
    </xf>
    <xf numFmtId="4" fontId="16" fillId="8" borderId="0" xfId="0" applyNumberFormat="1" applyFont="1" applyFill="1" applyAlignment="1">
      <alignment vertical="center" wrapText="1"/>
    </xf>
    <xf numFmtId="0" fontId="8" fillId="0" borderId="1" xfId="0" applyFont="1" applyBorder="1"/>
    <xf numFmtId="0" fontId="10" fillId="5" borderId="1" xfId="0" applyFont="1" applyFill="1" applyBorder="1" applyAlignment="1">
      <alignment horizontal="center"/>
    </xf>
    <xf numFmtId="0" fontId="20" fillId="0" borderId="0" xfId="0" applyFont="1"/>
    <xf numFmtId="40" fontId="10" fillId="8" borderId="0" xfId="0" applyNumberFormat="1" applyFont="1" applyFill="1"/>
    <xf numFmtId="0" fontId="10" fillId="0" borderId="0" xfId="0" applyFont="1"/>
    <xf numFmtId="4" fontId="16" fillId="8" borderId="0" xfId="0" applyNumberFormat="1" applyFont="1" applyFill="1" applyAlignment="1">
      <alignment horizontal="center" vertical="center" wrapText="1"/>
    </xf>
    <xf numFmtId="0" fontId="12" fillId="0" borderId="0" xfId="0" applyFont="1"/>
    <xf numFmtId="4" fontId="12" fillId="0" borderId="0" xfId="0" applyNumberFormat="1" applyFont="1"/>
    <xf numFmtId="164" fontId="0" fillId="0" borderId="0" xfId="0" applyNumberFormat="1"/>
    <xf numFmtId="4" fontId="0" fillId="0" borderId="0" xfId="0" applyNumberFormat="1"/>
    <xf numFmtId="4" fontId="14" fillId="5" borderId="1" xfId="0" applyNumberFormat="1" applyFont="1" applyFill="1" applyBorder="1" applyAlignment="1">
      <alignment horizontal="right" vertical="center" wrapText="1"/>
    </xf>
    <xf numFmtId="4" fontId="16" fillId="8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left"/>
    </xf>
    <xf numFmtId="38" fontId="9" fillId="14" borderId="5" xfId="0" applyNumberFormat="1" applyFont="1" applyFill="1" applyBorder="1" applyAlignment="1">
      <alignment horizontal="center"/>
    </xf>
    <xf numFmtId="38" fontId="9" fillId="14" borderId="6" xfId="0" applyNumberFormat="1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right"/>
    </xf>
    <xf numFmtId="4" fontId="17" fillId="8" borderId="1" xfId="0" applyNumberFormat="1" applyFont="1" applyFill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right"/>
    </xf>
    <xf numFmtId="4" fontId="9" fillId="5" borderId="5" xfId="0" applyNumberFormat="1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4" fontId="9" fillId="5" borderId="6" xfId="0" applyNumberFormat="1" applyFont="1" applyFill="1" applyBorder="1" applyAlignment="1">
      <alignment horizontal="right"/>
    </xf>
    <xf numFmtId="4" fontId="19" fillId="8" borderId="0" xfId="0" applyNumberFormat="1" applyFont="1" applyFill="1" applyAlignment="1">
      <alignment horizontal="center" vertical="center" wrapText="1"/>
    </xf>
    <xf numFmtId="4" fontId="8" fillId="7" borderId="5" xfId="0" applyNumberFormat="1" applyFont="1" applyFill="1" applyBorder="1" applyAlignment="1">
      <alignment horizontal="right"/>
    </xf>
    <xf numFmtId="4" fontId="8" fillId="7" borderId="4" xfId="0" applyNumberFormat="1" applyFont="1" applyFill="1" applyBorder="1" applyAlignment="1">
      <alignment horizontal="right"/>
    </xf>
    <xf numFmtId="4" fontId="8" fillId="7" borderId="6" xfId="0" applyNumberFormat="1" applyFont="1" applyFill="1" applyBorder="1" applyAlignment="1">
      <alignment horizontal="right"/>
    </xf>
    <xf numFmtId="4" fontId="11" fillId="8" borderId="5" xfId="0" applyNumberFormat="1" applyFont="1" applyFill="1" applyBorder="1" applyAlignment="1">
      <alignment horizontal="right"/>
    </xf>
    <xf numFmtId="4" fontId="11" fillId="8" borderId="4" xfId="0" applyNumberFormat="1" applyFont="1" applyFill="1" applyBorder="1" applyAlignment="1">
      <alignment horizontal="right"/>
    </xf>
    <xf numFmtId="4" fontId="11" fillId="8" borderId="6" xfId="0" applyNumberFormat="1" applyFont="1" applyFill="1" applyBorder="1" applyAlignment="1">
      <alignment horizontal="right"/>
    </xf>
    <xf numFmtId="4" fontId="11" fillId="8" borderId="1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right"/>
    </xf>
    <xf numFmtId="4" fontId="8" fillId="8" borderId="6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4" fontId="8" fillId="8" borderId="1" xfId="0" applyNumberFormat="1" applyFont="1" applyFill="1" applyBorder="1" applyAlignment="1">
      <alignment horizontal="right"/>
    </xf>
    <xf numFmtId="4" fontId="16" fillId="8" borderId="0" xfId="0" applyNumberFormat="1" applyFont="1" applyFill="1" applyAlignment="1">
      <alignment horizontal="left" vertical="center" wrapText="1"/>
    </xf>
    <xf numFmtId="4" fontId="14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4" fontId="9" fillId="14" borderId="5" xfId="0" applyNumberFormat="1" applyFont="1" applyFill="1" applyBorder="1" applyAlignment="1">
      <alignment horizontal="right"/>
    </xf>
    <xf numFmtId="4" fontId="9" fillId="14" borderId="4" xfId="0" applyNumberFormat="1" applyFont="1" applyFill="1" applyBorder="1" applyAlignment="1">
      <alignment horizontal="right"/>
    </xf>
    <xf numFmtId="4" fontId="9" fillId="14" borderId="6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right"/>
    </xf>
    <xf numFmtId="4" fontId="9" fillId="8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" fontId="9" fillId="10" borderId="5" xfId="0" applyNumberFormat="1" applyFont="1" applyFill="1" applyBorder="1" applyAlignment="1">
      <alignment horizontal="center"/>
    </xf>
    <xf numFmtId="4" fontId="9" fillId="10" borderId="4" xfId="0" applyNumberFormat="1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4" fontId="10" fillId="14" borderId="1" xfId="0" applyNumberFormat="1" applyFont="1" applyFill="1" applyBorder="1" applyAlignment="1">
      <alignment horizontal="right"/>
    </xf>
    <xf numFmtId="4" fontId="10" fillId="3" borderId="5" xfId="0" applyNumberFormat="1" applyFont="1" applyFill="1" applyBorder="1" applyAlignment="1">
      <alignment horizontal="right"/>
    </xf>
    <xf numFmtId="4" fontId="10" fillId="3" borderId="4" xfId="0" applyNumberFormat="1" applyFont="1" applyFill="1" applyBorder="1" applyAlignment="1">
      <alignment horizontal="right"/>
    </xf>
    <xf numFmtId="4" fontId="10" fillId="3" borderId="6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11" fillId="7" borderId="5" xfId="0" applyNumberFormat="1" applyFont="1" applyFill="1" applyBorder="1" applyAlignment="1">
      <alignment horizontal="right"/>
    </xf>
    <xf numFmtId="4" fontId="11" fillId="7" borderId="4" xfId="0" applyNumberFormat="1" applyFont="1" applyFill="1" applyBorder="1" applyAlignment="1">
      <alignment horizontal="right"/>
    </xf>
    <xf numFmtId="4" fontId="11" fillId="7" borderId="6" xfId="0" applyNumberFormat="1" applyFont="1" applyFill="1" applyBorder="1" applyAlignment="1">
      <alignment horizontal="right"/>
    </xf>
    <xf numFmtId="4" fontId="10" fillId="12" borderId="5" xfId="0" applyNumberFormat="1" applyFont="1" applyFill="1" applyBorder="1" applyAlignment="1">
      <alignment horizontal="right"/>
    </xf>
    <xf numFmtId="4" fontId="10" fillId="12" borderId="4" xfId="0" applyNumberFormat="1" applyFont="1" applyFill="1" applyBorder="1" applyAlignment="1">
      <alignment horizontal="right"/>
    </xf>
    <xf numFmtId="4" fontId="10" fillId="12" borderId="6" xfId="0" applyNumberFormat="1" applyFont="1" applyFill="1" applyBorder="1" applyAlignment="1">
      <alignment horizontal="right"/>
    </xf>
    <xf numFmtId="4" fontId="9" fillId="12" borderId="5" xfId="0" applyNumberFormat="1" applyFont="1" applyFill="1" applyBorder="1" applyAlignment="1">
      <alignment horizontal="right"/>
    </xf>
    <xf numFmtId="4" fontId="9" fillId="12" borderId="4" xfId="0" applyNumberFormat="1" applyFont="1" applyFill="1" applyBorder="1" applyAlignment="1">
      <alignment horizontal="right"/>
    </xf>
    <xf numFmtId="4" fontId="9" fillId="12" borderId="6" xfId="0" applyNumberFormat="1" applyFont="1" applyFill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horizontal="right"/>
    </xf>
    <xf numFmtId="4" fontId="9" fillId="12" borderId="1" xfId="0" applyNumberFormat="1" applyFont="1" applyFill="1" applyBorder="1" applyAlignment="1">
      <alignment horizontal="right"/>
    </xf>
    <xf numFmtId="2" fontId="8" fillId="7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9" fillId="14" borderId="5" xfId="0" applyNumberFormat="1" applyFont="1" applyFill="1" applyBorder="1" applyAlignment="1">
      <alignment horizontal="center"/>
    </xf>
    <xf numFmtId="3" fontId="9" fillId="14" borderId="6" xfId="0" applyNumberFormat="1" applyFont="1" applyFill="1" applyBorder="1" applyAlignment="1">
      <alignment horizontal="center"/>
    </xf>
    <xf numFmtId="0" fontId="9" fillId="12" borderId="5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6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4" fontId="10" fillId="10" borderId="5" xfId="0" applyNumberFormat="1" applyFont="1" applyFill="1" applyBorder="1" applyAlignment="1">
      <alignment horizontal="right" vertical="center" wrapText="1"/>
    </xf>
    <xf numFmtId="4" fontId="10" fillId="10" borderId="4" xfId="0" applyNumberFormat="1" applyFont="1" applyFill="1" applyBorder="1" applyAlignment="1">
      <alignment horizontal="right" vertical="center" wrapText="1"/>
    </xf>
    <xf numFmtId="4" fontId="10" fillId="10" borderId="6" xfId="0" applyNumberFormat="1" applyFont="1" applyFill="1" applyBorder="1" applyAlignment="1">
      <alignment horizontal="right" vertical="center" wrapText="1"/>
    </xf>
    <xf numFmtId="4" fontId="10" fillId="10" borderId="1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8" fillId="11" borderId="1" xfId="0" applyNumberFormat="1" applyFont="1" applyFill="1" applyBorder="1" applyAlignment="1">
      <alignment horizontal="right"/>
    </xf>
    <xf numFmtId="3" fontId="9" fillId="11" borderId="5" xfId="0" applyNumberFormat="1" applyFont="1" applyFill="1" applyBorder="1" applyAlignment="1">
      <alignment horizontal="center"/>
    </xf>
    <xf numFmtId="3" fontId="9" fillId="11" borderId="4" xfId="0" applyNumberFormat="1" applyFont="1" applyFill="1" applyBorder="1" applyAlignment="1">
      <alignment horizontal="center"/>
    </xf>
    <xf numFmtId="3" fontId="9" fillId="11" borderId="6" xfId="0" applyNumberFormat="1" applyFont="1" applyFill="1" applyBorder="1" applyAlignment="1">
      <alignment horizontal="center"/>
    </xf>
    <xf numFmtId="4" fontId="11" fillId="11" borderId="5" xfId="0" applyNumberFormat="1" applyFont="1" applyFill="1" applyBorder="1" applyAlignment="1">
      <alignment horizontal="right"/>
    </xf>
    <xf numFmtId="4" fontId="11" fillId="11" borderId="4" xfId="0" applyNumberFormat="1" applyFont="1" applyFill="1" applyBorder="1" applyAlignment="1">
      <alignment horizontal="right"/>
    </xf>
    <xf numFmtId="4" fontId="11" fillId="11" borderId="6" xfId="0" applyNumberFormat="1" applyFont="1" applyFill="1" applyBorder="1" applyAlignment="1">
      <alignment horizontal="right"/>
    </xf>
    <xf numFmtId="3" fontId="9" fillId="11" borderId="5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right"/>
    </xf>
    <xf numFmtId="3" fontId="9" fillId="11" borderId="6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center"/>
    </xf>
    <xf numFmtId="3" fontId="11" fillId="10" borderId="4" xfId="0" applyNumberFormat="1" applyFont="1" applyFill="1" applyBorder="1" applyAlignment="1">
      <alignment horizontal="center"/>
    </xf>
    <xf numFmtId="3" fontId="11" fillId="10" borderId="6" xfId="0" applyNumberFormat="1" applyFont="1" applyFill="1" applyBorder="1" applyAlignment="1">
      <alignment horizontal="center"/>
    </xf>
    <xf numFmtId="4" fontId="11" fillId="10" borderId="5" xfId="0" applyNumberFormat="1" applyFont="1" applyFill="1" applyBorder="1" applyAlignment="1">
      <alignment horizontal="right"/>
    </xf>
    <xf numFmtId="4" fontId="11" fillId="10" borderId="4" xfId="0" applyNumberFormat="1" applyFont="1" applyFill="1" applyBorder="1" applyAlignment="1">
      <alignment horizontal="right"/>
    </xf>
    <xf numFmtId="4" fontId="11" fillId="10" borderId="6" xfId="0" applyNumberFormat="1" applyFont="1" applyFill="1" applyBorder="1" applyAlignment="1">
      <alignment horizontal="right"/>
    </xf>
    <xf numFmtId="4" fontId="8" fillId="1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3" fontId="11" fillId="10" borderId="5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right"/>
    </xf>
    <xf numFmtId="3" fontId="11" fillId="10" borderId="6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center"/>
    </xf>
    <xf numFmtId="3" fontId="11" fillId="8" borderId="5" xfId="0" applyNumberFormat="1" applyFont="1" applyFill="1" applyBorder="1" applyAlignment="1">
      <alignment horizontal="right"/>
    </xf>
    <xf numFmtId="3" fontId="11" fillId="8" borderId="4" xfId="0" applyNumberFormat="1" applyFont="1" applyFill="1" applyBorder="1" applyAlignment="1">
      <alignment horizontal="right"/>
    </xf>
    <xf numFmtId="3" fontId="11" fillId="8" borderId="6" xfId="0" applyNumberFormat="1" applyFont="1" applyFill="1" applyBorder="1" applyAlignment="1">
      <alignment horizontal="right"/>
    </xf>
    <xf numFmtId="3" fontId="11" fillId="8" borderId="5" xfId="0" applyNumberFormat="1" applyFont="1" applyFill="1" applyBorder="1" applyAlignment="1">
      <alignment horizontal="center"/>
    </xf>
    <xf numFmtId="3" fontId="11" fillId="8" borderId="4" xfId="0" applyNumberFormat="1" applyFont="1" applyFill="1" applyBorder="1" applyAlignment="1">
      <alignment horizontal="center"/>
    </xf>
    <xf numFmtId="3" fontId="11" fillId="8" borderId="6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9" fillId="7" borderId="5" xfId="0" applyNumberFormat="1" applyFont="1" applyFill="1" applyBorder="1" applyAlignment="1">
      <alignment horizontal="right"/>
    </xf>
    <xf numFmtId="4" fontId="9" fillId="7" borderId="4" xfId="0" applyNumberFormat="1" applyFont="1" applyFill="1" applyBorder="1" applyAlignment="1">
      <alignment horizontal="right"/>
    </xf>
    <xf numFmtId="4" fontId="9" fillId="7" borderId="6" xfId="0" applyNumberFormat="1" applyFont="1" applyFill="1" applyBorder="1" applyAlignment="1">
      <alignment horizontal="right"/>
    </xf>
    <xf numFmtId="4" fontId="10" fillId="9" borderId="1" xfId="0" applyNumberFormat="1" applyFont="1" applyFill="1" applyBorder="1" applyAlignment="1">
      <alignment horizontal="right"/>
    </xf>
    <xf numFmtId="0" fontId="9" fillId="8" borderId="5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B4F1E-8B85-49D0-AADA-656B5FC373E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32EDB-E03F-4069-A5C2-547C8F06DEC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41992-AED0-4FC3-AA12-300DB2223FC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C996E-F906-42B2-ABAF-9CE70CFFA5C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51D89-0786-4333-8048-107F6AC7111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6AFCB1-B7E2-4E13-B79B-C1018CB3D76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3A46D-657C-4E1D-BCFE-14F5DED59BAE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BAD78D-4FAD-4A3B-80BF-89C5E0F6CEC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7E7A2-2170-4AF7-8BF9-099F7B1EE95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D0FA6-F09A-4DAD-9839-F2FD590306B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4766E-3B36-4BF6-BD52-2E715BB4912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06B3A-3E8C-498F-AA02-06A02A6B472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40ABC-745B-4064-956C-6C01042D537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0B296-B6B2-434B-BE80-D8E461EA420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DBBAB-458D-47E1-9259-6A4B137F870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55216-617D-4D6D-A9CF-8E97D2327B1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0ACFF-2AED-435F-B1FF-81521147CEA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3A607-65FF-4F86-B872-7178CCBF54B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BC555-6FCB-4677-B6D4-7D34A120554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4B411F-0587-4EAF-BF1E-AACC3EF31B0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15B3A-99B8-4ADA-BBA2-D7FF67D4F6B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0F951-E958-4C4A-8D9E-3D4C8104E4E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F07B9-16CB-49BC-877D-674B84C2CFC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63DD6-0F2D-488A-9F21-1D69AC9DAB8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CCDCA-16E9-41FB-824D-2887A065B5B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6BABA9-BCF8-4A0B-96F8-BF2B357B8AB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17EFC-9CCB-4B53-8046-BC933A0CB90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787A58-66A8-4E32-AD5C-BAD4CAB2605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8390D-D24A-4CFA-85E6-E9145D3DC75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0B6BD-AC57-4BF0-B239-F8A3AF23E6F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9D0EE-21C2-4A36-8E5B-7ACE8AF816F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B48F57-DCCF-4247-B1C3-8FDA672A0BD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54D04-12D4-441A-AAA3-0A1B50869AC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C233B-F296-42F6-8C86-596055500B2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86EA0-E61F-4A7A-8CF0-81C4378134D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E25F57-40A1-4333-A521-C73EB67114A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B6115B-C276-4512-BF4D-753023FDD11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CFD01-587F-4879-9E1A-1076372CBA0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545466-2649-41C3-88F5-7A839BA7238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45BFF-506B-4FA4-9E82-545E60BDBC6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F5D052-8D1D-44F2-85D9-5CF6668766F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27435-4256-402E-9C04-BECDCFA3622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139617-AF2E-49EC-9955-02966DC902E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972AC-8CA5-48D9-9712-0A39D2D25AE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4D7CA-F78A-4895-B33C-0AA7471A9A8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CFB5D-7BB9-436F-AC82-0B592064066E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1E9DB-6309-43D0-93CC-730CA7BADF1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7F2AC-0981-4E59-9799-36C349E809B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741DB-76CB-43FE-9ABB-DEE8DB84FE0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0FA95-9D4D-4FD8-8577-73666004628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7FA8E-4F2B-4BB8-B48D-A72B389A432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3F0DF9-7E3E-49AB-94F6-0351780A863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3C454-F32C-41BC-BFA9-8ECCB1B6DB8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8648D-52F4-4B40-99C8-C4D87AF38CC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5FC8D-DD1D-4661-A69F-1F1EDA1D3AA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921700-01CC-42B2-8524-DA4B8E2CDC5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032ED-7FE0-43F7-8604-70875E82650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1F95E-ABC0-4FC2-8153-6E2136CC79A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D9B45-1D97-4526-9859-B61B872E8C9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B77BA-5917-4870-A38D-93D5761DAC0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1B9A5-58E3-4375-ACD9-E23519725BD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66285E-07FA-487E-A6CD-F146FE0092E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4DE73-8E99-4ACE-9526-CB757282FBB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30FB2-FBB5-4D3D-AD9E-6563CDE0A4F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714375" cy="304800"/>
    <xdr:sp macro="" textlink="">
      <xdr:nvSpPr>
        <xdr:cNvPr id="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719F7-3124-4154-9815-60955B7CCAE8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628969-03F1-41BE-AD39-E5B9CE94794E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22DFDA-EF06-4C94-BEA9-071F446CE6AF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C88262-97BB-4E3D-BAD8-489802185AC4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37569-F0D9-412A-9D2F-3B4E9B43545B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0DAE2-C628-4BAA-BE90-6357BD3ED07C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714375" cy="304800"/>
    <xdr:sp macro="" textlink="">
      <xdr:nvSpPr>
        <xdr:cNvPr id="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551FB-F8C3-4B1F-8150-6AACD86E5B96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D0163-7CDD-47DE-9415-1CBFB73CBE03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37D231-17F4-48E8-8971-3AF2F2425059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CA495-6ACC-43D3-B5E9-FFA0A31643FD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8C7C5-82A4-4652-9B82-7F10F185C3E9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C446F-181C-40C3-9D76-F84A457808A7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3D7B4-1406-42E4-9294-82ED572A99AE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8B597-08EA-46C2-A6E4-01311FB238AB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526D3-4408-4C02-9F72-AE51D3325F68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4EEAD0-3800-477F-89E2-83B1BF50E04A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79B8E7-422E-4F13-B52C-841F2C7677AC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3DD96-8C21-404E-84A2-B91151B04997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198E8-2D3C-4902-83A0-428FE29F128E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2DAD7-BF43-49BD-BBA0-D72047183A74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DAF87-C37C-4DF5-B1FC-E3B31556477C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87ABC-07FE-4FBF-8CDD-4C2C0CC2474F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0BDCF-8D34-4F45-878D-C10D58527A91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ED2E0-3951-470F-A825-1ADE7C527954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F69336-B14B-43A6-A8AA-59EDBDB2CE22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05C2C-521D-4DAA-8970-7BD35BBF4ED1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96FE03-179D-4267-838D-FD36CC520438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714375" cy="304800"/>
    <xdr:sp macro="" textlink="">
      <xdr:nvSpPr>
        <xdr:cNvPr id="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85DD29-4FB7-4706-ADB0-C54506A1287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0BC8A-98A4-4A3F-AC43-DDE5F766941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C2C1A-60AF-4E0B-91B5-65F7B003D4F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F22B6-62A7-4EE4-84F6-F7BD38B4131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ACA48-D3CD-441C-B6F1-38A3AD8EC5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0577D-EC29-486D-B5E3-1F00ECEF1B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714375" cy="304800"/>
    <xdr:sp macro="" textlink="">
      <xdr:nvSpPr>
        <xdr:cNvPr id="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28B063-9A77-4547-989D-3445137BE81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13C5C-D98B-446A-B583-A72E03CAC3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6AD28-16BC-4784-BC45-951BA94F2A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BCA660-4110-4A77-8625-F487406CDB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B07E6-50E7-4A4B-8A75-CF39034FB18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59EB9-62DB-4FEA-88ED-D159470B1B9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FE7AED-9FB5-4B4F-A72D-C412523F96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D4077-DB99-4AD6-9713-04487A5DEF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70151-43B2-4EB0-9C92-D4E6E76B928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7B390-CC1A-49D7-97A5-19B66BC6A6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03E665-7959-4FF9-BF6B-E2EE9CE83E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714375" cy="304800"/>
    <xdr:sp macro="" textlink="">
      <xdr:nvSpPr>
        <xdr:cNvPr id="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BA70D-079C-42B6-A5CE-350762A7472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167CA-360E-4D12-97EC-A971ECFD2E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B8EF9-821A-4917-AAAA-052A569A85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F58A1-F39D-4F2C-AAA1-40F95173F1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BBF087-B75A-4C3B-8DA6-6FF150636D4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37D18-D154-4CE8-AD91-50B9EB64493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7C78B-54B1-4174-8371-D9479CDA6D4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C60EA0-D7C3-4E40-BB5D-47F2CD9A471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8BA8A-4C04-48E6-A0C8-C9E6F48FA9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E71C3-F1E6-4FB5-B54D-BA1A313301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884629-1151-4684-B3BA-709D5D2084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857F4-0398-4707-BC07-F04BA3FC79A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FDBB0-5D93-44D5-80F7-28FB65D1CEC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5745C0-EA1E-4485-9A7A-03E06E59659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3973C-42AA-45EA-8557-8D5DA3A0CC1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359F52-9815-42CC-9443-B8E5ABD2463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75EEC-7014-4584-B955-EF1CBF3BE73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360812-AFD3-4B6B-9793-5FB3C0AD107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5</xdr:row>
      <xdr:rowOff>0</xdr:rowOff>
    </xdr:from>
    <xdr:ext cx="304800" cy="304800"/>
    <xdr:sp macro="" textlink="">
      <xdr:nvSpPr>
        <xdr:cNvPr id="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40D8C-8B6B-45C6-8EB3-894CEB1CE1F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714375" cy="304800"/>
    <xdr:sp macro="" textlink="">
      <xdr:nvSpPr>
        <xdr:cNvPr id="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88E52D-D0CE-4F83-A839-0C4F084C179D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A952D-FDB8-42E2-811E-50E6A445193C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EC969-B20C-428B-A311-B5E0FA1E2F15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CCF96-2C49-4F67-92BE-521C5184284F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2685A-B35B-43EC-B79A-17CE7E467AD1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7F40F-620E-4F00-8727-F7CCC46E5980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714375" cy="304800"/>
    <xdr:sp macro="" textlink="">
      <xdr:nvSpPr>
        <xdr:cNvPr id="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DEFEB9-6362-4738-82AC-6F65707F7C74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08EDE-8DE6-4806-B58A-5F1F98FED540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5929DB-C2D0-4FEF-B323-8499A614C7CC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B05202-01F7-4A8B-BC0B-42832982C0B6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2E3CD-2189-4E81-91AB-39BD395C493B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1B569-A770-4DD2-A1B4-D7560860F8C0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893CA-DC0B-48C0-93D1-05CCEAACE752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81108-D8C5-4FC0-A097-29545AFD01C5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0209A-1212-4F03-ADBC-2E74F887F5C0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787CD3-F4C3-47D7-928E-9CF4CF86F854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6BF16F-1803-46FD-8F1E-AD2C7C7FD3AD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9C426-5A34-4ADF-8949-C73C25CD82BD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2BAC1-9205-4AE0-801D-18A934B93354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E8A19-B291-446D-A20F-C5B418845D1C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89616-C937-40CD-87F0-00F020C64BB7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76C127-FD80-417F-87D1-C9D0640EB396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E242F-A8DF-4BF4-846A-88A4CA4E6B6D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AB50E3-D66C-45E4-8456-B6D172891B8B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BA5CF-FCDF-40C0-B153-04ADF4BAFE2A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8438A-CA42-4E55-8C0E-D9252E34369C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41</xdr:col>
      <xdr:colOff>0</xdr:colOff>
      <xdr:row>5</xdr:row>
      <xdr:rowOff>0</xdr:rowOff>
    </xdr:from>
    <xdr:ext cx="304800" cy="304800"/>
    <xdr:sp macro="" textlink="">
      <xdr:nvSpPr>
        <xdr:cNvPr id="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A1C1B-1871-49D3-BCDF-4F33BA519D70}"/>
            </a:ext>
          </a:extLst>
        </xdr:cNvPr>
        <xdr:cNvSpPr>
          <a:spLocks noChangeAspect="1" noChangeArrowheads="1"/>
        </xdr:cNvSpPr>
      </xdr:nvSpPr>
      <xdr:spPr bwMode="auto">
        <a:xfrm>
          <a:off x="19469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714375" cy="304800"/>
    <xdr:sp macro="" textlink="">
      <xdr:nvSpPr>
        <xdr:cNvPr id="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76B9D3-BEC8-4081-BCC1-8CADDABE5E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5F848D-2BE0-41B4-9332-DC7AF7C4DB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A49AA-2719-4D7B-BEAC-F4CDE17AE51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3DD87-A622-43A4-87EE-D5D4AB9662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FC96D2-79CF-4171-B526-73B25EEB579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B08D9-42A9-4951-88F7-217195DB6EF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714375" cy="304800"/>
    <xdr:sp macro="" textlink="">
      <xdr:nvSpPr>
        <xdr:cNvPr id="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A26101-7B77-4BA3-A1D3-5B49B81A4A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4B39B-6166-4BD6-BB58-40883469F7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72F660-0278-403B-8FFB-751199F502B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BA294-794E-4930-B987-E1CC40B12C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0099A-7466-4FBF-96E2-DB99A024B6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01FDD-56E6-4E94-A5A1-7EAC691E22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086B3-FC19-4737-9FA7-BB8397A01E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112E0F-5763-4292-A8EB-CFDED00D896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D5EB2-3818-4840-A539-442C8ADBCCC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C7ABE-1D90-4257-B70C-0C3656E9AF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C6E082-1C96-4093-8442-9C5263D918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714375" cy="304800"/>
    <xdr:sp macro="" textlink="">
      <xdr:nvSpPr>
        <xdr:cNvPr id="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F1D54-F3E9-4135-BAB9-6F9732012F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DD7DC-44E0-4072-8944-C212F4AC69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069B66-9A71-41F8-9FE7-6A9F400DFD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D24E1-0119-461C-A796-FD36FFE08F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02229-3C62-48CC-9C2A-F55762B6DE6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FF35A-ED27-4D19-B7D4-AAD665AF0C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B38CA2-93DF-4FCF-94B4-AABFD155F6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416FA4-B299-4EB9-9DEE-434924BDCA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57718-1B35-49E5-81CF-E908DA7584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5</xdr:row>
      <xdr:rowOff>0</xdr:rowOff>
    </xdr:from>
    <xdr:ext cx="304800" cy="304800"/>
    <xdr:sp macro="" textlink="">
      <xdr:nvSpPr>
        <xdr:cNvPr id="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0A3DFA-172E-48D8-A018-EA6F0BFCA62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1EE80-34F4-421E-B00E-C2D2D17ADA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8A533-44C8-4612-99BB-ADB428FA02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ECB80-4362-43B0-A41C-B5570CFEF4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8FC49-B2A6-4923-85B5-F4E275F2A14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091EDB-145E-420F-935A-06961CDFF7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1C9ED9-AF87-4E4E-80BD-4543AF8AB3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E888E-67E2-4F5A-BE2F-6D735162B9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BF224-9B66-4F15-A749-62739AA9214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E45BF-B323-4271-B316-D84B670738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EFB220-C088-4FE3-9453-D3F0A2D6FC6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A6872-1456-4889-804A-CF1E9772737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18F3FF-892C-4D95-BBD1-987604D224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6BB67-11FA-497F-A992-3588B90C9E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5A03B7-6EB7-473A-86E6-5FD846E5AD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7B665-C6E4-47BA-90EF-3B1A7D2532F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1E02A-D793-4A2C-A65D-28A2ED76835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2D64C-F0E3-45CF-9189-B26D231B8E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B08C4-AF30-47C7-9814-5A471EE2A00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E4B31-62F3-4A9A-B12C-D9C1E802471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F0EA9-06D6-4E36-8F3F-F4C7FE46546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4099B-CDCE-428F-9465-DCD9E3F2360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2AB7B2-2991-49CD-9E69-CFCE909E7A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1BA33-C320-4CD6-9970-1ED25D9E166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C124A-F85C-4FB5-909D-B93DB02D84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CCA0B-5687-4286-A094-2B5F8B044D8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7EBC5-C3F9-4328-BAFA-6A0329132E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A76D2C-B11B-4164-A176-1379DEA62C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FE8CD-BAF2-4EFB-BE41-E6EBC69EEF7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B80A5-AFDD-4B56-A874-67FFB24FA9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69AE9F-C676-40AA-978A-2046467653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1FE05-5585-4138-9B7B-6118672CE6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816A3-5D23-4CE8-9DF6-706A17C9A94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BBDF3E-BCF4-4834-9232-9B9C1DAE2B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D8D38C-7194-40D9-BF17-2358418D28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434C1-4C66-4A78-835C-30D173CF1C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48E16-15F6-41F1-B532-E29E9C5D48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500E4-C490-463A-BC8C-927C899AAC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8FDC8-A83F-4AD6-8F16-A1CF5AE4FC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A1605A-59A2-44A1-98F3-007316C0A5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86E0D-F8D1-4FEB-80F6-785E99C59C9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854EBE-1AFC-45D4-B516-4D94DD1D7B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08588-9671-49A2-9165-2C5C1D7ADC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DA095-45DC-4B8A-A447-E6BB9B2B6E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EDC94-75B1-4943-825A-F9A9DACA42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C343A-6520-4292-B8E5-8171B41E263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5526B-3A57-4563-9907-C9FBBD7C73F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F5F55-EE5B-4A4A-915B-3019F81110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86776-2A67-4934-98F2-F6D4C9BCF0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01937-DDD7-4A08-BFF1-394590C1BD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28575</xdr:rowOff>
    </xdr:from>
    <xdr:to>
      <xdr:col>12</xdr:col>
      <xdr:colOff>191954</xdr:colOff>
      <xdr:row>3</xdr:row>
      <xdr:rowOff>133790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2B2F38C1-CA05-4C3B-801A-8300DFB5E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392854" cy="676715"/>
        </a:xfrm>
        <a:prstGeom prst="rect">
          <a:avLst/>
        </a:prstGeom>
      </xdr:spPr>
    </xdr:pic>
    <xdr:clientData/>
  </xdr:two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79469-2FA2-4978-A517-44CE6F6618D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DC8A4-1F43-4667-90E1-AF13FB694C0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6F6815-A567-4282-8EDC-6905FEB9C48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F71F03-D1DE-48F8-97D2-A72155E9C9E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3747FE-3AE1-4655-913A-F0372DA1500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1EA194-8776-4C23-91C3-675EB8EFCC6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5C3E3-C8D4-4973-89F3-379C064156E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C034A-9E37-4659-8D15-BB83DE53887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A1B7D-74CC-4232-A92A-88EA45E2D0B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764DA-7200-4DE6-87DF-28F190D16CA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0B13A-AEE7-4F3F-AAA6-6A70E2AD223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0032D-3BB8-44B5-9DC2-7EB8DF76C09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AB715-1882-43B5-9894-57C10534F2B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DF006-830F-412C-B4BD-94458F180E0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BF0E55-A27F-49E2-A40D-543F8BBD207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054B1-9DBC-4DCB-A437-CA2BC25A9E1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829E68-53DE-4BC2-A573-82DDE71CAD7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164A8E-63FA-45A7-A62A-680BF2E07C1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1A063-C350-4573-A713-62F1778E195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FE8A68-263F-4371-BFD1-F7EA0BE6557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699858-8611-4518-A66B-C0754E3BFCB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42C8F-26D9-4A27-8CC9-872AAED894C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67D88-083D-44FC-BADE-F0708BB5678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3B33A-7D93-47D4-86ED-991E998F272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4CA21-8229-4BEF-9FBF-74DA2FC6B57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58D46-9A6E-4185-B602-8BAFB2C0EAD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3400C-6DD5-4297-A9E6-4B2150F53FE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976EF-B143-4E46-A026-986BF2A62FA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5A89D-9942-465F-8434-0B2EEC7B456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076F4-CCB2-4678-829A-5EA4D512744E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D936D-23DD-41E5-AB61-9850C2DD17E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D6EE61-A95A-4556-B1C6-BE2C70D2657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F882B-4606-4BF1-B796-D4FB8881657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F0066E-822F-4443-AB66-D79211A86B5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21C23E-93AD-4888-8234-FB093F8FCC1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FCFDE-29F7-4E24-A17C-6B0C5C71094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2A1730-1843-431A-8332-6A8AB401E87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DDAF5-B28A-421C-BDB3-D6F0301CD80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E088A4-4DA1-4FAA-984E-B1EBCA0A02C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2B7FC-2CDA-451E-9078-FA9060ABB0A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CFD8B5-F99B-4D87-BEAF-2D91A58EA41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2E4B5-CE22-4996-8218-836A6E75745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4FDBC-8131-4010-A7EA-8318A11D06C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A8646-3D4A-441A-8F13-19FEDA653E5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A9996-8820-40F9-B41B-5C3CA010D14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D1BA4-6DBA-4DB7-AE73-F64325CA530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6399C-CB20-4F52-A4BC-0BC71ABA2EF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62D2FD-23BA-4F61-A275-77CA7D2D43E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F0C441-5065-4A38-B6AB-80DF3077E34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92420-24F7-4A71-BBFA-5A7B53F7D4C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3C869-5BDB-4764-A8FA-DD1D1AA706D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37805-D92F-46AB-8437-72B8AEA9FA9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F4A34C-5A07-4737-8AF0-C6713CF8BA06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1C399-47B7-4FA6-A9F2-E3DFB66C3AAB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75406-866D-4220-9772-6B024F145FE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E556F-6F05-4DC1-BE80-1B5ED509E83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033D3-8898-4667-A0D6-ACAB6F431BE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1A98E-12FA-44EE-A940-A38E47F8BE5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D3EC81-DE02-456A-A8A9-46FDA59536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8D5E9C-7FB9-4AE2-B245-6D8EA73A44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A6846-1524-46FC-AA87-632D2A3652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54A052-2A5C-4C29-B132-2B795C04FC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F525F-5ED8-40D6-A588-793246CCA8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3DC97-1D48-4BDE-B934-0A83DF5BCA3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116A9-C4BC-473C-A27B-BC9DE93AA1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9EA10-5927-4330-9E6D-98D523B97D8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1190A-594B-45CD-A1E9-F0C0B7578A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5EA79-7A64-4EED-B474-D96217F1A3F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08EB7-1E36-4881-8C0F-05617CC4B6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3C2B1-B648-473C-A4C6-02B3FAB0FA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D4FBA-812E-4A9F-879C-619EFBD754B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2BD230-8E90-48E6-8551-72DDF9108C4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40F1D-01D9-4700-B970-4258026C99A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3811C-826C-441A-ADA5-9159E687355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42D5F-31B2-4EDE-ADEB-6519DDC89B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27601-347D-40C8-8BBC-BF03E3EE4F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A9CD8-2F75-4111-9432-1D482AE5B73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4AF124-4AA8-4366-A2D5-3EF813D4B55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F79C2-6808-4A72-BD78-814B83D1205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4A3D0-8AC6-476D-9837-872906147A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DEEDC-2AB7-4477-B66E-14418269EA3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72BF2D-9AF1-4F0E-9415-E96598CAD9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54E26-B645-47F4-B9E2-E30C5C69703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11322-2574-4456-B038-AC32BE14C62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FB54B-6588-4027-9389-F28382D8875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317EB3-FB3A-4A17-B92C-1CB54AC5D3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FB9F89-C2EC-4A8E-81ED-D5E7721F48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6C26A-C269-4BA2-9382-FE1B78202C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67B4E-1FA7-4BB5-B1C6-132007F3D2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5347B-AB9C-422A-A831-C69551B702B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0FCA5-BBA0-4272-9F51-7E1E8A83F5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04523-718F-4614-81DA-A77DF7AA464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53841-EEBC-4EF4-91E1-FC5EBD6E725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2BE3A-78E1-4637-9647-88E8F15A2B4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5D3B7-5962-4910-AFD6-74AEB4ED66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7B11D-F7E0-401E-B44A-44EF39DA36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30A04-982C-4C08-A0EE-B07C11AF8F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F4D763-49DB-4150-8729-029233E583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086241-94F3-4B9B-87FF-A9FB7C02E2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C849B1-EFE7-4F45-A0EB-7561F0EBF8E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38595-D334-4198-82F2-D6DEDE8A89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743C8E-2C78-4320-B545-8B07C2E55C6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CB8A5-5258-4371-9317-6C48A97FDE2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AFD59-6F88-4547-A42E-5C207D8617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0AFB8-ED5B-416E-BA21-FA13A2ADCD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91A09-9A03-476D-BE44-0C1A64F186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BD386-C197-4C6A-B8E4-C84FCC8001F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6C472-081C-4A6A-BEEE-D2162A1D3D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94642-DBEC-4EF2-8998-15DE877B3D5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D477FC-905A-46CE-9B69-327037B610B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20FBDB-BD71-40A2-9A52-B8D077ABB98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847E37-7304-4EFF-A607-46DCEB9E1B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44235-B9D4-4880-98B8-82FD1AF802F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9A78A6-99FB-43FC-8A9D-7DEA973F068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F321C-027C-4C90-B0F2-CB29FB5330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DD9FB-3DCA-4930-8D88-43B7A37286B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4549EA-ABB2-4231-8E54-C7AA67BF9A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DBBB9-436B-4CBF-9765-DBB83AA32D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8F85D-DAC2-43F2-9577-38FA0D38B0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012526-C220-439C-88E0-BF9151F7102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7CCD0-5093-41D9-8BB7-9B8150F942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7B7C0-140E-4EA2-A7EA-8068D1D2C2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E1218D-3EE8-4828-8930-CE08C39A20D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60A02-97DD-4308-B9D4-E985D58C87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106D5-E2E7-4579-BD35-127079FCC4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273C0-4FB4-4BE5-A8DC-A21254F66DB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DC265-B765-42D5-901D-4A4325E3B1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D7086-D053-4A7C-B43B-B6A771186C9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11E18D-F16C-484F-9CF5-EF5CC7BB44B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184E2-E2BD-4A53-BE48-5153F04C988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1128D5-E991-4ACD-B89B-9F5C438607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02B34-A1CE-4F34-BA73-82C9EE93A9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94719-67A4-43C5-AA7D-61A3155D03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8261A-9A62-4BFA-A067-4589E32CA9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30A8E-537D-48BD-A76D-61DA63495E2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7E6092-FF73-46E7-9149-57C43D01AF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B6318E-1CF6-4BF6-BC11-80E77A9D141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C474A-245C-4AAF-BE1A-8943A775390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0F7D1-5225-4F9A-B198-B390E21F79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805E4-724F-4ED2-83DC-C7F399A59E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B03E46-6913-423D-BE1E-7895D605DDF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860BC-B5AF-4605-A7A2-AFD9A3F4DC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F6268-8DFA-4CDD-A65C-A5F943AF5D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356CFB-2C67-4EC8-8351-AF9B7F4D27C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8EE60-701B-410E-A25C-F913FDAFB36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19993-C3BC-4104-98AC-F8DA4B32248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5E1BE-8C56-462D-9E18-BF40A5192A8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6CA0E7-2F4E-44BF-8CE8-74C7678751C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F68F1-A72F-4F64-8738-75833EFB4F7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CC13D9-97AD-431C-8744-3B55FB2E597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89FE6-774C-4384-9FEA-E007957E3C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BF5EFD-C314-46B8-8952-E3457E4053C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16F28-7010-45E4-9FE2-9D678D16D83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6</xdr:row>
      <xdr:rowOff>0</xdr:rowOff>
    </xdr:from>
    <xdr:ext cx="304800" cy="304800"/>
    <xdr:sp macro="" textlink="">
      <xdr:nvSpPr>
        <xdr:cNvPr id="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D21FB-4088-4BB4-BFCD-F7F81F4E604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A20B4-E4A3-49F3-BDDB-295B66382F7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00CCE-6F35-42AE-990F-3DA3004D5FCE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35311-ED22-4A29-9A3C-9DA1A296A08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178A4-B601-4573-93FE-CDF0BC4BBBA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0CF64-174A-4395-AC81-E2F643C5150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BCD131-7295-401D-85C8-2E3878DD82CE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60FE0-6C89-49E6-B5F9-7BEF095DA64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DB44D1-9AAA-4704-A032-6912A00C276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3879E7-3F35-4189-8537-97F7273C8D1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9BE8A-07FB-4234-9F55-D0E84B5A075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811B84-DD4A-4B61-B4EA-A0973616D95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4AF5D-18B5-40D7-B7B6-6F08B94A8DC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CF823-9B03-4A42-B98E-EEF49D47D65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8B26D-BC5B-45E2-8E20-6C564645E59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35C0C9-0878-4F08-B97D-180D199D3FF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590A5B-DC77-4A3C-AB6B-212D61C594A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329BE-6131-4520-8FA3-2AB636FE86E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71109-8311-4A59-8A1D-DA66413D4A4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395B8-A704-4829-9242-9A755AE1645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BBB9B-923A-4D4F-BDCB-572FFE6FA9B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2A8F41-339A-45AE-B54F-97A448F4AF5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10A6C-CB2D-40CF-BEC9-70A68F74B34E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20</xdr:row>
      <xdr:rowOff>0</xdr:rowOff>
    </xdr:from>
    <xdr:ext cx="304800" cy="304800"/>
    <xdr:sp macro="" textlink="">
      <xdr:nvSpPr>
        <xdr:cNvPr id="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98878-CB7F-48CF-AEA2-05EA89CEE124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20BEA6-5756-4D09-9474-57426117AF1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59569-8B1D-4679-8F1E-82C1D33DF98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BBCD73-21CC-48B9-AA3C-08EF6896C2ED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DAA75-D916-41B8-972B-B16B76D36DD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7AD439-95AC-4397-AF57-E7F36926EDDF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1E745-02EC-44E5-A9FA-2D376DB8F97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AFE446-0C54-4B41-851B-0158F15E540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AB423-7697-4F42-930D-AF8E69FFE79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C91C27-56AC-47BF-BE21-54A543F59F9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D1983-C5B9-4671-8E41-7BE9C92D67F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CB458-F525-46FF-A16C-1E66C7D9E40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EFD0B-EE48-4144-A414-DE9BCEA92C5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9BD29-B846-48B2-8DE1-05EA81BDD771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CD9455-1B7C-4BD4-99C1-5A3FDFAD044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E40E3-BE4A-4A31-90A4-85E01F4A9D8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8DA12-DE93-469A-B91C-2B27714C70C3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3E815-4821-4D45-9EFD-7BAE10B85C2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198A7-954B-4250-9E82-7ECC3988BA8A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48CF0-B2A3-4A83-8C97-6D940A1A01A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3391C2-864A-40A9-AD49-A899F1B4F092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50E20C-7D9D-4BC8-9835-4B371AF9A67C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BBD97-D0A9-478A-99CF-707AFBBA8D1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D59EC-D3CF-4F98-9DAA-5081722D5278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E1F1F-7B3A-4771-A15E-9C4B5704CD00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A3F66A-4D43-465B-A5CD-831EF5A66897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875FE-8A80-4423-90E7-B5BDC6358659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4588F-158E-446C-B1A7-D6E141F83A55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44</xdr:col>
      <xdr:colOff>0</xdr:colOff>
      <xdr:row>28</xdr:row>
      <xdr:rowOff>0</xdr:rowOff>
    </xdr:from>
    <xdr:ext cx="304800" cy="304800"/>
    <xdr:sp macro="" textlink="">
      <xdr:nvSpPr>
        <xdr:cNvPr id="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34E1B-5D9D-4610-852C-7844756EB4BE}"/>
            </a:ext>
          </a:extLst>
        </xdr:cNvPr>
        <xdr:cNvSpPr>
          <a:spLocks noChangeAspect="1" noChangeArrowheads="1"/>
        </xdr:cNvSpPr>
      </xdr:nvSpPr>
      <xdr:spPr bwMode="auto">
        <a:xfrm>
          <a:off x="2143125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3468E-46E9-4A6F-A8AD-873FBE55452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27F8D-B548-4B60-BBD9-02623BA2FDC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49E1E-DC6A-46DB-B6F3-19E1D65274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4358C9-D6B4-49B7-B8BD-9AEF434E37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5C1EF-A5A0-4454-A37D-CCA6BD1837B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3503E-A7EE-4069-B5C4-22AE5DC6F4B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9E429-BA1C-4470-A777-F9501535BAB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53CCA-58CF-4009-9973-AF10F380281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69EF8-A259-4487-9F5B-489E4AE8AE2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1711B6-4282-48A0-A903-CB4E34C371D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100B6A-43F6-494E-9CE8-CA7149CA4E2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89D355-430C-45A9-AA0A-DD6151AC20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FC977-D844-4278-9CE7-6BFF3803244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053E8-FFAE-45AD-BFE8-C52DD376D0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E6623-6F2B-4DF1-AA23-6EE80B85594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20644-20B8-45FB-BEBD-D1042518058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96925-EF2F-4A0A-982D-D7061D09AF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67FF2-1E2B-4C90-B417-8042F69BF63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F56D80-A9AA-477F-A5AC-C8B87479E7C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29AC1-D952-4527-8652-5AD56373EB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CFFFF-AD55-4289-851A-8D3F74B44E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52EB8F-9471-4EF5-804E-78468384FCB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BD4C3-BD32-42A6-A2DC-0AA54E5489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AB514-9E9C-4D2D-BCEF-7E5AF6FCD9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84BDA-286B-4FF8-866A-45C858C07C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77E959-A17A-4642-B44E-E9D8BBB203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38AF0-EE15-45E1-B1E2-D75A8089B7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7E55B-1948-448E-B6B4-B186B66724F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6B40F-3A79-4196-8EA4-4D90D8B2017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2EF13-6433-4818-BDA3-8542158BEAA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47513-B0A5-48F6-898E-205AF5D620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1795BD-5FC5-4DD7-AEFA-20B72BF50F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C7186-9410-47D6-82BB-7994FD930A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87557-82A3-4902-8A22-7B3427BAE5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14C14D-76D0-4A16-9D0E-CEDAD4235F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0F255-B3A0-4502-B8B4-8972DF373BD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50375-56D2-493D-94C8-E194C98524F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C7E57-68CF-40FD-B1B7-D0F7BC312C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4073CA-B4D7-4A11-B897-8A08AB2E6D4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5A41C-9D5F-4A03-A915-77F91995EB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BECBA1-191D-4479-9DFF-A08DDFDC4A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BDD23-4C6F-4874-AB39-1291097831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BE6081-3D99-40D7-912C-561C73CDE6B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691D9D-7717-44E3-B3E5-3ED4744EB22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1A7CC-5562-4A27-8DD8-CEAC2A2902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10728-9F3B-49CC-B253-0DC54D370D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D9F4D-9924-41EA-95BD-0588019E55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5AEDB-0844-4047-9162-253AB5BE387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9D9FC0-99B2-4303-A5B6-FAF81CB9250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B9188-1420-4A6E-BFC8-18D04B3178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5FE7F5-17C6-4505-881F-00BBB4C69F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C495B-2E23-415B-8484-49854CA66D1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ED5208-A345-4A6C-8EDB-293EB9E511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49840-7286-4F48-AD67-C738958F52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E12FC-E924-4FA2-AEA2-C61D66FEADC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BAE0C-21DD-44E1-943D-AFCA6A5E06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50991-292E-49DE-B617-D47640B448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62BB4-3AB3-4027-9E01-72C71A3381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9933E-AA7E-4B3C-8273-7401E97A30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56EDD3-D202-4E04-AD9B-98C84FA1131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44754-63CF-4AF4-AB76-5F56C6A6E7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F5CB3-FF28-4334-85E0-9B4276764ED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0D69C-B72B-4FBB-A3CA-282056549F1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102D1B-7C16-4FF8-900F-5B9A906AA53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A1E05B-0BAF-46BF-A928-330A8DBC85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D2312-3FD3-43D3-848F-B60F1B05995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EADE73-B675-446F-A6AD-1F489D5245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932E2-075A-4308-8B90-48BEED945F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7EB2C9-E7F0-40C5-83F3-FAAC662B72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EABD3-2F41-4321-83FF-D379480B90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96AE0-D000-4BCF-AA8E-9300929CB4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F63528-89F1-480D-9374-F7CF7578620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0FBCC-CFF8-4541-B784-4E0AC3037F8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43572B-3A5F-4AD5-BFC9-800E672F1CE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FDFBE-5B07-4641-A00A-EFE79FCADF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A17FA-26A4-4758-9A76-41C85D7769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5C021-1A9B-440B-8BA1-CD689394AC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B1C902-451F-4214-AAFE-701608B54E9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63BFE-E0FE-4828-97AB-82E23C755B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3A1EB-F0D2-4D75-A325-1A5868824B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070B1-1556-4C9C-BE36-8CBEA26C9E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4FC565-2B4A-4868-8ACA-F4CB57D00FF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F2CBE-3DF1-4607-8896-8C294E016B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A029F0-55A0-4C42-A5EC-EF174A6ADE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E649A-897B-4051-92A7-2C6DDB0387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411375-702F-42B4-8541-5283A30692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E3998-7B35-432D-8EEF-FB0E802A0C9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216FB-C6BA-4CB1-B12E-8A7DB6AA7B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C3EB6-9540-4D73-BFFF-451F9E1326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F1487-A86A-4B81-91CA-56565E5D14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D145D-0080-4BAD-86FE-8BDB580DDA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C5BB8-05E8-4636-BE41-F863FB96A9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50B85-2AF1-4217-A356-8D2FB4FA88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FF983-E205-4C56-8100-12D096A328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F9CFF-D0C2-4E33-BC8E-F43CE7F785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8AC24-0D1D-4D0D-B88E-D48F207D12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49C290-39F8-4CA6-98B4-5D0B2EF383B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9D2FB9-62FF-4AFD-8898-8BC1A54DD4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F624D-0180-4991-B35C-512E35FBC3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FCC04-DFC5-4F88-BD8E-A2FE0B49F5F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BEE38-E1FC-48F8-8A07-B058F9AC5E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87147-39DB-4855-9376-DF098ECF777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8E112-0984-46BC-83E5-33707356DDC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8D129-C976-481B-AF12-2E655ADC65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0FBDF5-674E-4DC7-9EB1-B954D9DB58C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7575D-08A3-4665-A2AF-3F9106AB49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192A7A-8824-4F3E-9A3A-F3FDC41AE4C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8031C-BDF0-4E9D-8C2A-F0E884CAE7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794DF-E779-4AF8-B6F0-AD50F4A73E2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47F509-4BB5-4214-905D-2D86C0D8B19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AAA14-55A1-42B4-B0D4-4EFD4D9C4DB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4537B-B1E8-4F6E-84FA-17A0C3DEF36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5C52B-45AC-436C-8C48-5928EC26B8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E0116-C315-43B6-B77B-1466D9F95B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0AC06-9584-49F2-8D55-6A7EC94FE9B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F3BDA-EF31-4175-A07C-2EFECCEAF2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964A4-342B-42E0-8157-43E75AE5383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5320EF-78FE-4589-977E-DD062F5607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727135-F99B-4C69-9863-2E7C03DA40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0B87E-05B0-4929-8815-410C621CB53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4B039-720D-4168-B724-A1070734FB5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08BE1-BB81-4B32-95D9-2D21FC40054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09221-BF70-4411-A491-62548C622A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AE0C3-3DE2-4337-8602-C4BCA6FA9E8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185C4-E117-449E-8975-85749CB04E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9B7BB-11F7-4A3D-B6D5-9FE285B744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D2F0D-7EC7-4CE4-8651-12EF8EFBF03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F6F02D-6EDD-46E2-BD72-3B64D6F6B5E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1B5BE-BCBC-47E8-A6FB-A38F61261E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E2F307-C00E-4E5B-A1A0-8DC2F91BF80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2EBC26-D7DF-4FB7-9EE3-86F22C900E6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5B6CE-B0CF-4946-A93A-480A5CD3DD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24F3FD-BDCD-40AD-9963-803552644B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F4BDE-E6B6-466A-8C51-E92814255B5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36CE77-3A76-455D-BA93-D61126FF3F0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4F4DE-62A3-464F-B7F0-01E34AB517D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E73072-92A6-4E6C-B778-119695E93B7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3B6ADC-D4AD-4EF0-9DD0-A0A1BA98530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1F83B-92DF-4988-A6E3-62BA567FCCA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F0FF42-1B63-4302-8D90-07BDF48D06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BA2E38-00F8-433F-81F9-B14DBA4A8E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031333-FE50-47FA-9278-C489883559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F21748-164F-492C-AC33-D5FA16BDE2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5EEFB-07AD-496C-A2E0-919F02A2F3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E46CC-915B-4DD9-B1FB-A264F6EABA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701FF-3271-40C9-A505-192B1B28ABB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68477-3D56-47C9-9BFB-D906B5DA54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CFAA2-9BF5-4F97-BCF1-BC8C143CAFF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F1C66-3A9A-489F-B177-6B7AECFEFE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CB479-0332-4177-A2A7-AA93CAEF402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27CE9-12B5-4A84-88BB-A33BB8FAA5E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6B05C-C41D-46D0-8FF4-CDB58941D24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92851-17AC-4B3C-AA96-80376BFB5B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0DB27-EF9E-4E31-8E3E-37464320EB8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245B0-2CE5-4902-A1F6-02A79C13829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882575-E8A8-49A3-9DA1-DF0D4C865F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620294-43ED-4F7E-88E2-FDB36847B0B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C0215-D3F1-4454-842A-9FF796D5C8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1DA5D8-C488-4CFC-BDE2-81DCFB5DAAC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A52D62-B601-4F29-8DB3-12CF60C97FF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3F9F58-8CA5-4A9C-8665-783D1677A3C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69DAB-E019-4395-9855-FA3EAEC101F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ACBD1-687D-4E12-9565-B25AF82C581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FAB0C-203D-4E2F-BEB3-B6CC11E041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55A64-54FC-4659-9784-3C420FB13F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8F31C-690C-4C56-A652-D4349B40002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E8FB9-7700-4EA0-BB51-A89FFFCFF7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B8A55-ACB1-4AE5-BB5B-FFB11BCE2E3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AA49F-A72F-404E-AE1D-929B682EA1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4433B-F093-4287-A19C-80E4F9AE3BB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E7157-A0E2-48B9-BA99-C59B4B924C8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6CAB09-3818-498B-B890-FE437647CC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D495B-C753-4A9F-84CA-CC493C8E279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18B4E-82B0-4F97-96E3-30090C4D070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C695F0-133C-4EE3-921C-786B774CE6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CBD64-1679-464C-B516-CD3B843BFE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1DA75-7DE2-44A1-8E7D-28A24974F82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B258B-F24B-41AD-BAC3-BDF5779044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987388-1F07-4491-A9C5-D0084DF5328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99720C-5086-4327-85D5-4FE3EF9BA29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333526-C419-4C28-B3A7-8FC07197393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0B597C-F1A4-469D-AAD4-1B433B2D282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A2210-4F63-4974-B349-FEC3FBFCA68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B278A-B77B-4621-A29E-4F365F2D818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E7933-EE10-4F4A-9886-7C02358F537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E1F1F-991F-4D2B-993D-77BC47EDEBF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17D09-1E4F-44FF-8469-4F0BA87349C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0FE9B-BD90-4E0B-95DA-AC062A2F117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DBBDE-759F-476C-B934-FB00E32437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BD5C5-C74B-41E0-BD5A-2BB81D2E20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3AC50-869A-4B32-AC80-AF567744F5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51659-5997-4FD3-B272-A350532B9CE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B8A37-5832-42AE-A0C4-D92FF0869E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1B217-D743-43C7-9CBD-383B44345D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80C70-2CCE-47B2-ABE6-1D49B904AD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04BB5-9999-4880-AEAF-880F8FB348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450B23-5CB8-4865-ADE9-C2BE60B97A4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782377-A855-4322-8AFA-D4FD295E527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D28744-6992-4FD7-8566-6BF106374A4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46059-F721-43C2-A61C-BB3BB41197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7FD3B-18D8-47AD-B5DA-3C6AB10CA1F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E5639-4EA1-4EAB-8FEB-896CC32575C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F18FA-5EEF-43C7-A8B5-58249A85BA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E2F27-944A-4DEE-89EE-857C1F1B07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FEB48-D676-4635-BE99-D86DFDB34DF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E1748-0AB9-4621-836A-FEFB3318929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0C2A2-A183-421A-A08A-FC214DC5C15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53E64-1F1D-400A-BAB3-09217FA670D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8AA434-C4E5-4807-A058-D4B3BAD1CA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B7F3C7-5C96-4F28-9FF0-5CED4A45899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75B08-F50B-4FB0-8823-00496D2238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2B65B-AF6D-4EB9-AFD8-CD035F4F7E5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F7020-8FA3-4DE5-B9C2-F043E2DCF8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7C75D-CC8E-4827-86EF-6DA8F0BFBCE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FB079B-E13A-4BD7-AF42-8B7B60B3E8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26DCBB-428D-465F-94C7-F4BCEDE22BF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F5398B-BFC1-4B59-9625-38CC11D6F28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8FF32-495C-48C1-9DD1-84D976168D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6BF8C2-896F-43F3-91F5-E12AD4D6798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44015-35FB-4672-A8A8-82BC8B24F5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EC37A-23E4-4932-9C6A-151E2074CA2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C022E-1CC9-4EEF-AF84-DAC25C19542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035E7-4E58-47FD-88E6-ED641CCADDB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490E2-9C54-47F5-902F-F6BB74567B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0D1FD-8954-4180-A6EF-C85BE4FCCB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98315-EE8C-4F70-A531-E59CD70F1C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D379F-501B-48FE-8B62-0AF26C50B25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32BE8-4CEC-43FA-9051-1111C9F4F6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96629C-F142-4E55-986B-5E372B39E6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CBEC38-DE0A-48B6-B89A-7A186CDAEC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B7DBE7-153F-4BD2-A48B-35B59E5AED6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C7682-B28C-405D-B42F-230C306B3D7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AF9F83-B4D1-493A-BA13-427811205D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86F90-F45F-4B5D-B284-4F6DB414FF7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9B661-07C8-4BBF-AE1B-EDCBAB7BD4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9E0351-1479-4F0F-933E-BF00B81334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33644-39F9-46DA-A5B7-F4B6A90BF90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049F7F-5F47-49AA-8A9A-B3C7634A50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B010A-E1FE-48E3-8DD0-0827CED3B5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D1522-FAE4-408C-A524-B8EFBA53A1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0018A-CDD4-4DC8-8CD1-912569BE11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D6582-F7DC-4AEE-B65A-FC73EE44194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27751-B18E-47F6-9090-75D2EB45A6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27C3A-458A-4048-B3EA-D5CE2B6F67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386A9-3635-4741-9238-1F66EC8FD78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DD5C5-817E-47EA-9B67-6AB894B709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F03A44-7238-4788-BC72-5AB7CB78B57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8A81A-C993-489F-8941-4C2F6549D0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B090A8-E9AD-4056-BCEA-2256F8554BB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7A1C0-5332-47D8-942F-9078950E5C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3710A9-29A1-4EC8-A32C-259556D563F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906BA4-9127-4666-B6EF-FA19BD4E29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AC27D5-8609-4E6A-B15B-82AD2439A8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C002D-1ADB-48F9-8A30-E892A12AC6D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57F0F-4C9F-4EDE-A7EE-27C608DA4A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1FACC-4412-41FF-8462-1370B6BFAB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C25CF-9758-4A5A-AEBB-733AEA5589F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F621F6-360E-42DB-AB15-9DB5337D034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C16977-AB1D-43DD-AA25-6B622A754CF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020E3-179B-4B1D-9E39-0D622AF861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E105D-ECBA-4D2C-B15E-04FB3503D1E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DC78C3-A44A-43E8-A955-376183B0734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3C9A4-C5E7-407D-9FFA-D975314C576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05BB3D-9E98-4C6E-A368-A83C4A2F54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0D70E-51F6-42E6-8D12-238F465BD4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121CF-C39A-49FE-B1A1-CE09BA9983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15F45-8CEE-494C-B66C-7E8449695F4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26B5C-995C-41DF-ACAA-09F6B6F79E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6545B5-CC21-4256-8A07-66DCF3074A1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E74E4-4D9D-4830-AD79-976770C29F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06381-D7E0-4913-B22A-652ABF3D184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0A482-4CC9-435F-8FAD-D7CBC2B2F7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A16D0-F25D-4775-9FD7-7C562B0F4D0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30E4B6-C2EB-42AB-B891-C36747CA26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6DE26-5EDD-4090-A98C-AFAB6FF6B3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8BC86D-CF3A-4A3C-89E2-446174A7FD7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9BB4E-F55B-42CB-ADD1-5CD28A12B7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D92F3-DE9B-41D2-B474-0B0FBB137A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E2836-418C-43C3-AC7E-DE1528E348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29CDA9-6962-4947-AB0E-D12EDB91E1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E2D37-920B-4EAF-AC52-4F20FE37D4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E6189A-B25E-4F31-A519-C355ECA24E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C5450-8482-41BA-9FF0-226F16A856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D229E-178D-4401-99E6-D319B5D6B3C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9404FD-C770-4FBB-A7E7-3FA9F59112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67994-3526-42B9-989D-C1072F1FBC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3BECC-3115-4F90-B43B-30E283F9A4F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676A5-7E50-4834-BBD2-389C23C4CF8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068DC-9CF8-49AD-BC61-0B25BA4F46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1888F4-242D-4EE3-876C-6767EFC517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74885-29AE-4D52-875B-6C6E27FD07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A8404D-2212-45C4-9294-B63586B69F5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B2D04-F7B3-44BE-A4CD-643874E800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105</xdr:row>
      <xdr:rowOff>0</xdr:rowOff>
    </xdr:from>
    <xdr:ext cx="304800" cy="304800"/>
    <xdr:sp macro="" textlink="">
      <xdr:nvSpPr>
        <xdr:cNvPr id="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085EE5-1A86-4D18-A43F-4CD8A0B21D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C2A9A-0844-477B-AC60-4683D5CCE58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F1819-BB70-46C0-995A-EBC542E9538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9180F-9581-4C21-9DA7-419BDC900E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D64A2-4635-41D6-AA2E-5ED527D68D7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C2781-FF2F-4B3E-B7E9-3CDF4AFCB1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B6D31-2478-4E9B-9241-598453B6B7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B7D90-FDD5-4753-87CC-8B8CCFDB61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720302-40FC-4B92-91FD-5897E323815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ED723-6B2F-4E91-98EA-62B4240417C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B29FC-A9BD-4B9F-8B7E-E97272C689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F57E39-8723-410B-A856-603DE4A987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92CA5-1F24-493A-905B-3FE84F706D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7078F-DD7C-48AB-87AE-5F6F5BE433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D5E17-EE83-43AF-91E6-F942ABCF99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5AA86D-C6B1-448F-9BF5-5246658898E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6FD7BB-E4AC-4476-A157-220EF0A40A4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91430-51FE-416E-BB67-9A5FD9F1829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0E14B8-6DA3-4019-8E5C-C67F96535AC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9F6D0-0A3D-47BC-9F10-8777178DF4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E1454-0DF8-47B7-AF78-1A39299785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EFD205-E127-4F8F-931D-1A6AF2338E5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96BAB-18AD-40D6-A194-F3864F4BA8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4F48D-ED35-4A14-BFA5-23C7FD9540D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8A655-2E71-41F8-9945-817A8D607D3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5C9F3-2C58-407C-B9BF-68282B48CB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73D18-0064-43E9-8F2C-7A8418EBA4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29F76B-8831-4046-9CC9-412F2B33F6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8ADC5-F539-4F07-A524-93F2DFF2A2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402D17-575F-46C5-AB85-D70E20D4BE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E4547-44C6-4445-946F-F1E89BE30C9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5DE415-EF18-472B-BA5B-616D8ADDB9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9C0027-690C-4731-B6A4-2E216377E44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8DDF3-BF8C-40A5-9CD7-AAC8787F3C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B86B8-8A73-4765-984F-75ECAED52A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B9451-14FA-4841-8FCA-17EF4C3C0C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19E37-6F0F-4644-8040-2F3E0C61DE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FE598-BC61-45AC-942F-2B36CB6698D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BB0F2-4F99-48E2-8354-EE33AA132BD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0737F-54AB-40CD-BEFE-B39630B1C0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8463E-B849-4FDF-8B64-582550B0302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6396B-0E57-4F54-89C1-B2B7626214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62F21-AEF8-4B53-97EC-C8451D1DDF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F0C1C-98B4-4561-9A37-2ACADDE10E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91B1C-B6D6-46A1-AA9A-B67B409E3F2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86B1B-6610-4486-9AC3-90E3A1D5955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736BC-B908-4846-BA4E-E1C49C3687B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2975F0-367A-43F3-95A6-4BA87A1E1F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47713-299D-4BD8-ABBC-968D51C0C7D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F1C05-5008-4AB5-AEDF-6D64496992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C7E654-FD38-411A-A6CC-D08269A797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3C09C-D684-4228-9D3E-F2CA3C39276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60C78E-8839-4510-BA19-E229DF1B1E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972A95-A277-4AA6-B7F6-2996F37460C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E06AA-5FF8-460F-8971-F125192BFE7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EC42B7-493E-46AF-92A1-8187431861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01E29D-A3A2-415C-815A-B0918344312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9CB93-940D-4EF3-9C91-449DC8FACCC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1A2F8-4330-4759-935A-A4496F3885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A0F58-07AB-4214-8B93-CDED6D4C1F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905E5-C189-4A5E-B370-E70ACF0584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5D8E4-3894-40B7-9976-9E2E420702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B96E5E-EE6F-43D6-9FA4-8E8B17DCCFC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60140-2F0B-492D-BEF8-97B621BAA1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72F93D-BC41-4468-9593-195311864C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53AB4-E513-4EC3-A4ED-874D8708FCE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77B9B-8A6D-4BB8-B5E2-0F70564345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8748BA-E4F0-4BC3-8FC0-3A344D13B2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03652-C62B-48A4-B44A-76C895D29C5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706A3-F8F7-4FE3-A58B-EDD5B7DFC7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CA3AA-AC20-474D-97F1-2971E9F164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B124F6-3EBC-4575-B64B-E6EA1729540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25B76-8565-4B80-9E5F-ECD0D70C72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83E35-4A53-4836-9C83-0C6AD5528B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4AE86-063D-4681-A33D-ECCACDEF98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F13AF-9AB0-4A65-A38B-AA3FFB790A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E952F-E881-4500-9258-E05E3B37950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7FA8A-7212-4A81-B4F2-B44A09468A4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857CD-34B1-4414-ADA9-FA4A65BF841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6F5C3-14BE-4D26-88DC-354513C8D7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346AE3-901A-465B-85A1-EB8C9364E15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3A7DAD-3900-4D3D-A839-5CFD3E4851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CB587-58A4-4BEF-A8C4-475C4CBE22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5934B-645C-498E-9451-4B30151C455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7B8B5E-DDA7-4E90-839D-C530F667767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CA67D5-4490-4DE2-9794-75DB75AE52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F89EE-CBC7-4F4B-9056-28161D8B83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643490-725F-4705-8E64-B558AE15DE3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F2529-6805-4396-B648-A9BBB094B00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F1D56A-A40A-4439-B48A-46AD6E68C1B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A30F6-F7ED-452A-B9E0-14688B316F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254636-61FA-4943-8EF9-83381C1F2E5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5B4B6-9723-44F0-B8D0-45374190DB5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A4E7C-C7E6-485A-8583-ACEC50541FB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270A8-CF93-4AAE-8F89-3AF4C3FA84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60B52-5E49-4606-8B35-913DF1614DD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67DCA-AAA5-4DDD-A558-ECA6FBD0AC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083E7-E6A0-4C50-B0FF-7B4C1657B35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2F3A20-9867-48B7-B014-00631D6F2D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F5D78B-102B-4A54-89D1-AAA76113DEC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47AFC-4191-4EA2-A24B-82556040B45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0180E7-B90D-4954-B7B8-169AFD52F65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C3BB7-9D68-42C8-8046-81CB0CDAB3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5A3523-BECE-43B9-862E-528C1EC2D8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43154-4BFA-494B-B432-87E42C989C1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F8E1C5-BB1B-49CB-885E-15682EC5E6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DE07B-0DF4-49B6-92D7-1D6568828AB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E2301-DDB9-4555-B7F9-4C0A0ED9AE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C99B8-60D8-4185-8533-5960E38806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C2CCD7-74BD-4479-A1EC-481552F154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B80C6-9822-4EE9-9D6E-662DDFC03B7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2E461-30B2-4D0A-8FAF-F136C30F73F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B0E00-CE41-43D3-89AE-8B80E5871A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7E9EF-A524-4718-8C31-29E946B06E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584D67-80CE-4CC2-A856-9B0940A5D8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52992-53F8-42AC-8D2F-527B6014F1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3C3932-C2A3-47D8-BBBD-40997C2D50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92BA7-536F-496C-895D-E08A10C39F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CB7E03-8A52-4643-807C-9243B878A8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DEAE0-E29D-4AAF-B29B-9D0056ED29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1A999-CA08-4FFD-BE6D-5FE28A82B4E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3F4DA1-BADC-4D24-ADD3-8219032FA3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D3747E-40CE-40FD-A2A5-DBF91E0663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6C307-EC74-429B-AE4D-141B30BB267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F9C53-4E09-4DA7-8C33-D307AAF09D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B43D38-4719-4EE2-AB5E-2A88A14EA7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328C6E-CD5E-4115-98C4-FCB168B8F4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DBD07-7C86-4A97-9B3F-D035C6B87A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E26941-BFD2-4F96-AE05-7D653DD8F1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DB295-5D63-471D-B1C3-C1195E9193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D2762-637E-4A6B-84AC-444FFF76CB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8E646-3DDC-43AE-9DC5-711C1B3EB5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0EADA-23F1-43D3-85C2-3054F90BDBB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88E83-21A3-4367-829F-6EAB6AD3CF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E0913-FD6B-411A-8C3A-6482CF365DD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2E91D-D91D-4107-9CAB-DBBFEE8F7F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02570-59C9-45CD-9BA3-2F9C14BD0E1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E4657-8CBA-4BF6-A9B1-4F3A5D549B6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9B7C0-396F-4BB5-918D-4EDF05070B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B778CC-055E-421A-A5F0-F5C09BE9D7D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A238F-8809-4416-8B4E-1C2D1C7C63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278CC-6AE2-4F6F-B456-7CD4F89009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460941-A762-4F03-BAE9-B98515BBCF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C64CA4-ECB6-43D4-8F8A-DE80D71FC8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FF96C-324B-4F9D-8330-A268E5152C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45096-8A35-4579-8A60-40473531A30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5DB08-1A86-4183-8ED8-A58FADFDEA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4DC24B-57E1-42A4-86C2-F544A6DD78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B41E6-670A-467C-BBDA-0BACDA85B9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1F76C-C8D5-45BA-9B76-D18BEDBFEC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95108-0CCE-4A60-A8D5-DF712056E2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E1CAAA-5183-4F4D-AEC3-D0E5547E73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7D5AD-D5F9-4433-9236-F944221856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8D34A6-F248-4D7A-908D-707B47AEBBE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0B3E9-FF3B-4250-BBDF-EDAE5F42926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83983-7AA5-46FD-A3CE-598CBAEDD4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1AFDE7-1655-4EA4-BFC1-C4164F1F55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BDAADE-2E5F-44A0-B48E-8214753399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C900C-AB23-4750-8F6D-778815FC58B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8C4AD-89D1-4B41-9C34-90395A23D6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75D69-2B7D-413A-8A2F-132229ACAE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9E507-7C56-4DAE-BB39-6A04DF754B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B680ED-2571-4F53-9206-A5C166F3FC8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349BC-2BF3-4E58-8909-68A67386C23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BC6DB-00F3-4130-B337-75A24C39A79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0B16E-FD06-4E9A-8FFD-90598BD6CA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545A4-2F42-4DC0-8D26-EC89CF5B814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02E81-B19A-4A02-AA1E-92B92EDD20E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6F83D-E4FC-4685-BDE2-7D9B20E9E7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01EF7D-E1E3-4D89-A07B-664EE07B56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A8373-939D-4459-BDF5-14B2D70C67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49290F-AD24-422D-8A1B-A707CFBCE3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FDCBE-2751-4A40-A18C-5BDC257CDD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7007A-3ABA-4066-B645-A6F929C68D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DF1C52-6BF7-4CAD-AE16-F8F7A584039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E4262B-59A3-4080-A3CB-8D924D212D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D0875-2547-4182-9921-F566593881D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F24D0-CE6B-47A0-AFB0-BB5AD3AECB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13A5ED-BC76-4238-84B0-6D5851FADF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EC46A-EC3D-449C-92CE-7013F215C07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5AEBD5-3F65-4A4A-BFCD-C8ACC4BEB8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0F4C3-C7C3-4F75-9139-C93EDE6AC2A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D73B6-ED53-472E-B483-0FE3988711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01FD8-7F2A-4679-BAFE-CB09A5B576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706D4-9906-4A98-AEA6-325F977CB15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751E7-8890-4C06-91CE-68B43DDE813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0F0685-2658-4369-936B-F9A3BA984D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8B9EE-76ED-4BF9-9361-713A233313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9CFA96-B7B3-435F-9BFC-AD94349C98C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83343-A6D3-4B2C-A903-18978A9ACC9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01F08-00FE-48E7-83A9-62750E3896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BF90E6-9C56-49D9-A108-95D4B73DFA0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AD36C-AEF3-4E7A-920E-C365F6DD31E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DBBDD-4DB0-44C7-8FEB-F19EAEED94F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E4838B-05AB-45F1-B62D-127C87D1736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3E1EE-B3BB-4879-ADED-4BBFE01126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0DDE2B-73B4-4EA0-934E-DAAC66E03A6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1562E9-71C2-4258-9D9F-E52CA568115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554080-1A55-404A-B638-B3C42EE536F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126CC0-E009-4B2B-B0AC-2070BCEBCB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8EE2D-E251-4B91-BF5D-4FBBA7070C0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E7C26-C505-4004-A236-268991FEDD8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364BD-DF8B-4466-ABB6-01AE4D5CD8C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07C36-F6F2-42F0-8340-7F2FF04B10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A7F94F-2977-4E20-8C34-5547A212BB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DCE3FC-6B06-407E-9F6C-965633DACA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2B020-53BD-4822-96B2-9FA93A4E6A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AF890-FA97-46BD-96C1-42AAE7B2A9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7C966-388E-48F3-9F9A-A9417D7877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98FF48-5036-4C0B-9F2C-2A81ACD593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04CAF-3100-4B0D-92B1-92D21FCC31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04F5A-2152-4AE0-9473-A2A123A367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32B23-8D2F-44E7-874D-B8307DF846B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E95B7-B2C7-4C04-B71D-7A9EA857AA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6E0B5-C3F5-4A12-B49D-D68E4758F7E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F4210-377C-40CC-BC29-EE59B78471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FE451-87C8-4C92-934A-3ABBD8C89FA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854BC-6824-42D6-843C-E4E2B2172E8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36C5C8-2476-46D8-89D1-E14D9248C68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CF41E-E2A5-4DC3-8E28-0CB9FF4B1B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30144-E1B2-49CC-B2F9-BFFF5AC7737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08E5D-AC84-4B1C-AE9C-4D7634A972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C2408-010E-4796-BCEE-034BCB386A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CEE0C-4BFD-4C1D-8339-7D129C09D7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BDA50-2590-41F0-B965-2872A56FFE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872F0-4FD0-46FA-8BA2-9A2B9DFA71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5B9034-E80C-4DD0-BAF5-0E353939202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7E544-3D9F-43F6-A403-52EB6BFB9B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32608-A2FE-4ED6-9F27-A2AEE2E434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7BD4D-2702-48DA-AA63-19A0690C2E5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A0861-F2DE-4B59-90AA-E24021E16E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1AE50-44C4-4E1E-93B1-415D4746AB2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CFDF3-75A1-436E-BD32-02D77477F1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2A9A3-4507-4CAB-97D2-7D0857C11E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C2FD2-43D8-463C-8E38-166AB915BA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68B24B-2AAE-4D56-95C3-E19DFDA696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3EAD4-0374-4FF7-B3B1-D5FFA61913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610F2-DA27-4D15-B360-E29A633512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3BDF1E-A144-4F30-AEE8-7D520C6EA79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BA21A5-31A0-4AB4-9E52-5E53A1690B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E7FF7-7BDE-45C7-A55D-319C9EFB23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1D7CE-D050-44EC-A442-2E95BBEF59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049583-BC27-4692-A6F1-7F070D8250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0E5A6-6907-4E63-9E08-AA2E375B0B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7D066-2F5C-4A65-A2ED-8123529787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1268E-4570-42C8-8B5B-CDDA039E5E4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790F6-942C-4946-9B05-A5DF07A3CC4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42F5A-373E-4386-A103-FD9652C1DCD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74A48-0A83-4014-BF26-6597295D34C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BC3770-EFB5-40DA-9C2B-705E1FD5C0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4908EB-9753-4BB4-B357-CE7EFB87B6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5A66E-969D-4ECA-9015-82CE69E3F18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33276-8075-4BD5-B7A8-5EA5313F2E7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5750C-E349-44DF-A7D3-586D8533F08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6B8EA-B312-4FD4-A988-CBC523C215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80B9B-522D-4DE8-9A77-FF72E127B86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C7E71-3689-4BD4-B6B8-A193ADFB76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FA9D3-F3BB-433E-A5E9-3837993B9D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4CEA3-22F4-477B-A22B-B3B86D5853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E7679-C031-4570-A7F9-7D5E38E1B1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3764A-250E-4C57-8077-80E7605C62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216CB-B9D8-4EBC-BDC3-0CAE6085C3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F79C8-F911-4ECD-B8F5-F1F29F50DA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B2CA2-1795-467D-9978-1A26B65B838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F519F-02F9-4DF6-9617-F9D509DA4C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7748DE-ECC5-45DD-9EC5-F6673646B84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48E12-5F53-465B-AD32-75ED2DB5937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A2F8E-FC49-4440-BDF4-6400022E20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0879E-76F6-4CD2-854E-CF78EA95508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69AA6-F41E-4A11-A16C-0147317252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0E308-555B-4EBE-BE46-A67E7B38DE2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4BECC-8ED5-4A7D-B1B9-49DBFB2299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9F478-E8BE-4DDD-8742-7CC28D75DA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9D771-FBF2-4A3F-9414-6EED71BCCDD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93D79-2809-423B-9A7F-17A1EDA34E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504E9D-5462-4020-B565-90ACE15DF7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DFCA8-9496-4047-AB06-96E343E756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22235-0C5B-43D1-B9D5-02103A18126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E55DC-4973-46FD-8948-0AC72EAACB9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350FE-F3C4-4315-8EC8-F8822AA5FE2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5F6B5-0555-4997-993F-91A60D95D05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0106F-3C6F-4BFD-84F4-9A764DA70B6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748A2-B20C-45CD-AB42-9A798FD6E83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F31C7-88B5-485F-89E3-88CE39183F0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EB1665-9E2D-4EDC-AF12-AB8F0FD42DF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575FE-F27B-4D34-94ED-590F2DF2DA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3299F-52F0-407A-8975-866074BBE8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9C2F7-6263-447B-A663-A77FB01AFB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A92AE-59FF-4023-A2F1-91CE0FB19E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2838FE-7F5F-486E-8555-AD5A16B3D5D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4AC5E-6A49-4CC9-8C0B-CF0D03F6E4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80A9E-77DA-4361-B208-3D70B978353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89BFA8-06A0-4B97-BE73-57CAA29D0A0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524A4-DF71-4087-A916-AD58FD7A3C7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0DC39A-CBDC-4C40-BFE4-3E63805BC1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AF8A9D-6F20-4EC8-89DE-4A7A5BEE1CC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34A6FB-C182-4E66-BB29-CD5AB99811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0623A-B2FB-497E-9C6D-2A242C7697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6A1D8-3CE1-4326-908A-88C532B8505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75E51-B0CE-486F-AFAF-C7813CAFD19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32B7D-97C9-4FD6-B96F-EAA15CE47D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69E3C-9223-4463-A852-D3A9D737239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1FCA4D-E552-41B6-85E6-F19F536EF8B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3D34AF-02D6-40F6-8DBE-8ED9807627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9B851-4F75-4A59-BE2A-A5E4B645DF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5F9A1-5F3E-4010-A1C3-648836147AB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BD50A-F41F-4600-9495-BB53DF9188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32191-BF80-4737-BF80-5F17FDE950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F4F7A-EA58-4561-AC99-B0A267647D4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67534-1795-4A38-8E4B-63558683A1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64991-17F3-4EB8-987E-B34F886CEA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D11794-575D-4D1E-B1B5-806406389B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7D624-A00B-4B93-9B12-6007B21B43C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06E16-F1CD-4B4A-ABC8-717CFE8981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3EE17-E478-4E3E-9F21-C3678FCA7D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7F3A4B-6A1A-4983-8367-24AC4B9DB56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992FD-C280-490D-BA3A-18AFB8C16B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A19725-A7C1-404F-94DA-44C1F28D2B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F061A-7035-4ECE-AAA1-A3660A5A967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58880-3AE4-4572-862C-6F6198DE75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C8572-B846-4F99-9886-04B580FFAC4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D044F-FBF6-4807-A243-6FF613C5B2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5B0627-D064-4A91-A708-44F0A9374FB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0203E-FD96-45D7-A0C6-BA4998C6AF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61B18-607E-4A8E-807B-61CE6EBE6A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B719FB-256B-420A-94E3-E2AF72AF40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CA11C-F8F8-4B86-BF28-9B4C832E00D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253A4-A934-4362-ABBE-843DB8567B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65229-87EC-48BB-BB60-30123286AC8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E1821-0B0A-4AB6-890A-ACFD91AC7E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E547D-F8FE-4348-922A-D4488D0C4D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1713C-7968-485A-9E9A-CF6C946DD5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C9A641-CA40-4D2B-BCC9-D472028FF6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B2CDD6-5481-4195-B190-42A0B892B2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DC692-28E1-4B9D-975A-BF7F271779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704653-5744-4FB9-B67A-146D084D19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7E5C7D-9496-4B23-9742-23C30193C26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D64F5-BE08-4B54-9098-54C6E3BDA9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03E49-5C68-44C3-A6C0-781376D0DE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B34D7-F5BC-4F79-ADCC-2268C2C8044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62DC3-E6A4-4593-91AE-01F72F5DE6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06566E-F437-4AD2-9A87-19437E5065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BB97BA-E475-4AA7-A20A-BD11C8BA06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1D4F8-6003-4F8F-9BCE-31917BDF11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40658-C3F4-4C36-89B6-50182C74A5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DC25D-6616-44EA-A705-BEF1C50176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436C1-AD5E-480F-8301-6F2E8EDDAC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ED8E8B-3205-4134-9357-7D13FB1D20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56EA42-DBD6-44E7-B69B-88CCF210CC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352DE-60E3-4EFF-BE55-06F29322A6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2B1CD9-D35B-4F3C-81CA-184DFF2C4E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B1F0B7-D944-410C-A4E3-7717ECC352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475BE-D8D4-484E-800E-FB0501D49D5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66C4C-C1B9-493D-8618-64E0E4AF0A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B9ECA1-E380-469E-9FE3-37DB33B3B6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297FF-2D23-43F3-98EE-C82171A3F3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D049DF-9637-4282-AADF-04353DFD71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A466D-8044-451F-9BBB-162ADC4DA58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9FD6E-CF7D-4610-8F2B-64ED78B04A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361CB5-2853-4483-9BFF-887C777FE9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5C68D7-75BD-4072-B0CE-531678AD2B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9714F2-7D57-4607-97CD-DCCCD5CB76C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D29EF-5BDC-49DC-8202-97ACBD5DD18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9B2BC-69A9-4689-AD9D-4B8BC84866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FD912-C541-4C89-AADE-A0698EB98F5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171A7-DC6F-43B9-AAD8-779A4DE570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979AF-2FA0-475B-80BF-32A0ADD030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F77E3F-3BCA-4530-99F2-D2CE11C87CD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5B4BD-3814-4D3B-A8AD-8ED480AB40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9F74BA-879A-4F17-9326-4298C1B802C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5D7F4-064B-47B9-8B4B-8518D622D25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CD978B-4567-4ECB-8B34-C9C23EBF48F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C1CDC6-9B7F-47D1-AB12-8F60A665620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CF93A2-98F9-49A9-A2B6-61951421AD5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F3906F-2874-410C-AC51-9C4D92DC6E9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20C41-2609-43A0-AC8D-E6CF7AE161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9F4A7-2C5D-413E-94E5-36D111C4B1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6235B-CF26-458D-ACA8-456DD6CB895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C659D-1881-4D76-BCC3-DA3EBF069CF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4CB01-CF9D-492C-BC6D-48012C8B2E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DE614-9FC0-4B7E-BAF6-98FFB415CF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FF8EF-FE97-4445-B095-4D9B399D0DF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E853A-5423-48C2-9262-A376D1FC391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8A2FE-A8F3-4AFD-A486-912B810A995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E169A-E0BA-4FA5-9E8E-D361FD6A1EE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CC4BA-F1EE-47D4-91F4-6CB80326B7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152F8-4E47-4ADD-8D0C-94163168D03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FF96A-55C6-4F11-BABF-3FFA3BC9064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D4879-9CBA-4221-AD53-F9C0534CC9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A9EA06-5CED-4DE0-9CF7-DD8DABB3103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A3A74-AB89-4F54-8657-6CAE538098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6B8F3-DD28-43F9-939F-35F54CCA4A7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C8B8B-156F-4389-9092-18BA7FBF93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ED6EE-C380-4828-9038-58167B9454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B47A2-223C-49F1-B458-B42BD3142BD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4532D-4834-4420-8F42-E270B3D2046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506D0-C3B2-4E3C-9E14-1A43F3A9DE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9462FD-0EF9-4253-A0C9-A066B4D7F6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B29A6-DFE0-4292-9459-1E04E16C383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02C0A-2341-474A-8E3B-17E70A1BDB0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020CD-FE66-44DA-88B2-D0824C8E71C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3913F-292B-4BC9-961C-C46B75F03A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538F45-33EF-42F0-9A20-1631974EAC7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12036-7F6C-40C7-B678-126B2EC41D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7CBA3-A086-4E62-9621-1BA3BDA8EB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C9356-8B5F-4465-8676-1405FE36205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47CDA2-0019-4BDB-9768-815A2C010E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A14A3-463F-47D4-94E3-04BD23E5EE0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4E569-11AE-489C-87F6-F66005F06E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61F69-841A-47A0-ADC1-1B2B81381B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57D641-1CAF-4970-959F-D1940F3B5AB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C2741-FDC4-4963-86DF-A94C59EF9D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F9C12-6FDD-4C67-956F-CC3B2981F3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5DA9A8-D951-4CB3-BF1F-064D73820B0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B0EF7-0553-4B49-B156-A4806417F0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06A34-3F5E-43E0-9066-0359AE15A0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02B78E-E8C7-4472-9609-4DCA763A03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76C54-A270-4841-959D-50ACDAE641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EB95B5-B448-4F11-AF20-BC9420894C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4D3E4F-82F1-48DE-926D-F76B2C81194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23115-CA3A-4DC9-8425-0446200558D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A8162-7EF7-44D7-B694-33425A3DD8F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8EBD8-5355-464A-903D-EC7A81D85B8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D5C06-3C91-461A-84C7-66A580863E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F68FD-3DD3-4DFD-B53F-3C207B82745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52769E-8034-49FC-AB90-003F0B77C3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1181B-F951-4257-96A7-722217BDAF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21FD58-D1AC-4960-81F8-ACFA5688DF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8B9DE-E26F-472B-85E7-48B236E6A8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145CDE-83C6-41C4-985C-9948423A60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171ED-5FB8-41D6-9F4E-F0C751700E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1CF89-A0D0-44FC-9640-FCF5ED7EC1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BFE6D-8684-44E8-9813-C4B06BDAADB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4C823-240D-4DA5-B0BC-C0BA9AABBC8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3120E-90C2-42B5-857B-1128E5AEEC5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CA1A9-4C53-4E42-B3A3-303C4FA3290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CB8E48-D9FD-4D76-A7D7-08CE9F78BE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67250-CB2B-4BC5-837B-27C2655F6E1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0C3B70-495C-436F-AFC2-0C88FC6CF6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2E1BD-17B1-4C95-BCE5-51DA6C4E345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0B216-1932-4838-BD5C-3BA3F6C0A5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8D89A-356B-4603-BE56-D80862665B5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349C01-1CA7-41D2-B5C4-FB6A00D873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7E0AB-260B-47E2-93DD-5BEC4A7780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5B548-2354-4327-965D-EFB2CAFE2CD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27BFFD-1EE2-442F-AA5C-9938DDCBA0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717E41-643C-4DBA-8AB3-21625AE72D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E36E1-4FB9-4CBE-B295-2106CBC10C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4D16D-08FE-4A95-9268-E6A81634C03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5831F-21CF-43F0-9E71-1C52D71DEBE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B3A8B-1306-4E7C-A0C5-F059EF4CE7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BBD21-E8FE-4785-9269-ED384AB039D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9E779-97F1-4699-971A-BD3BC21A47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B8A049-C9CD-463A-80F2-6D184B10587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5CE80-7BC3-46BD-BEE8-0750196670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43F7D-4159-4C7F-9E22-173B5343F22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C117AF-A1E3-48E7-B283-4C7D43EB5C4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CCBDE8-1A8D-4C16-A2EB-0114211E939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247A15-6547-421C-B2A7-32F67ACF8E7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C952E-9C80-4F46-8235-92A39112EF2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A6651B-B52B-4F18-8271-B432E40D68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B271E-FA59-4521-99E3-D4D7E24D7AF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DD7CB-4F57-4FF4-B82C-F753D6DD1D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72ABC-B44B-4947-A07E-99A59DE144E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84155D-6CFD-486C-9498-160025580DE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0C72E-D56C-489D-A61C-11C0F8EA3F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38ADC-598C-4734-8AEC-2BF7B3E905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B3E48-9E0C-4517-B0A0-504857A4CF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FD2B8-FD2A-4B66-984B-04D8CA0B8F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93AF1-4C51-4F40-9B20-4F2CB53DCA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0B853-99DA-4435-875D-A7DCE5FBF2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ACEC21-8F40-4F8A-BBCC-249193D6DB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02F482-6651-4C64-B023-C8BCAACFD4A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9E3719-D456-4341-B055-BBDBD58B3D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E8B86-B849-4D9D-9766-48ECDD0CC2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AC1CCA-02FB-4E46-A27A-D080CC52A5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CD0CAD-1778-4744-8E44-7CBE569FE2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FEEFD0-0300-4818-877F-08D8EFC7067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A4670-6007-4B3E-85DD-BAE09E6D9A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78D93-1651-4AB6-82AE-5DAFF8D2C34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ADD70-27C8-4A79-8E3E-CA75DA72EC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B39563-846F-44C3-B98A-B61D48EF2A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440E67-5032-4345-9D43-36DB79B0580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D28DF-8077-4B66-B0C3-6E47D9B27C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397E2-F952-4DEC-B07F-B400B610A3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5C009-4C1E-4A92-ADB1-3CFE5AE816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3B9DF-95BC-425D-9741-39403F3B96D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F2EFC-7B90-4142-B593-18EDD7EECE8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5E15E-092A-4A09-864E-90AB99AA312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7F911F-EFD8-4379-96D1-F4E1D838B6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3BE4C-B040-4C94-83ED-5E3442BC41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9333D-561D-4DC2-AB6F-5C1B45EAB33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D159A9-4FAF-4E58-BD55-A3CC6EB046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BFD16-6076-48E4-B695-80A6BAEB2C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1C18E1-2A02-4A33-8646-C75A7A2D906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A110BB-BDD2-421F-9290-F1EE7104369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207AD-5261-4532-A75E-2BBE32F060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69833-D652-49E5-B715-9D64A1C641C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1D5CE-D3CF-46FE-B49E-53A4F61E76D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B01D2C-BC06-4C65-86DC-0BFEFFB85B8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268EE4-0408-4034-BAEE-60C6D83D73D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97DF3-855E-41DD-BF71-636437F146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15178-10E8-4670-B3C6-3AB00D69DD7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25F11-FD80-447C-A7C2-A46B201DB25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BD53B2-CF84-44D5-BA00-CD0561740C8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F5C56-B514-4E10-9EE7-B7AB33E4D3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FBEE4A-6601-4CD5-BF8F-D3F01E63557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889A1-C778-43D0-B78F-4DF5E854BB2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3A59D-1349-4EA2-9AF5-AABDE42232D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207EB-9E4E-47E5-A722-4137DF82226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D524C-4892-4FCF-9C6B-B61BE39F300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21882-19AA-4A14-8B17-E9310AC166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B4EC1-2EA5-465B-B302-6AD5BD2672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06BE66-CA25-4942-8AE0-2A73E42DC08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B01252-6518-45ED-A025-547A64DFB0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A8A3E-7D10-4A17-9B9A-09D77F7845B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AD2C4-7094-4807-8E07-94F5F1344FE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6A84D-FE17-4097-AC14-7797BC310A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68458-EAD4-44AC-A748-F21F9AA366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209AB-62C8-4414-95B4-9079C9079B1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0F3F7-D5BE-40E9-8D6B-FA6F11F6B1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F2D997-EC1E-40CA-AC05-81BD780CF4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FF5A2-CCF5-4D8C-9840-C6D81E53F0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62BE2-F704-4072-9D01-A02D3DA10A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47F88-8974-42BD-BA6D-312E646E47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25870-C656-4641-83A5-87B5C8082B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C7928-8EB9-4768-B673-E9E7A001C57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A877B-9624-4F53-852A-732944DFE9D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B6BF9-9844-471C-8100-71747F6F61F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2E844-FFD4-4296-8F73-67669ADD246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934EA-0B9E-460C-A211-A9347C3D415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C9F745-9BA8-4B94-86C6-70EFF4DDD94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9F6F55-AF37-437B-A6D2-4AD63DF6F1B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E3ACB-D756-4106-A8E3-634DBCB8EB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56858-BCB4-43E5-A8FE-76CD4051562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E79D9-EDE1-4E62-BF7E-EA29988D34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65C05-AF3E-4E02-8492-60047DCD968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970FAA-E959-4F4C-B050-94B76C7B94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CFE72-034D-4575-92D1-0275500BBD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7A348-8069-4554-93D2-D457D521DC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3213D-FC61-44B1-83D8-3C28268723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C84E6-E7B1-4CD9-8300-D294D8FEA6B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7608AF-33E5-4CBA-894D-57DA894455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B5CCD-E868-43A3-9655-CC2CF009E8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D3DCA-4F2C-43FC-8D1B-8E9FB54026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847C4-2C55-46C9-9178-28CF8C0EA2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18DC9-3799-4481-818A-5704FD6C2C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E789F-27AB-4AD9-ADA7-5D4ABDF35A3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57348-F47C-4A38-AA79-E5A722683A5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22531-D04F-4AAB-B096-98A96FFBBA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FDB8DC-0B2E-427A-80F8-87057053B9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CE4D60-3157-49E1-9BCB-6483E179E7C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FA17A-63EF-4728-85B9-A845FA549B3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761C1-7078-4AFF-AF52-B59B0B6A22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B4D1E-EECC-42A6-89A7-CE043B89C29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95893-C4EE-45A9-A93F-7095C8B8244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AF41A-752A-4760-B4A1-424D95F15C4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2E45F-B191-4630-A5F3-44F8DD258B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121135-EDC1-4CD5-99BF-C7B15FBBA1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368FDC-CABF-4FD2-9DB5-BB2C7E0FB21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EDEE30-F192-4163-906B-7F092E9D64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A1FBCD-D004-45EE-90EA-8AB362C1B5F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028B4-A36C-46F5-A1EE-BA7AF92203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91DA9-D341-48B8-B3ED-38D92DDD33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11076-DE34-4439-808C-F3B5AF402C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EED53-BE81-47E0-B362-B4039302E3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D5F84A-2420-4678-AC7C-B07736176A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C82EF-0DDB-47EF-80E4-6A072C53B10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87565F-B9A4-4E57-BE12-0A8FBCAFAE2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09FCC1-6DDD-446F-9254-36584918EA0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7DDD0-59C2-4C65-A191-C6499F9309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230DAA-D8FA-4DC5-A94C-73EDBEA6FF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EA8D86-D9A1-4DF1-AE3C-DD8CEE5979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3C03D6-3189-4C24-8379-6EDD412405E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FC4B7-1821-487D-8E30-0C4754FCFC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E8913-E7A3-4046-B4FA-3D38B0B2C0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A9D4E-0618-4279-919E-0DFF2C69FA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3523B-27C7-46A1-BD28-DD001F2256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0B93F-2094-4F3B-AC63-712FEC9BC4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B451B-EF79-4E88-B022-026D004BD5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EB048-4FF5-4AD8-B1AC-CFD61B74945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554719-68F1-433F-818E-C26E494EFF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F50D1-3567-40B4-B71A-91A636CEF9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1D4A8-F338-4338-804F-336476AB9CD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9ED94-10D2-4566-814E-09C9523AB9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F29AF0-F81C-4680-8B5C-36449D0E2E5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8034D-C948-460B-9293-FBC4A0936A5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DFC7F-83CD-45B2-8477-65F57A10A4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3C0F8-4285-4F33-B8B1-47B7973493D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1AC5F-9B63-47CF-B273-AAF087E506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D6F66-5067-4E45-A3FD-00FEA8EF2D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C6E6C7-69CD-4F15-A151-BCB6D2C6CF5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0F364C-5B25-42AE-8C8F-9CB21B11C3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A51DC-0F3D-462B-BA05-9D6C5525A11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93065-DA05-4CA8-8CC8-07E33A59AB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B9087-DD54-4800-BECA-ADC055DEE6D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DD8B4-46DC-49BB-89BA-1741CB9ADF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CAB77-E499-4D74-8345-64741DBBD6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6428D-84CB-41C9-AF8A-C30A200620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069EA0-D140-4548-93BB-FE169FB55E2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AC30A-CEDF-47F8-B2CE-902C98A1E77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EF314-2D48-425E-A1E2-DA038A10FA2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9C2168-CF5D-49CE-B628-F4C28674D9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2EE4E-4113-4636-B87E-B72FA9E446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609AA-1CAB-40AC-B29F-1BCC4EB315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D431C-E6E2-463A-B7C6-82CFB81037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18938D-D278-4F81-90D7-B7216D5A8D5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7F215-2319-457B-923D-BA818B380E2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78524-E9EA-41B6-B4A3-3180DB4B04E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0E8BD5-AF57-4C00-B402-2871E4B363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D11C7-4055-4536-9723-CE99CEC7301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FBB014-16BA-42BD-AC47-1EFAD4D665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901BC-9A78-43EC-89A5-1D62DA7980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1B16A4-F82E-4AC3-B767-D890FF2A4C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42623-8915-4205-95D6-7C23A2D6810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F932B-A6DC-49D1-86B6-0A543AE27B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FC409-B815-4146-92DB-184A54BE550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60C6C-AC25-4D96-94A2-E59EEF1103B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05D99-67E1-41D6-BC78-76AA73AAA68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6EF81-7AAA-471D-B057-57BC62FAA2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E46B5-9293-48BD-916A-58CBD5F018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E386B3-3789-4C28-9510-2D184E10D1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B0A9C-057B-47A5-BD19-5777371B578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19E4D-CAEB-419C-B238-1C083D9AB6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6F8D9-1ABB-4972-98D6-7E05A3B6FB2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3FF29-8A2F-4819-9A48-6EC5291468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FE282-C05E-4F6F-BB6F-BC4B1D9724D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887A2-6C91-4969-80C8-23217676493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52AEB-90CD-49A9-AA23-41BD77CD9B2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A9E193-1F3F-4BCA-BDE3-15E76EC538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54E76-C68F-41E1-815E-1CCDC18F65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40F08-70F7-4956-B05B-1C2D2DAA3D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A15CFE-9458-4BE7-92A8-42F0B4CE6C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F33D1-6DDD-44C5-AA33-53BD02F1DC3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E8CD47-3086-44D2-AA65-764455356FB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BBCA3-810D-4A18-86C1-066815148DE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4E779-BEC7-4E6D-BC24-0AED898E15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14A11-7F5D-4518-9D6D-BC0B81C94ED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86101-FF32-45BB-A70D-917C0445573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A49310-7A71-4EA0-AE63-72B4902D99C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8FB94F-8E34-42A0-9B67-24317EBFB09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F7509-6CAF-46C3-8B43-A27009E278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5DCDC-2F22-422F-BBEF-1FC7BB0556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B479E-3ED1-4510-8683-B898929613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0234ED-8FF0-4EE9-B4B8-9C88FC61AA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919C3-C0EA-41CB-B383-92B55E3F300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E0D8C-21D8-4A3A-BEB8-59B29AD86C1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540AA-A848-41D7-A849-C23BFFEF46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E9CBB-630C-42D6-A8F8-9C5ACB8D9A1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077D0-A7BD-4751-AE95-4E31D5AFDF5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4D80F-A2E2-463C-9874-5B57D695E9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9BBC96-EF87-4968-B5E0-60A14E4692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DB16E-3F9A-4E9E-B2D7-66896302B0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99C0E-AE46-4935-8C2E-82220760D0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CD3E8-52F9-4103-B692-2EB5D9C81D9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5C699-7993-42F1-AEFE-84DD0687595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5D7F83-D346-4EAA-9FB6-CB67CB1BC53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160A88-5022-42FA-9A36-906DC09B05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A52EA7-5EB8-417A-803C-664F9812D6F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AF291-E55F-46F4-8BC2-225A8EF29C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5E562-3480-46B8-AA5A-4B748D9917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B6643-C04A-4124-A699-5348C8C541A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D32EF-BF79-476F-ACCA-EC2DD285789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76790-1D4C-4115-B083-15073C1CAD0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CFA83-BDE2-4972-B0A3-06097318D18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1BF538-5B3F-4F2F-BCCA-A2DE682BA1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AA4CB-264E-4901-A80E-FDA08A30EB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AFFFF-C727-416B-9D3E-1B3531CDDB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49423-A1A2-40DF-B897-17FB80D21E0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B4FDE-1EDF-4F79-949F-CA0BDF4AC01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3872E-BFC9-46BF-A3C2-40C5A8A63C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7F7F4-4582-41AE-A3C8-25882B4DC6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BC85B-2664-45FE-A263-FAB8BE2DC8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03942-190E-4886-9F68-1DBB3A6F0D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F6852-51C5-4D93-B987-9A3CC4CA033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9CEB4-9761-43BA-9C36-43678B943BC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2D345-05B9-4ED3-B66D-DF7544D286D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7E2A3-B751-4EAE-976D-61EDF8A0A51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43C96-81CE-46FE-8A1F-79D7CE237F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F61F7-1CF9-4A85-A322-B6E117B456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E4B646-D3A6-4BE5-893E-FBC2920123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F62A8-35C0-4AE9-95E9-CD13219784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47A891-533E-481A-85F1-DBF5821C95A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AFF2E-B6D0-4FAD-9A1D-758C006AF73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E9DB8-253D-4887-8550-32A6E95C5BD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040F7-0BA5-4B99-A316-1F03DCED1B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9A508-D050-4F1C-BB13-CAB8BD1E2C6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B5868B-F000-4ABE-8B17-8B48A21072F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EDD27-38F8-4843-B6D2-0543E3ACB9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4734FD-06DD-4A05-A13A-EFB242E692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029DC-58F6-4E92-8589-C5D34B57745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6BF1F-7B28-427C-98AC-6B888C6B9B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BA662-F83D-48B7-A03A-9C6C22FE60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2350A0-2F9E-4F6D-BF18-877CC1955B7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58BF1-5DDC-40B1-94C6-1389B650A2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316BD-EB39-4DBC-9170-1FED27135E4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80F2B-510F-4998-83D1-6E8FFEEBEE8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E4F57F-9034-479B-90E1-8A92E91E5B9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235A7-50CC-4E27-8CB9-8BF59883F8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8686B-5352-4780-84DB-050FD5031C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0664D7-101F-4477-8204-F0F2DD6033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2677F-FE48-45E4-BA51-83146915DC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9F630D-C00E-483C-B493-FFC7B024F57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C7849-0046-44BE-ADD7-B1E6C8589A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A3181-9EF1-406B-BED6-BCBA79C183B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873AD-45F6-4E94-86B1-1D373EA3BF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7D4400-8FAB-409E-B842-9D57272916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DCD6D-034D-4E0C-8338-D59678DF0D9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9FA65-CCC7-4508-B7B7-FC5915ADCC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905321-AAAB-4501-8B4F-3E021EF2E6B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172BD-4C4B-4850-9BC5-F6FBEB71F2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4EBD4-ADCF-435F-A673-58C7F6C59A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0DF7B-1D98-4ADC-BC7F-7ABC438A1B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180A9-27BD-4348-B27B-C0880601036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88CE0-DF09-4C8F-8AB3-DFD12D2CD6C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0F4D3-56D5-4FBE-8F2F-3098D755D2A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F4E08-66AE-463D-ADF5-C63F0F56A0E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43F11-3749-49A5-AE17-9297D39953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364EF-5729-4CDD-9646-DB745E94B9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D8571B-BD4A-46D9-B68A-A857CCB86B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B3A8F-505C-4686-8A9C-92872732600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EFFDA-A204-4D3C-9713-B300697F98D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E0E10-4382-4DAC-BDB5-33D493BF15D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476A0-5788-429C-B490-6586E49BA1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54910-B6DF-42DC-BFD3-14062D481F7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1AE042-B0E9-4C2B-9C3C-EC077841BE7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B98DB-4027-4484-98EF-44DE9B2B340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E8B11-7A6A-4884-A709-18C42992F0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85605-0FF8-424F-B5A0-3640E19AC48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CB499-4095-4BD3-9CC3-E9E2280B239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3E173-591E-44DB-ACC6-491B89C30E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BC712-1ADC-4293-B0D6-4FF6EA13C1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66C73-D4E2-439B-951E-04348FEC5F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70B26-DB50-451F-B296-F43348F1C6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87626A-0CDA-45D9-BECD-853902E3A1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E7D3E8-09A5-414A-B71A-2086C79D17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816DC-65B0-41FA-BFF4-9558DD1453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7A998-0643-4CB5-972E-5C6D7ABB66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D2535-F2AB-42F3-A7D1-1BF9696B67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33F94-C4BE-4D2D-8C7D-5A76D73353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E4DED-3FD4-4663-BE77-CD7707F7955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6E41A-1832-499C-932C-2679470124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758A4-042B-4BCE-85DE-7E152B4A7E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C1C10-6109-4D0E-B89C-C1249DD644A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98025-FFCE-4C47-A2CC-93263F9AF34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EDA588-7A43-408D-86AB-85C1AE41C76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5B10D2-BEFC-4514-A858-93157DC7B2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BD48F-C34C-46C1-89CA-BF6B3B0C784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FADB3-B16A-4C7B-8C76-4C62F1629BF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3F54B-2A6C-4E37-8290-BC1C160233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5C70E2-AE76-429B-9429-9FB645F6D6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F1796-F33E-43F3-BFAD-696152BCA3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C3503F-30B2-4B1E-AE05-A56893F7BF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A2A0D-A329-4DC1-AAFE-F7C4F496D07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E12C4-C576-467B-B6E5-F4E4754C8B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D6934F-1DCA-4AC5-A8CE-0D8F6E836CC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026FF-9B1F-4FEF-8E87-9905F69CD3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8765A-6BA2-4990-94F0-C493798818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B9CA6-52C4-416D-8563-872C774609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1ABCCA-513E-4B04-83B1-9CBBA830C5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24DAF5-B582-4034-8EE1-93E6D0FB9E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DF116-5931-4B6B-9E67-04F7A7375D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88AAEC-17DE-467F-BB20-52CA0BA6250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6F9A3-931E-4F2E-86BB-D0E7E5DAC8C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4698E7-F23E-45A7-A4DC-FCE744E4BF0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095B9B-FDE8-488A-B3EC-0D1B8A7577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03112-AFA2-4A4B-87CD-4630724588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0A37C-1CDA-4371-901B-CEC0B72F09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B575A-4D92-4382-AF23-40FE7F0F02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5101F-82EF-4225-9CA2-0C60FC9997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FBD3E6-1952-4511-9E3B-CD97F19E35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F40E72-D58A-4471-B6AB-5372107E205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EAD9C-7FF6-463F-9B45-922137F955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21C59-5F05-44E3-BBFC-9B0E12CFAC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8C01A-81EB-4138-A306-5E548082959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528422-68CA-4CAA-8943-E255AC65ACD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699BE-4F34-442E-862A-7F11750B87B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0CB9A-07B9-41F8-8766-8B8A21FDD1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5C895-0014-4FB7-AC6F-3A81D09497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05E35-C926-4837-9962-5959FA3EDD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53EB2D-B6E0-47D0-BE12-2CDAC86546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A4B122-17B1-4F5B-8EF5-AB053F5620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0443D-7537-4EDE-8A53-026F6449C2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CC912-DD85-43AD-8AE0-DD6FC4DA425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C9819-2D59-41B8-9108-C7A87A7C7EB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9B043-F717-4CD2-AD8F-E6C6023639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878196-AA8C-470D-BA8B-F071A58942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9B758-8608-4896-89EB-B512C26F94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30052-8FF4-42B3-A44A-A117BEEC96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1912D-DF35-48F1-931D-E084A3FF68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042EA9-F63E-475F-8992-19069585EA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4F050-B519-4493-94B6-8B17D5A349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D366A-FB9F-4C82-9988-9B67EC034BE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818C1-2E8B-4F04-856C-BB0342B80A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F0BD0-6B5E-46E0-8198-C618D0F21B5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5729AC-D06C-4717-A896-38D6C2DFF9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B6BFF-8877-4BAB-A2F7-BBFD99988D2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CF3EE-22D2-4EC9-9266-6F4EFBA1F52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71519-608A-4587-95EC-CBCE0E87B51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2F291-1473-48C7-97F8-653A52653F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6E0B1-5697-400E-83D5-97D76ECF9E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F1588-B8DC-44D3-ADB3-2C6B85911F8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FFF69-E969-44B5-AE0F-2988060A1DF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393CBC-3B2C-4426-A55D-D718C493A1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1F815-8694-467B-A443-3263B91BB0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20AB5-3FC5-44B0-AA38-6F41C561295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99E2C-794C-4D9D-B7A6-C0DD18934A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4FA48-50A2-4F68-B0E8-1131E8657C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1B9D34-1AA8-4C95-A631-D0A042D291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25C8BB-57D7-4308-9331-ADFF82A653C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8DE21-F86C-48BA-A404-981B453175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C1C0B-CD50-428E-9915-89FCB93CE1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A4431-125E-4973-9859-C10EFF54C2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7D0504-DB40-4255-8488-0FD525A355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6EAF57-5F48-471B-80B8-A88BE8AC043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DA98A8-F079-4B0C-9E89-D8758CF824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E3838-4D64-4AB9-92AE-386AB0E4A22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1A112-8D8C-449A-9619-E7C33D2B5D8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DED49C-4548-4CE5-B1DA-1C2FFD008BF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54A47-A23A-4E51-89E1-053178D2AB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E066E-6058-4E10-B077-33816EF7CC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1EA0D9-FF12-4CFF-8EB6-718B3D766C8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A875F5-12AF-4DB0-BB5D-D207740D14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88959D-0754-40C1-A133-B9F01880537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3A974-CF43-40AC-8485-8E1A35A55C3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73678-72BE-4582-BA03-42A062CB84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BFBC0-0457-4FC7-9FC6-03389CEE7D3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259F7E-DD62-4387-B983-AD6D2F2446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32E48-80BD-44DA-B153-7099B30C768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74AFE-9C5B-44D8-8076-1209EEE10A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1B1238-7E8C-4105-992E-AC170588F9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93979B-D6B9-44BB-9869-E34FD43E96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C3EF1-6B4D-411B-947C-B972960B395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E712F-967B-450D-8B4B-ECD1C2787BB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919AF-DE3C-4111-AE87-916AC888B0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093AA-3E0A-4959-AB77-16EFAFED8D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482C2-7AE7-4CF1-9B44-2CD5B2B054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72576-6332-4664-97B2-FA39F9C0A1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1B1D77-76E5-4761-B231-F34EA72FB63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338631-CA41-4B0B-9260-B330C6B5041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0F9B72-FBBD-402C-AAB2-93B01D1699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C2986-E5CA-4C02-8874-79EBC1E270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804A1-F116-4196-A504-6AA2604F0F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61B19-F85D-47F4-9828-2230F2CD6E0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CEB7E-1300-4797-9B29-AE6C6E1B360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F842F3-732E-4D94-9B5B-32D9262588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0E4A0-0395-45A4-BCFA-B9665D62CEB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458D2-6545-4920-A634-52CBE5A148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55CDA-8F13-45F2-8C0D-1C51D21120B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4EFBE-707F-4E13-9742-AEB04199A8E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04EDE-9D41-4162-A3F7-132A896B9F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AC0BA9-1EF5-4362-B124-91874D1FB0F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3868A3-9118-491B-8352-87F6720768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6DD27-1413-4485-B465-A6C24E3F92D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F61321-F0FE-447B-BC2A-4B3EB8FCFF1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87EE7-994E-4BB6-BB84-9544BC9AF92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CB39A-B0FF-49F1-89FF-954C0C8606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C3D783-5FE9-426D-A8D1-2C9FBF84C7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61B732-FA64-4E53-A95B-9AA94CB9DFD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D942BC-DAAE-4B7D-AFAA-B34DBFF105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29BC6-E3B2-40A1-9D7B-CF3FBE0B49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16873-AB95-430F-93A9-2EB8A06366E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D96A4-2154-4764-9D9E-3F2B9E56EB6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136645-FD48-4E8E-99E6-537DD584472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A615A-49F3-41A5-8784-2DBA3D8AF2F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3336A-3498-4D46-BF7C-ECBB4608D4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1E460-F77D-4562-9ACF-C6C3B42A3AD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A2BA5B-EB83-4184-B886-F659D0FFE0F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2DBBBA-FB79-4B3E-B78D-DA3380781D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92403-36ED-402E-9EEE-D4B976BAA1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FC7D1-5546-484A-A77C-88F74D6128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F453A-648A-4503-B7E8-EBC527E2C8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0AC3AD-1778-4420-9450-5914FB409E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592EA1-9EC1-4109-8BFD-6449BFA1CE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8E670-E963-4FC1-B576-8D83E51E11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5018E-27D7-42E9-B5E7-85BACAD3E5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7892E-C91D-416B-AB8A-803558B0DD6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A29B2F-FCB9-43B4-8261-98A889A2E6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53840-2068-4653-B693-E96741D3385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90F2D0-D604-4995-81D7-73A7D3F1C9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AF874-4972-4E1D-AFA8-F297B205ACE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2D755-E355-4277-BC4D-CE6DEDCB67A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1483BC-B85A-49BC-AE70-C0DB62AFC6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05880-FD13-4001-9759-12615B9E143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11E4B-6D1B-4D7A-8A81-A7D4E810386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F12E7-1F40-428B-90AA-28E8270915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C4CD83-AEB1-48EC-854F-00F5C2B0A6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6E1958-9B29-47A9-8585-274CFCF7CF4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73390-F87E-446D-940D-103C618FB4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BBB572-67F3-4972-A0AD-FFCA059875D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D87D6-B02F-433D-8B04-E3221C2977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489E8-FE59-456F-B5CA-70BDECAE9B5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4FB72-A2C7-4D35-8E88-C73197A2491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7A9B3-0DAD-4F6B-8404-FEA1C4581C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0340C-80EF-4F85-A9BC-F9EEFA53B8F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60ADAC-37F5-4538-A8BD-D45B652208C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BCFBD-828A-4A66-A8EF-95121D3C6F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48021-7444-4079-B9DA-607E5BF9149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E1C54-A5A9-42E8-B99F-113B0D0DC4C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5725A-2E22-46C7-968F-208206705C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49E6E-3476-4E88-9063-25EA447161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4FFCD-CAA3-4710-9F1F-88BA49E7F9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BC2F62-680A-4071-BECA-A9D7D5FFAE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80C20-414D-4D2C-8532-C7D8D87A88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52F7D-D59D-4268-B878-548B70F701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E4BB2-4D23-4318-8B2E-390DF515BD0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2141C-88A1-45D2-999E-C8BE8A54725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BB1CF4-9E22-4B05-B90F-C8CCE15DBB2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0D3D8-C4C0-42FB-B486-E6D26B66488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22079-96E5-4746-B69C-149AA24CAC3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406114-1CE4-482C-AE32-78FB2E078B8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43C3C-3A41-46F3-9AE2-32C556C1BB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15D8B8-F886-4F60-AEC1-E3E9AEAF89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AF10A-7E0F-4C0F-89E5-9A17863B69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C713D-DFBB-4DEB-AFAA-F7367D28FBB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216D1-5680-4C89-85C9-6A8217B43F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13FE6-4431-4E0F-A878-8F5633129D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F28ED8-C1D3-42C3-BE07-8C36987F9DE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C257A-3822-405A-803E-3852FD0DD5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A12C9-AA17-4AA8-9A5D-4FBE51D40CD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DA6CE6-26B8-4FA2-8032-82EFB0CFC7D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3BFCFE-D4DF-4918-A687-E18E563CC5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0B212A-1228-4DFE-9D06-DE039684A2C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9248D-E404-4EB0-B081-B362A20D35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5508E-2EE4-4CDC-AFEF-68F26DAD67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917AB-8D82-4D57-8FD7-16813485BD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46E49B-8ED6-473B-B17D-465BF6377D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A16BD-31D6-4972-8792-6D47B57110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680AB-8C20-46D0-8EE5-452D5CAD59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CDF5A-0DE0-48F2-A409-C145E66D8A2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A9712-497B-4767-88F0-36BAF7B2F7F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8CE64-4D91-445B-B84C-8E3C138BA81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EE2472-3AF8-4FD5-9115-73B1AD1651E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6AD63-E4C8-44B2-884D-E5A03E3FAD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6196A-3C2E-4531-B53D-C37566D8904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CC2DA-976F-4A5B-81CF-6C418739CE2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5D9AF9-3A01-4FD1-9668-981345FA79D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234FAF-0963-46B9-A8CE-19265798D2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F93D2-4535-4980-8009-D96A58E6DA0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9F915-DF55-41F8-B0F7-E6B7AD84FC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DE870-738A-4874-8FBB-4F9D216D096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D51D0-2735-4F69-9A1C-0E0405AFD3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F1F925-5683-42FB-98FC-E87ABE59838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2AE10-C64A-4CB8-99B4-C88407228F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DF1C6-1D7F-45FF-9FDD-449C10DC4F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30040-A160-4AC9-8502-AB7E52F1BE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988F58-350C-4B10-AEF3-ED19FA9CF02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E0960-1DF3-4127-ADB3-A76C9CF5DC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788CC-815C-4043-8A19-4D005E9462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1CAAE-00AD-4120-900D-CEF8E4D456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835ED-924B-4970-AA18-B4F5909685D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4E27A-AEBF-4866-90DA-7A37168C9DB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864AF1-7FBA-498F-91D4-5AE6E439002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17115-B91D-4792-84A5-10F3ABC161A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5CE52-E185-4375-9AFA-779F76343D5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D25735-FE53-49E7-8CAA-AC2E783930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309DEF-B739-47C8-8E5F-53836F5C57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E25A8-6C63-43A3-BC8E-A63B476D4D8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10C51-097E-4966-AB33-50AB3E7C27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68F65B-A737-4E8C-934A-80B32686ED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F4B8A1-6B5C-4233-AED4-2964861418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84CF7-52F1-4E78-8530-DA7F68550B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98F13-A27C-4A20-BA31-BD3F4B5D6D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21891-5703-42F2-A7AB-5243F90A9C8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3B12E-BE3B-47A8-9BF4-1211D056CD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A91CF-9F0E-42A6-AEF9-5D92D8D918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6116C7-A927-4B12-B06B-CF227CE0DB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9163C-ECA6-453C-9F00-BD286CB48D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18D93-4122-4367-BC98-846E3D8A03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D679B-5A12-4367-89E2-7BD520E2FD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BCF17-E35D-4078-AF51-308CC8AEA28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78CD1-A398-44FE-A147-66B06F61C3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BABD2-F5AB-479C-B7A9-A8B861120E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B4BFB-6566-4A09-91D0-E0972F3F0B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42138F-F438-4866-8B87-173178ACD79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3E9A8-3E3E-405A-9079-9632D54D17A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54CDB-7D24-4495-A59A-780DCCEF044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587D05-D827-41C1-B471-1062E02F70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42FDEC-6184-4B50-BA79-885C94EB531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3113B-E9AB-46E3-9EA1-9A130E1354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71D000-5E1D-4B76-B092-5FBE26C52E4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85225-5801-4E74-A1F7-9FEB3B9E7A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0476AB-2CBC-430B-BC17-CDB8F325524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7BA05-7AAD-4261-AF45-367BB84C053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BAD6FB-618F-4749-A258-0CF75F09A2B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85EC01-88BE-4098-A5E9-12358B45331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5D842-B5F5-4E8E-8FBF-392E1B8E82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D61AF7-F74E-42EA-AA2D-9F1955F00ED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BC414-BE83-44D8-92E0-CAEB44EFF1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18933-C850-4334-A119-89BDD60CCFA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C51939-9848-4693-985F-99AB46C3C13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48E73-DD05-4589-8EA2-B3285A7FB0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1D9C2-D096-4FB7-A494-7F8199C778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A55993-CD6E-4633-9243-915BFA7C46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50333-7DD1-4107-B9CB-576ECBD3EE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D2140-8099-4681-A6F4-A6F73E16FF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1EE63-328F-4E77-B077-8AFB12F9C15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CFDFC-C5D9-466B-85ED-D7C3ED3C615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9CB30-99E7-4726-9A7C-6CD30AC6E4F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72919-63DD-4432-BE4C-370F11F021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EFC6E-322C-401E-B668-FE5BE12C79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D722F-1D65-4F08-96BF-7A2396A9D3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654FB9-5912-4234-A9A9-3533D618B21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2B4CD-162B-4F07-B141-5D4CDA5549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47FF7-2438-4948-9005-ADDE07C8A71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9FA32-4DE5-4642-AA59-AFC5B09127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D2060-2833-4B95-AB1D-53D71D5723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3F02E5-3686-4872-8041-FC4FB0CD61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F6C22-7E9F-4CF9-8017-B6B3EFFB16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140F0-5C27-4688-B088-96C05FA6AD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569FB-AF38-4FD3-BDF5-CE42DF906F3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5BB7B-41F9-4DCA-944A-B3D2EE0D98B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8196AB-91C0-4798-83F6-9FBA47A3525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0DD0C7-121F-45EB-9961-6C8C0E8087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3DF9A-14EC-4F21-B925-D524DA89BCE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4330A-9DE3-4C7C-9AB2-D60DBBB6C8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4F1D3-5833-4539-9C7A-CBDCFEA083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AC0C8-0086-4369-BB17-E09A82A8DAC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63520-A96E-47DD-9F3E-2A9AC36F762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37793B-C825-4002-9127-C8EFB10F0F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45ACF-7758-4360-BD7D-18833B60FEE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32E08F-3636-4FD7-830D-2ED7EAE832D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CAC18-2D6F-4D3A-B216-993D0DF8472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8B00E-284D-4EDB-A6EA-45F518B4F41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543F8-C3AC-4D75-BDD4-C30B8DBBA7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96AD58-843B-422D-8A34-A7792CD70FF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6DB40-39B9-4C8E-B26B-E314540085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8927D-FCEB-4D2F-85E9-82A035279D9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8A55B-DCC0-44E9-8F2A-90220B4BAD5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B3C21-797A-4687-BD8E-2BC7428EF9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08E41-FE14-4C70-BA0B-97C1A712B4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4A090D-AD72-4CAB-B10A-D7E7DEDD7E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01746-561C-473C-81FE-906B0D6E60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E5054-B5A4-43F2-ADA9-DBA59076A84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33B57-DC42-48E8-836A-B477D6D31B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1E298-CC4E-488C-BB4C-84FB40728B4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13E263-A833-4B09-9783-A927FFD3D20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491FB-068F-44D6-8B0F-8EC37D068C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0CA20-BC4D-4DBA-95EC-1D5CFA45E4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E8CD5E-B363-4765-A5AB-D29C5F9B34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56EA0-2BD6-4D92-A0CC-32CE423F6D8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25E484-44F8-4B2E-A6EC-1B7EBDE213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D6287-984D-417A-AE88-49A3707CBB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9F206-3B1B-4691-A3E2-99888F50E2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3B503-255B-4ECB-80F7-F27F8D2079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9DD42-1057-4086-B600-9034ECFBD1F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6A275-2926-4D37-BA59-0CB8026612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69B64-ED40-4D59-B883-BF52583B0A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85051-0E4B-4099-A26F-180D825ADA9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276F4-1F4D-4BC0-AE6B-A6B7A4379D8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D2577-3771-42F4-88ED-3F281FECFA7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49370-40D2-49B3-8C2C-6D41FAF5DA2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31BC7-E761-475F-B106-5E7F3F71D9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771283-F791-48C2-B3B5-44D8F4F8884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89140-099D-4A07-9C50-2FE391EBAD9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857CDF-42C1-4E99-9BAC-0BF986C03E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A260A6-1140-48A3-8AF2-6091D34594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A787C-7A30-4844-A6EF-7D9B3E03E1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EE5CB4-2988-4A9F-8EF9-979C9B86ED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6AABC-B1B5-4CD4-B376-8156F6BFF1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27A553-E5A9-4BF5-8AB5-D6DC5AF019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3CB3E-955D-4219-A81B-E4B152A93B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FCDEC7-5BE1-4992-9117-8DBF9EC498C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78AF0-7B90-4C05-948C-803E1345BB3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7AC1D3-36C7-4089-B972-FF9EAFD20B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44A3A-5E30-4374-BB4C-3B1EB9A9C05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BEDE6-8500-4E9D-845A-1BBC524EA0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BA6F5-199E-409D-A871-CAE0126E88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C1B36A-3EC6-4609-9555-23FEDCEF263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32FFD-F34A-4F71-925F-BC16D919C48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0DA63-8FCB-4ED7-B06F-87878A84CC7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C82B0E-7BE2-48DD-88CD-FDAA0B5E46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35F64-6F47-4093-955E-8620EB09F5E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D3FF5-EAC1-412E-8A5F-1BB583EE8D9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F598D-8EF8-46F5-8D62-D705D32E19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74D3CF-A083-4810-91AE-1180CA5C7B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FE1F39-168F-4889-BFC9-68C0630D6A9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BB747-C0ED-4A9F-89CE-2FC75D2CE2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B21F26-B322-42A4-A230-56A0E382487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EF0B8F-26CE-499B-A792-264521974A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85907-F833-46F2-8E48-D85E19F4522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37181-7117-4C92-8303-6DFFB66930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FF626-ED43-4C3E-A0C5-6F1E363114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6ECFC-8FD6-4F20-A847-F579CB450FE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BCA82-7C9E-418E-813F-82FAD94105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3560CA-53B4-4726-9286-4F0885654E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27BC3D-7380-43EA-9D95-186008E1F25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F5AAA-F528-459A-87EC-4407185946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211B67-DB18-4B82-A18B-4A6D6E26577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28922-8E0C-473C-BFEA-E5188FA9949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871C3-6769-4D9D-8D9E-B8188F9BA3E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125F6-9E35-4157-B461-2DAE9B192B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3CAEA-9EAB-47EB-88C6-2FD9EC94CD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A40CA-423A-44E9-82B3-B700BE98AB3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B96FE-CCB0-4088-932A-D674031B12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962BE-D235-4728-B483-940D0A67E7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91E1B-45B7-4EB5-91DE-482203A308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D35C9-D9D6-410E-8E9C-A2404A00EF0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3D270A-25CF-4A45-B9F3-63ED13E6B67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200AE9-159F-46B3-9DC1-0EF2C1A9F2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612C7-3CD3-405F-8C91-AC4E1FB564A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15D24C-254B-4751-B474-446D64DECD9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A66ED4-6712-4619-9F15-81BE5C1242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87F64-24C4-4E13-A09C-CD7EDDACBE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35977-F659-47BE-9449-CEBAB186AA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6C3A5-E166-4B73-A692-8C9EE02783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B065C0-D801-479A-81F5-A9272F3627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3AA5A-6F2E-44CD-B0EE-023169EFC4A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6E5702-065C-48A5-90D5-9BCF865306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B67D7-7AF6-420C-B64A-E9C73D9CE3E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4CF2B8-CC60-421D-91EF-BE4CEDF455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8B514A-45A6-42EE-8FCF-871B8336A3E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8D33C-C84F-4161-A636-A3C73F1BD5A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EB1B84-AA42-43DC-BD72-EBD5188BAB2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B4C25-B2F6-4F97-9E09-635F82D3ED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EBE43-D3EA-4733-98A4-86C15CBCB1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48E550-C8B4-40B0-9896-F425AC0947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DA80D-6530-4AC1-B61B-001F7657DC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69B60-5CA9-4222-AB21-51148CB33F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59AFF-FAE5-4272-B2BD-EB0A3D9100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E3C6C-457B-4356-85EB-E887856185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1DF29-CF61-4BBC-B595-27B5FD2874C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54AC4F-1D6C-487D-9169-8D33902731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1837F-23A8-43DC-84D0-8D0DE0E4D6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7A978-C362-4E2B-ACEB-4809EA14EA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92354-7E0F-4043-9A78-4FF24962632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56BFF-11A0-46BD-A65C-8D015F49E61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DADA7-EBA7-4A6B-A6BF-BDA1A5A561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CDA33-9519-4687-B4C1-81F1EEB5FC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02F04-D003-47AD-862C-B4CA07FBBE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29FC9-851C-4CA1-AB3D-823A0616D90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574CAF-2185-49C0-9965-2EBE6314A7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79EAFD-F86E-408C-B084-8E75335D869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DD6AC-7BBE-4D5D-A7F6-6C16273EBC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CE2B2F-C0BF-47D4-8EBB-C4C6CB4267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05C8C3-78CE-4B82-BD46-04065B6597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60F22-AD37-4DE0-8874-A2CE08B5DAD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676871-95AF-4DF7-A1E2-C9F6C3B0E09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EC09E4-5187-4ABF-AAC9-C08E704A0E3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25838-3A9D-41B2-952C-92B721932F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D7900-FF55-406E-A783-7F57D1CD750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DE994-5242-46CC-8361-2860DF5D535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52165-90A5-483D-AB00-2D119EA658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CDD82-2651-443F-B6F9-DFE4F4B600C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97475-9A48-4EBB-A9F2-474D82B7F3B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AA2C19-7D66-4404-B368-A02114119B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69B6D-9AEA-49D5-B6DC-BA6D0FD3840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8CF8C8-5394-4FCD-93CF-C352CDA67E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0F65DD-5E6C-4EDB-AFD1-40B3AB8056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E6FED-6B69-42B8-8E08-7959170981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8B1F2-5CD5-4A80-9DAB-B601354648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EB4DD-5C08-426D-9799-4581EB395A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1AC99-4B80-459D-8133-41C429CC4D0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679699-FB21-47F4-BC67-420223DE9E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96D2E-033A-4AC2-BCFF-EE24B998C8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0990CD-3763-47EE-9366-5B3F054E021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636EC-1E6B-4C6E-B108-C0836874B05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1CE84-FA43-4E95-A573-C306A19EF91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1B18E-8D1F-4F69-B536-C5C338E93B8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987EC1-6EC1-4289-B74C-5B52C5D459F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9EA58-5C7F-42EF-B1C4-BD373B84746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F8906-866B-4CF6-B3D0-3CA1C5A2BAB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E9DCA-0758-4544-A8AA-9168E70B29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E049D-F141-45D1-8833-95BAF8CC0C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6367CF-3CDA-4489-AE19-0383946191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08F59-3386-431B-9C12-C781136C9B4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6B25C-8E11-4309-B1B1-93E34249B56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8CADA-7EC3-4909-A2FC-B5597FCC650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C892D-BB97-4B15-8C81-7DCD909B0C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A995E-C753-4419-A169-314920B6F4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DB9D2D-0DF9-4AE8-B7C8-ED6942470D6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5A1A2-87B7-438D-BB94-70936D078CB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20DFF4-7750-4B69-BD61-9A357F5BEB5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812073-CF3D-4413-80E1-590BE31DE4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243D2-55D7-4C28-A7C3-6E54A7CCED1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CEEFAC-DDBD-4CA2-8F4F-894BAADB09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42B742-AA53-4365-B39E-9F4BF20FC59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FAA2E2-D487-4DD4-9907-FBF50F37779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C15DF-FA36-4FD1-98E6-6B2B9574550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DF0BF-33FF-4D46-8D4F-E391D1C68B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DD31E1-B750-4774-A4EA-E9454BC44A7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493FC-4CF8-41AB-A298-806440DE3E2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68A630-1151-4B8E-833D-C0B022126E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05871-B0D2-4B8A-91A3-1A4B95B1763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D23BCA-7176-478C-8E0E-06DCE35A2C0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6AF66-C132-434E-AF21-5E6C28F01D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A17EAE-2539-49FD-9B40-7A65BEF4C0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76019-2719-4D7D-A60F-A43DD37854D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C2D6F-5B59-4219-BFAC-C4785FC79D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FE24E-C28E-4CC5-93EB-975847DC24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7E600-5261-4CB2-85CB-6801885E45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5FC04-A7F1-49C1-B8F9-0AB12219CD0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E9FB8-DEC5-48CE-8916-4E82CD46E7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4B6D5-8F49-42EF-B42F-97414A54D1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4B355-9198-4881-84B0-CBBCD37817F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A56763-4676-464F-BD55-966E562754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CFE3B-DCCD-42E5-A325-BF07293FC1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0494B-B473-491B-ACBD-E6E6754BA97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5F5D6-4347-4C6D-B791-F197F23017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2CA64-EF26-4722-9B97-892DDB4942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C141B-481A-412A-9F58-8ECB840D50B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BC755-C5D8-4AC8-99A1-153D00B8642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85AAC1-8421-429E-B222-6446F75739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6D04D-C692-474A-9F01-F07129ED44E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C35B6-9198-4235-A8CA-7DFDE07623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B202FB-FB97-4B76-848A-293727E2CF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88297-87DB-48F6-AA2F-0E5E9695C2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EA8EE-4C57-4B9C-BC97-E98DE109286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BA43B9-665F-4D4E-BCAD-E698739A67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33E69E-77A3-4230-90A8-9DD6397C78D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B1FE3-E3F4-456F-AE50-ABA625DEBC7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0D344-FC92-42D9-A203-F88784A2AA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69383-889D-4C40-94C8-CC05DD7390A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D7CD8-89CE-4A0A-B3E0-EEEE25F1F3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A986E-25E2-45E8-BE2C-EDA09B8C60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D050D-B706-4925-A20F-1FD83179FF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3A5D5-369D-4643-8D3E-94534EB8DF6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52F299-6DDC-4FBF-BE4A-848EB3A60D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4C50E-78EC-440C-A4A8-519D2CA976F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5146AE-482E-4841-8D3A-B386965510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4DBEE-D120-4C21-B902-8C0940D8230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16561-3D38-4E1C-A67F-6AD085271A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DE12D-F925-413C-90F5-677FDBA265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FA255-CF6E-4FBE-8880-B3CCAD7366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F92D1-BC3E-485F-B444-7D3CB1CD5E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6C21E-6BE0-41A5-9A10-E338E1F70F7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9D7D99-70BC-4AEA-BA5D-790CF828B9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FBCDE-334A-4370-ABE4-FB5E2616A5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000059-FED3-40BD-AA6F-46478318D6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AA1F60-207B-42C1-8153-B9C1DD8BFE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176879-A9F7-4197-A84C-C79D6B84CC1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C5F13-D580-48FB-A28F-EA7C2F621E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E307B-E2A2-4149-9F43-4F0109D2113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9B944-F987-4A6A-9709-92F3576BE81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18EEAC-E695-4354-A6A5-A298C3AA77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5A279-2325-4515-BBC0-B42CB999339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DB9F0-33A0-44F2-814A-5FADC82E8E2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D4E8D-4180-49F3-8FCA-50B4705C0AA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04A9E6-BCAD-4525-9054-1B82680AE6C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1A75C3-9EBF-4A33-8757-341D118598F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36D43-EB85-4E34-9BCA-4F5640FCA14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67E93-CC8E-4E80-885E-CEB8174E8A5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591257-373A-4377-AE7F-D9EF9598B1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D4911-6040-4559-8B20-44789176A5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FF51D-5B3C-4DE7-873F-F45917C3FA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F1587-54A7-407D-AC74-8C449DED8E2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A3E87F-1F0D-4EF6-8AA6-8570DD24603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CA52F-6446-498F-8896-C4365095830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DCB97-EE26-4B54-BD97-41680A0B71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03C8BC-9168-49F1-ACB6-FAB86BD5E8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320F1-CF24-467D-B083-3310B9CEE98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C0A71-581F-4444-B21F-F7F4C789A1A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7DCD7-D83A-475A-A3EA-DAE6CF48B07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8344C-4FE7-4D78-B5A2-2D653FAE15F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B5DC8-5EDF-4067-9DCF-68694167E95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57E57-1790-42D6-9194-DFD0DE8DE6C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9C864-7754-4D16-BA02-4ABB8F7FD29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C1B5D-5041-4E9F-9839-42E811A41C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EE2992-3622-4627-A01E-D419336FEE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12B562-6489-4652-B19C-F9A8D61C1A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924DEF-BD19-476C-AC49-7C1FC582B8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9B9345-4A30-45DB-BFEB-28B548DC1C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5CA2A-8CA5-4519-9AB5-A3DABE1B43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3F4FDF-14BD-40F8-963A-E87300B56CA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61B89-F17A-428C-B588-D31558173A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97797-0385-454B-9462-C1EF89A78CF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D14CD1-9327-4A6A-B5F4-E4A5F4BFEB8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CB9957-0C2F-4126-AF10-56075288DB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1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F01ED-337D-4C01-844B-EFC3EFCA796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58E25-CCF1-4A35-A1E1-A63A25CADBE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74187-D859-4ACD-AC42-820091C8467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774F52-F872-40C1-BC86-9A674FDDF73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D160B-4B83-4071-AEDF-4612E8BD24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6127F-E847-44C0-A50B-B1249A6513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2AC47-0FC2-401B-BB4A-6F45A79DA8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EAC5AF-8F73-472A-B042-F33B184CB5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90110-D35F-4D75-9D4B-613C04C4495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EE38A-40D3-45A9-88CC-40D09B52E8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266C4-83BE-4643-9EE8-24FA57F4075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B21B6-7294-4074-A4DD-6C7DCB4C728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0F435-D01C-4933-BA93-6C786A87A29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1F43F-7F36-4BD7-A14B-CF029142C2F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39174-06B1-45D6-8152-D71C392FE0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3C7D33-945A-4894-BD93-6B81394886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7082B-1265-4B9E-86DB-3E80D3BF35F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284B5-5D60-491A-893A-D16D468AC08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77EA17-AB7C-4026-B8DA-FDB0A27A127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2D8EA-9D82-4223-9BB9-65790168A8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02D28-00AE-4F5E-96F7-8434F4328DD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67711-CCF3-4805-8372-5184C454F5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3569E-8609-4CE0-AA20-5D196D960CB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47FF86-5FEF-4AAA-8735-ADCB88C047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0264D-98E3-4929-A7AE-E7DDB2C92C3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5AC55-B147-440B-A449-7674EB7133E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FE974-364C-4387-850B-C5D96D297C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E2C5C-9C29-481D-86FD-35CDCA96B4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52DE8-8FC9-4C7A-9999-7506AB0EE4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9E6C8-E21F-4F54-B00F-CF43AE5021B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71E35-8BBC-4C3D-AE74-26129DFAD42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C0534-6DD7-4A72-8C27-1F70D8478E9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74DD4-2FC2-4A52-8E9B-7D2154269B2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D0B30-E17C-482B-AE1F-852BD7E80DB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5B3F1-CA9E-4C87-BA26-E4A522958C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60133-67BF-4D95-8B6A-8DBB915C4D8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2BC0AA-39AF-4108-B07B-0F4FE6257BF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D36314-C309-455B-80C4-66C61D54C83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07259-59CE-45A2-8FE8-995185AB20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4406C2-AF96-42AE-BAE0-B1B46AA17F9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AE9C1-D235-402E-A02A-7AA860A249D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74787-7CFD-4DFE-BCE5-FE11892F9A1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9D417-5234-4AE5-9C8D-49A5CB05B38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E80BA8-EEFD-4E92-B3A8-AC24E5E1F1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7BFA1-2D69-441F-91EC-1BD0D9300B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06C20-DEC4-4EC5-B36C-55544809AC0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A67FA-5948-416C-ADAB-4C68B18548C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33F17-7A33-4A65-B337-87FDECADF2A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41528-80A0-4F65-9DD5-B8E510C3D4E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0C2B4-FDDD-4348-BBD7-8381EECA0A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C84BD-99F5-4007-A791-C167E728BE3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D5A99-3C6A-467B-811A-A02AEE423A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EFDBA-4BBB-4A99-8462-EF59AA056F1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C3437-858B-4688-A779-0DAD4237425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E2F1A-5DF7-4E17-9EDE-6C2ADBAE74B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72F311-FA79-4763-BD84-8A3268D16F8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FC602-069B-414E-9678-629A6BAC1B9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D5B5E-9E3D-4208-B7AE-CB95E44CC28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DA220-1ABC-4B0F-A771-A84D90F0CC7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319826-013F-4876-9B36-F91E0911024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92B9D-72F2-4C92-A1F7-B069A05F6B0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8E4B5-51BC-477D-9B4E-4EC3D8D4E9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4E21A-99EF-4AAE-918C-C0E0261D848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052F0-029F-4DEB-B462-038657D736E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E4FB1B-7EE6-4D71-AF68-79F6A5A681A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87BB2-E9AE-4DCF-87ED-98112B9C0B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467DFF-E079-4B30-B531-34550946FD3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1FEC38-8B95-4C87-B357-FE5D7B681ED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8DDBED-4047-4487-929A-7EC2A85DCD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59809-14F2-406F-BBE3-36964425D1A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16DE0-806B-4EA1-8F87-1539AC11B02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D515C-8A01-4E0B-B550-3771187C51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2F4F1-EF26-4DDC-97B1-62AB1604FB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7DD0B-C357-463A-84FA-399F61123B1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A5E6F-6D08-44B7-BD92-B9F94DE455D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0BF42-1DD1-446D-B13A-48D4C60D91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45940-4AB6-4128-9923-2014B5D5ED2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85A30-0725-4B08-A8F8-7A59227B3AD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7BFC5-EF26-49E6-BFF7-F54163B797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581D5D-6F8A-4CF5-A44A-4850E95CB95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0FA4E7-C70C-4422-B29D-23848E3968C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D7DBB-E86D-4DF5-B3DD-68E362BEEE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AC2F1-0290-4A86-BF82-B19ADFB6BF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CED78A-5662-4CF6-90EE-FC902BA3DFD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9C182-5175-4B8F-BD69-52D113E6F9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366D6-2A6C-418D-B2B4-9E79AE3C3F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516829-E8AF-4738-9225-17ABD78F34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01BCC-AEE3-448F-BE68-A786B66CAA4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8E0EDB-20DA-40DC-BB50-25B550D5AB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F1B12-E064-4853-AF07-58482432FA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B57C6-0FCB-4395-8E33-9E8488BE045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BF9FF-8A21-4DD8-878B-FEE46C61FA5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720B4-F028-4905-B937-5532E4308E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D5DF6-C2B6-4F20-9CEA-6E7EBE29483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4AC22-4F3B-4324-A574-3AD715C72F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C92E7-C071-49A5-A306-E7E025017F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38E21-0E7F-498C-8207-BAB8A82220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14338-1043-43F2-B256-49B1D5385EB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2E181-EA7D-4A2A-BB36-7D7332C38AC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C91AD9-3785-4427-B212-E1EEE06D4C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601DA-7765-4E6F-9B4F-BD0BCC6680F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AB3AD-70BA-4A7F-9D7F-8C6F869AB94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08A79-D3BC-4190-8D72-8573BC3B0EF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8EFD8-F5A4-4DE4-A1D8-59ECA105F16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77D21-CC26-45B9-A849-15CB04B69BA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B2CC59-3A20-4ACE-9B24-A8860B4F96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FC0D72-0C8E-43D6-AB2C-14936B5CAD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BF353-E831-492A-A3AF-EFF7525A50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843CEE-7BCF-4D4C-ACD6-6A61511C6A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E4128-214E-44AA-BA12-C51FB3C4020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15C59-496C-4375-A0F4-2FDCBDB9E3A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B9B075-B88D-4457-BCEF-D314ED1580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8218E-B884-47E0-8C1C-9774D692A4A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93F8E-7473-47DF-996D-E0E3697F731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59E1C-D2D4-4BCB-97E6-9187F2C34F4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1163D-145D-4FFF-9415-BB51AD3C926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BE3429-3A56-4561-89C5-DC953B7D75E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312E5-69BC-4DF5-88F7-BB3C3A190A8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01763-9C23-4F02-A7BA-81057E45E3E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26DC2-8A5A-4874-8DB0-0DA2759DF69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5A1E73-8591-47E1-B40C-F2C6F59943C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6F41E-10BD-418A-B40E-641CD3BD6C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13CBD-BD31-4125-BE16-2E21FE3B90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451F9-11B5-4835-B60C-AC26BE27A38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50CED-8F8E-420C-AB79-F23DDC206F1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C6B78F-B6E6-4A0C-B289-F78E195F28D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93987A-A9C4-444F-B19A-3522BEB8B1D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80FC1-8EF8-438A-BC49-1757D323FB6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5B671-FE34-47D5-8D81-A01A1B7409B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E12E6-3987-4809-8E44-5595F219463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CEC8C9-7A71-4C46-ABB1-0296FD96766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91E82D-8C4E-4A69-BE9B-E7746784E8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549E5-A1F4-4285-97B9-362BC82628A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A34F9-B378-4984-912C-B8C3C7076DF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A0B016-B39F-41BC-AB86-170406D8DE9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7CBE9-2EF6-4E05-B7B8-F6F731BE485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C4F399-E181-40B7-AC83-68982E7FD2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D08ACB-79E8-4916-9B28-96A10225C9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292A70-2F97-4B54-A6F1-6494F3103DB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89376-6584-4BA0-AA56-83EF205C001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C98BE-2691-4686-9641-CDF9AD61FE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423603-32A3-41A9-B431-08614100DD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B98FC-6774-4B04-84E1-8FF860BFBE3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7C03CD-E2BA-4E4F-9A3F-E9F1AD8EBDE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1F97C2-7AB4-4C87-8E36-9DD7D8386CD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20F2E-741A-4A3F-888C-98A42E0C2C2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4E4EEC-9B07-44BF-9969-C716216F17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4E5D48-15B0-4B6C-8B5C-6AAF0CDCA98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70D53-6B9B-4BEA-A167-8D48D9A14A9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DB09F-C011-4DEF-B9A8-DB77CEA29F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50388-7D31-4500-9498-B6404BE6BB5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A05A1-7B0D-4C7C-B0B9-56A92142249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60D6E-0198-4525-A6CD-AF14E0143D6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8A043-D4CE-4C9C-AF2F-549F9530C7A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9B356-E80C-43A2-A19B-FABF2AD6AB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775AC-5125-4977-AA5B-189AFAAB33B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DD3D8-F789-433F-9477-E51E344D0C4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4ABF4-A0EB-4C7A-A5BC-613B0524417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0DE37-1537-489C-9FBE-79ECF3C8D39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CEBF5-9BD5-41E6-AE24-D848C01B20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20E16-6BC7-405D-8C64-0E1D1A9475C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64473-B84B-4688-B609-EB6D82CA42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A5FB3-420C-43B4-BA0B-AD8F85D2DD4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AC3A4-678A-4574-8944-C2C2ACEF484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8451C-5CF0-4C46-944F-FE35487A50B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713B1-4878-44D6-89D0-36DE12B074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EE118-D30C-4E73-98BB-5FBA87B9800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43A08-2EE7-4DE7-A1E1-556244C2D0A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5B24D-8275-4AEE-87FF-4BF6BD41518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1DC29-1748-40C4-A8D2-7BD530BFE00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D906D-FB0A-40AC-AF18-D9A8EED1878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8F59E-9790-41BF-8A9A-2366751E330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E699A-8998-4FDE-B850-C08A73D6C06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99928-B34B-465C-BF1C-9CC068D5CA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D4DCDE-C0BB-42EB-A788-A5E49F8CEE7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C8584-4C7D-4B3F-B183-6CCA1DDCE8B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277FC-A80D-4945-B079-82323A6BB5C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AF44E-8605-4654-84FC-E61946BD9EF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17716-7425-4529-9BE5-57926F58370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A5FCC8-69F2-4CCB-AD7C-2B0430FD5E5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95F69-E90A-4784-BDDC-DD6FB85DDA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BCFF2C-BFC9-4B5E-A525-1B9962C5A62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8D587-393E-4108-9B6E-1E575AF8A41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0C7E5D-A95E-4707-9184-A868A4AB4C7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4B6A7-E6D4-405A-8395-CDFD471E5A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867D1-8995-41E2-B195-4518A4583D4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C7CB0-84B9-4CD6-B8FA-1A9E18BF291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2ACC74-31C3-40E1-8672-6632F13618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13964-34F0-4551-8202-774EDCF57ED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80B72-4275-475F-BD9C-E02BE30E2AB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7EC81-D184-4923-8714-8D807BC46C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0BACF0-7EA1-40AB-A518-13BF62165B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3E5DE-6E06-4F54-ACE5-0BAEBEDA9D4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30E2F-8D49-4568-BAE5-824A3601DE7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AFA62-9F6F-4841-BF33-5DD2767DF63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47B5F-4198-4F33-B203-72840ACA132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77DA0-0D0E-450F-83D4-08C85638497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39757-AB54-4BB6-822C-5143519FE1F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27A11-45EE-4953-AEFD-9AC23CD72C9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5D1EA1-619A-49C3-B71A-9B40C7CD2A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9B646-F5EA-4AF4-AEF5-E0546837807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107</xdr:row>
      <xdr:rowOff>0</xdr:rowOff>
    </xdr:from>
    <xdr:ext cx="304800" cy="304800"/>
    <xdr:sp macro="" textlink="">
      <xdr:nvSpPr>
        <xdr:cNvPr id="2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E7324F-B9BD-4258-B530-286D391D316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920EA3-D4CD-4861-B740-CDD0CA1BD63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11C1F-B8CB-4E80-B196-543336D8E2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18DEA-AD84-4C7A-B276-DA40E1F0EC1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D0051-03DF-4DBC-987B-785C38DD77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56C95-BFA8-4DFA-AB27-4C205793F29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9EC87-B2D7-4B2E-B08D-058A57C5072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1BD8D-1038-4CDB-9D6F-A3E03F1D218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7B4FE-4673-43DF-B858-F2F71240625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F754F-9CB7-4F53-A7E6-2DAC4542FEF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6628A6-5F91-4BBD-A900-D5D7DE8DF9E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2C12CB-D386-450B-96FB-81BD12A9403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7C19F-34EB-45DE-AFF0-38C805FA88B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362F9-F54B-4549-9B48-8090B8B9569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5D1E5E-5849-4C3A-A055-C3DD5510D6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46390-37E7-4834-A5D9-F32C8BD5359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9515C6-04ED-424C-8CB7-A5BDA42A277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D521F-536D-4807-8E0C-85FE08599AD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E4F2E-0197-4323-9B70-7AF6613F2E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8C04E-62C6-48A8-A262-CB43DEEB604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D3806-8DFB-400A-B815-49DDF5641F1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2A6D87-3BB6-4F6F-9A8C-66C47EA1F4E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47DD84-DF9A-4F7F-B1E9-637F45637CA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A2DDB5-5675-43C1-A08B-7322B3FBBAC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94DCCA-B32C-44B8-B303-EF8575B23B8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FC9896-32C9-48B9-97EB-9CB5276F31E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416C0-EE0D-484E-BEE5-7B6B112AC89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69E25-C404-4228-BC7E-83DDA028DBC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A656E-FF60-42C4-93A3-5C6F793A662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09FAE-31C1-4E0A-9796-A2D70DF2232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2737CD-F70B-46DA-ABB2-7517B16C29D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4DD0C-80A8-4DBD-A882-D7F6EEDDB7A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BCA1F3-DB32-4484-838C-8FC4EC8BF2F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7CE2B-C408-4F1D-B3B5-7D4E675DE88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9A598-1FA2-4251-94A8-4599215344E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69232-D93B-4651-9CDF-D99DC680E4A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314D1-CFEC-4C7D-83CD-B93AE8ADAAC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427FC-7C6F-4910-8B36-841AF6C60F1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94123-7C9D-47BE-BDB2-530F6555343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70532-0298-41DD-808A-7C5C5E1CC5A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AB22B-6EFB-4E89-A2EB-407B953A0F5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A76120-80E0-45AF-8E0F-6F5A334735A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D0AC8-D47C-44A0-913F-E89DDAE61D47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C9E6F-1121-4402-BAD7-8E12BDF26FA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F842D-88D9-436F-B8A4-11D3EA50BD6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6785FC-F00B-46A8-AB90-29B74D35996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0DB7A-7E51-4312-9161-A2D82126447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E57404-F1E4-4C18-B6FB-97132B54ADC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E5236-2C3A-426F-9A57-9B1A15CF4ED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28381-CF0D-4212-B852-55BBAAE74A9A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B6194-B1B8-4166-BCB2-CF43A46C935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161D2-7535-4009-A293-BBCA53DCA9F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17E49-7BCE-4B08-8DAB-5BF9C34540C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505E12-9DAD-4954-948A-2923B653A02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2DB13-7E6D-431B-BCF9-60BFA8C4C4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AC3221-A333-4AB2-A3AC-9F1684E9E5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207D5-ACCF-441C-84EE-58029E56F9B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437241-5F61-44B8-A3A8-A717931D941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79937-DA09-40E6-851B-B09F3A50336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A2F1D8-5BCA-4EB1-A905-7D13C8CABB5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8401AD-EB8A-45C3-9052-323B0BB8125F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AC127-8DD6-4624-A907-B519B78B05A3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01F2B-5471-430F-B68D-7F4B65F796F5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BAAC8-9E53-4F1C-AD2C-C901D0B0D5B8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7970F-4971-4528-949E-72E7E20C52D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B9C24-40CC-448B-8FEA-9C7DF8886444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6D68F-5ADB-4D93-A674-4A289E011FF6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C5D1F-D1A8-40EF-B4C3-5521E0770C0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D217A6-CE95-44B7-883F-6C2AF0499D1D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4B60F-5735-49CE-90BE-D0B05DB2457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C9C4F-4041-42B8-A967-AE26BA70E48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BE1DD-EBDA-4674-AB9E-745E5C0E0FDB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29644-745F-445E-BC6B-D031CE5B126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FE435-E77F-4344-A232-A9511321C942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84C4EF-CAE1-42DF-ACD5-4C6EC7456A10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478D4D-0996-4A39-A2D0-578F4C347A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B5F88-80EE-49C3-AF6B-4C01E1DEFCB9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980A7-22BA-49B6-AA67-FED195340CC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CFE15-A16E-459B-9A59-0FB5B65199EC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85A91-2D6E-4DEA-B857-BF440A3A4EE1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43</xdr:col>
      <xdr:colOff>0</xdr:colOff>
      <xdr:row>10</xdr:row>
      <xdr:rowOff>0</xdr:rowOff>
    </xdr:from>
    <xdr:ext cx="304800" cy="304800"/>
    <xdr:sp macro="" textlink="">
      <xdr:nvSpPr>
        <xdr:cNvPr id="2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911AC-F7E4-4B9E-A39A-4B2A04419E3E}"/>
            </a:ext>
          </a:extLst>
        </xdr:cNvPr>
        <xdr:cNvSpPr>
          <a:spLocks noChangeAspect="1" noChangeArrowheads="1"/>
        </xdr:cNvSpPr>
      </xdr:nvSpPr>
      <xdr:spPr bwMode="auto">
        <a:xfrm>
          <a:off x="20631150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B117E-96B7-4E58-B9C4-49579DA95C6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3C663E-6DC9-412B-8EDD-8BBAFBFC793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CBF0C-50AC-4851-8238-AEC9E62F4FD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896BE-D28E-4082-86B9-9A10B27C9B6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6ED624-1CC0-4DFD-9559-23C622633F8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B4D743-B0DD-470F-BBA4-F17B121BFE8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6048D-B989-41F7-84E6-9690371B54B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8D575C-F3B2-4638-B427-3DBDCDBB59C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21F1D-857F-4CDF-AD0D-576412CFA42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FF08B-1715-411F-86EF-C14C0AD958A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9F96D-CB58-4007-95CB-7B30289844C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8D370-4285-48CB-86CC-684974C0867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0304A1-8D4E-444C-A1B7-3E958CC814B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3190A1-41EE-41E0-B973-19A8F151B60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28E3CA-446D-414E-84C7-00E6DDB3D3C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2AE65-1C49-4E0B-B09C-3151B4BE9A6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CA490-03FC-493C-8BD9-C72BB9B16D3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639C1-7F8C-44A0-BA3D-B39430561F5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5E047B-1CF6-4318-81F6-9F5895C88C6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5820D-E735-4F62-890A-BBCB9FCC0D3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40FA5-3909-4D1B-8573-EF40637DD10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D765F-A865-4996-8383-224359EF299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C4E96-2A2C-475A-9A21-9C830772F4E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E4EAA-2D61-44A6-822B-5E1A42AD30E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B2075D-46C5-4348-9846-EC96F5B0F4B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F772A-E9AE-4FC4-9F27-87B2F8025B2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783B55-5CA3-4257-887C-989D05ED06B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C7467-DF21-493B-B2BA-8C2619CEFD5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588B9B-F3C3-4BA0-B649-1CBDEC28589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08CAE8-FD34-449F-B380-4CA2C69B88F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EC2F4E-B220-4FFA-9170-D62A6D4F51B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5F51A-F8FB-4ED7-8751-1EA1CB1ED70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BBE139-FA7F-407F-9CF8-EDAEB0962CD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6BA66B-5B81-4B5F-9961-DAD30211F2B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66A9BC-E6BA-493C-B963-590D7279162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714375" cy="304800"/>
    <xdr:sp macro="" textlink="">
      <xdr:nvSpPr>
        <xdr:cNvPr id="2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6EAD6-4281-4150-9880-E574FABC67C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2D4B63-9E57-4DC5-AA4A-E807E6B4A18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C1323-B89C-4F4A-BE1E-36053F6A38B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7D1E5-24E6-4867-913D-713BA2D484E2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34DF76-92EE-497D-8486-EEA884E6F908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523A1-C837-48F2-92B7-F499DE854E4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714375" cy="304800"/>
    <xdr:sp macro="" textlink="">
      <xdr:nvSpPr>
        <xdr:cNvPr id="2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63BE73-8DB5-462D-9352-251CC0ABB3A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B017A-E4DE-451F-97DA-7DDE95B2240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99782-3671-4C3D-80E9-6EF200D49C2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F1FAE-4D1C-4677-B67E-FAB6BBFE209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D0769-5759-40CA-BF38-05BB8FB9525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CEAEB2-3213-4712-B35E-4C9DDD3A070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654B0-D552-494A-82CA-EDB7720739B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DF7BB-6AF6-4D14-8F58-01EEB2D311D8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438C4D-6948-44A1-AC56-7716CA4BAA78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673916-B38E-4CE9-9E78-8B2D5BC02AA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D9F16-9797-4276-91E7-FA9814F204B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714375" cy="304800"/>
    <xdr:sp macro="" textlink="">
      <xdr:nvSpPr>
        <xdr:cNvPr id="2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69DA6-EA17-4DA5-978C-A42AC751C3F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57BD2-BAD1-4CBD-86CD-1B684E9026A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860147-6589-4383-87F4-C304AEFCB38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D96CD-0CB3-44C9-8491-A282064AF54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5B1A4-F349-4AC2-B7EA-60B27FDC29C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C1C54D-94B4-4F2D-9C1E-28BFB80FF1D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C1395-59E1-4F9B-B233-3637369B044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7A3C4-E8C8-4DE6-B058-711B64721DF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04C17-8EDD-4666-8365-60062F05A2B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25367-C590-4F7A-A329-F9FAEB02375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96517-8961-4C3A-A9FF-DD3B1FC2E61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CE3E41-D5EB-45C7-8E49-FAB045CBFED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506DC-AB11-40F2-BE78-895A5AC3AB3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AA0FF1-2C33-4D01-B653-C1537C6F789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5C1EA-206F-40D9-8561-DDFED97F944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5B2845-6910-4889-911E-A2E277A575D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5F49E-22A5-4B5E-A363-6E975F65268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8DCA82-7184-4D72-9A31-703CAA90B33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BBAC1-7F37-473C-A900-4456AC7D060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37380-9612-44EF-AE88-79730CD522A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3F545-9E60-491F-AEE3-E1291191881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1ED67-A15E-4D47-AED3-91BFF3AA7E4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1AB76-E3DE-4955-8FCB-3DEA1F57932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8BB67-41F7-4F51-ADEA-67450854303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B35E9-AED1-42E3-B11D-07EF3D7C4FB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E16CC-D890-4EE6-9B9D-DEE84BC610D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33344-F35A-4FE0-BDD6-4FCB03814E9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91B182-70AB-418B-92A2-5D593CA6DCD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C2E32-2523-484F-82F7-64A320BEAC1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79283-8B13-4FCA-85BE-8DFCE4E4265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10D9D-832E-4DD8-ADE4-D1DED9F8E52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EBEA1C-EF51-400B-9366-316E095D2A8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43954-63CA-4712-ACF8-4617FC86808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0DA0F1-1721-409B-8054-E098926C01F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97246-56C2-43E4-A441-1C1FC99F70DF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51A4E1-84E2-4A80-828E-470C7F6F676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AC628-2580-4CB9-AE3D-70E9FF36E37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678F6-CF2B-454D-9C25-39B90BB5E6E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773AC-62C2-404E-8CD3-2AE4E36599A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F156F-52B8-4DCD-9D1B-8308943BA6E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09748-F65F-422D-B062-1DEAEE4B109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0C916-CA23-41C2-B0B0-4C364731AF4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D6F9FB-B350-4ADE-99A9-5EBCC6C2746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DFDB17-EF64-406A-A65C-913B2B730DB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50D7AA-043F-411A-BADB-B1807191B74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714375" cy="304800"/>
    <xdr:sp macro="" textlink="">
      <xdr:nvSpPr>
        <xdr:cNvPr id="2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DCE7FF-D122-425B-ADE0-56677F0D7AB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2D913-E7CA-4DEB-8E9F-94DD1562674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6C963-4704-4D9D-A3C0-78952100573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34384-7A2E-46D1-9A02-18604F0367E2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7CFDA-DB96-4AF3-8538-9FD4868D694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FC7EE-FDE9-449C-AA86-18D6F7C6D91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714375" cy="304800"/>
    <xdr:sp macro="" textlink="">
      <xdr:nvSpPr>
        <xdr:cNvPr id="2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CAA530-41D7-41A9-8D52-426B07BB8E5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BBDE26-C71B-4F42-9D39-F6E9150AAB12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C1DA7C-D7A8-4ACC-8F08-F5B06317F14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29E8CD-3BF4-46C1-8E6D-560A5F4E310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7C200-AD3C-4145-838B-58DDA8AB4FB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90322-214A-4670-A1EE-B4AB8F07A46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4B0ABE-B8CE-4A56-871D-DA098A4765A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38836-F74F-4F49-9333-BA61DA69707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D4511-2D73-4CE0-AB41-793018D5F18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4FB2DC-F5E1-4972-B452-A0C2B291588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A413D-41D0-44EA-9C8E-E0A9319EBA4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714375" cy="304800"/>
    <xdr:sp macro="" textlink="">
      <xdr:nvSpPr>
        <xdr:cNvPr id="2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326EE9-4EF3-4742-A85A-2EAB2706CBE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1E13E-49C9-4BD5-8D72-6385EE75FD8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2CD53-57A3-4D8D-A4C1-079A7920B9C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F30E9-0B48-48E0-A87C-033CB7FB20C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CAD921-65D5-4D95-A319-DA739EB614A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517A2-3E5E-4066-9555-8537E74A387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60E30-0964-4E3F-AC67-16603249B38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DF4EA-5197-427A-8449-2575B7EB872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DAE185-7DC3-4DC4-A7FE-8595DE96096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B33DB-446A-48C2-A140-F38C967B5E8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4220F-4E76-4B48-899C-009C4E3B13A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9F7FA-1971-4B2B-8AC9-59B4388EEDA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941BE-2C43-45CD-886C-989FA61E1C7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8A382F-51B7-48EF-AD3C-8621C4ED849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AE723-D70B-41DD-8DD4-87391738727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12696-4FF1-4F3B-86DC-7E561244DC3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6DA637-FD2C-499F-8F1C-29D496B8E65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ECCD7-E2F6-441A-879A-91AB35773A8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0BF04D-5768-4295-B03B-CEA7152E2628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30927-B9DB-4F50-AA9F-F27E04347F1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1113B-E8F7-485F-BBCE-B5083D52BE6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F8E294-F1BE-45B9-949C-01F5D1A8ADC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CEDE2-0C67-44DB-B1AB-526542442DC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B4943-5B3F-4C9F-BD61-23B312167AF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1BED50-32A9-4377-A1F1-AD373439835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216707-043A-449C-B14B-5E62362D57A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C8B7D-3730-4584-8F87-39A4F2327198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8DE3C4-5D51-4029-A776-67126DFBFDC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68E36-8038-4EBB-972F-B47F4E7F847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C9071-E583-4DA6-8BE5-FD821E8B810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C4804-278C-4DA9-8FFB-E3471E3F39B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F4709-4531-4977-B420-3DFDC92CEC1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2336CD-55F4-41B0-BDD6-FC216CAD8E4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467F7-7396-4684-B8D9-A0D0410F56A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EAC67-92C0-43BD-B0C8-96273BFF243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6A3C1-6427-4B17-AD7C-76C48317F65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76246-90B3-44F1-B950-65F2B32F821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A57AA1-DBA3-4A01-A88A-40495AF2412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C9C35D-A1CD-447E-8A0A-951AFDD74A6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48DFC-C2B6-4B67-B529-D49DA93FA4C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4B518-7784-442B-9FAB-04921D6B9AF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438AF-86E7-4734-87D9-ABF80CB2386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40C0E-F4C8-4D48-98AB-18118413EDE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F5F83-06E3-4EEC-A0D6-501760E2246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27488-BE40-4F05-B0C8-6262A304925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CA35C0-CBA0-481A-93DD-CD8F689B3E4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C271F-70F6-4158-89A3-F9130010D2B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3C620-7960-4DA5-BC25-CE2209FE747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94798-99C0-45E6-A723-A105B5DF0A4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043AC-1A6A-45A3-9D41-562D7FB677B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D47D3-2298-4AD9-AAD4-67100C8AC022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728E9-BCAD-4401-B2DB-242D6AA4933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C81D9D-D046-473C-B248-EA3C7EB8E94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FC0993-99F2-4BFF-9671-21BDAE15A62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05804-94F6-4D37-87AB-E927BEBCDF7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26AD6C-4560-49A3-990F-00E95F5EFC5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B692C-53A2-4584-B1FC-2836F7121E6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3B15E-4FDE-404F-A077-E8446FF1A01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E195FB-3E1C-400C-8B26-6F72B2C1584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04A4FB-27D4-4808-BCDC-2AA7659B6BA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74479D-BF99-4884-9A99-D3FD86B9ABA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9ADC5-DAC2-4C70-9E9C-D3112F24E43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016B8-7FAD-4859-8F5B-374DC2413ED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E92A6-6134-45DF-B115-67638064F1C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63C3B5-0904-4E99-80C8-962A7777526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9484CB-5CF3-49EF-B3A0-BDA68C6F001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DDAF2B-4D9D-4ED2-80EF-25AC5F9EF32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5F73B-13D6-4B5F-9328-3DC4A3344E7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43E32-5CC4-4776-937D-0D166ED0ADF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68E613-9E3C-4129-81F5-FF3EA1FEE55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CC8402-8E36-45C2-A876-A2EA4AB1808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591DD-3AE5-4CC3-A60F-3F189C4EE54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9F807-FA19-4F15-A266-7BE7972E7FA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A7C94F-B075-4C47-B613-A0DE2F1B20B8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D9D95-6E1E-4683-829D-48DEC530D5E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545CF-F056-4B01-AE98-57051ECD454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5F946-EBB7-4730-AD78-B43D8FD5193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D7985-472F-459B-9C4A-5F222D10688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9503D0-049D-417E-AED7-38591C52E4C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050E23-0F57-4E0A-BC29-1F69F9C6AE0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D7A0AA-A091-4F64-B853-41A30EC6D15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30B260-1FF2-4C39-BFC6-C552392962F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D188A6-7D25-4750-A3EA-468BB47F15C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659E2-14DB-4CB7-BF9C-35AF2EA060B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C3E9C-11FC-485E-BA00-A9351EE19E8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86B22-8A68-4246-8A75-E73BA5FAD63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13AEC-5D02-4270-A494-F1E138238AE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64F65-E93D-4EB8-850A-0B62C6692F52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A54CC-804F-433C-B007-4948BF35D5F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B3DCE-FA66-495B-856F-D7A9442A054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5016B6-A6B4-452C-A74A-C069FF24ADB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DBB769-5815-4A12-B66B-71C0B6ABAE4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F4DE9-E955-46D6-8A19-9EF392BC2DE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7</xdr:row>
      <xdr:rowOff>0</xdr:rowOff>
    </xdr:from>
    <xdr:ext cx="304800" cy="304800"/>
    <xdr:sp macro="" textlink="">
      <xdr:nvSpPr>
        <xdr:cNvPr id="2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2EE82-2752-4E4F-8182-A956ED13A67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2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75BE51-BD38-4573-9CC6-42D16189069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51198-B54B-4919-8EDD-84B942D3CD1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C07FFB-E380-40C5-9A4B-A502DB358D4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C464D6-C3D4-41EC-915F-067F886C9C1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FC9B5-AEE1-4BD2-96B0-D5305B21F82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61D632-9A75-4B1A-88CF-D4EE61091E4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2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013DE-B102-445F-A7F5-78181315987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64C5F-E4E9-4552-B8C9-CE051BC4B62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25C29C-8CF5-491B-8E51-DB835303B58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7FFA07-F91A-43EE-8482-41E72B7418E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7EC30A-805F-42E2-A5D2-F6F7638729F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FE3829-6A0F-48D8-AE02-26067B886CA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120AD-41FE-4FC5-8213-93AF203B935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5E846-8E88-4942-9712-6AAD85D2F349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01358-3FD8-4F68-9BB8-F03EA1C3F276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6B5E1-57E5-45AE-A5AE-8B0F01F9828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7AC08-AE66-4B2B-A5D0-F2AF7BB64AF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F9971-C541-408A-AF11-D4EE4ADAC8E5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24557F-8FBA-4009-9684-B4D65E7BC58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C769F-ADFE-4D55-8D19-D814B4E23258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9A6417-2920-4060-91D1-7F9CF71D7EC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E58F5-B808-4313-9E1D-63E354BA6CA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6990E0-6DFE-4559-A180-1EE408B2F8E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8FF48-3EF2-4176-A1BC-8DE252199A0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3ADF53-78A2-4999-9430-89E3C05E377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60DD4A-0598-4B1D-A327-A9B5A3312E3B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088F5-715F-4A6B-AE63-EAF4BDAA8FA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2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BCB6E-45C0-491F-8182-1A872A4D165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CECF4-F4E2-46F4-8AE4-251BB9F7FAF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2642A-7984-4847-B422-D2DE27FBA62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F973D-6D36-4FBA-A1A1-090E8E16194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6E5AE9-C504-40A7-B7B3-91D6E2FF01FE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34F3A3-692A-4C83-B576-46E47E8F0CD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714375" cy="304800"/>
    <xdr:sp macro="" textlink="">
      <xdr:nvSpPr>
        <xdr:cNvPr id="2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838122-E89A-4F1A-A7A0-A04ED019487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6F7F8-CB45-42D3-A96D-64893CA414C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7596EE-7DD5-42EA-A917-0B218B49BCD7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39BD88-5EC0-44EC-97C8-5CDA7A2E627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27BDAC-E20F-42EA-9334-70606AC0C53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510AF9-4B37-47AF-8C81-09E32E36AF5F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798CB-6F3B-4DE3-84E3-153CDBBE937C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B774E-BA49-4B3D-8FF5-CCF4F19595A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99BF2-896E-4B56-B317-56A26AB2A00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0200F-BF96-434C-90CA-93164E3A749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B8CFE6-F794-4292-A02D-2538AC25B7C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B1BE1-A6C0-4AC0-824A-7FCAE8DC74C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3480B5-DC98-4A78-8430-4ED5AC1898A2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5D2CC-968F-4AD9-BA99-1078FDC79981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2FAC2-777A-4C5E-BDB7-7E6DFF00E303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D6022-50CD-4FFD-B04B-3862F1EB831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72A06-D7B3-4795-9C72-613EB759F5DD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D140B-DF8A-4EBB-9485-2BC987A804C0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4FE05-DF76-48F0-A432-BCCEE862C864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40B724-4A6F-4E54-B193-9117CC6CE6B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40</xdr:col>
      <xdr:colOff>0</xdr:colOff>
      <xdr:row>5</xdr:row>
      <xdr:rowOff>0</xdr:rowOff>
    </xdr:from>
    <xdr:ext cx="304800" cy="304800"/>
    <xdr:sp macro="" textlink="">
      <xdr:nvSpPr>
        <xdr:cNvPr id="2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CCE4F8-D7AA-464A-915F-A003F885231A}"/>
            </a:ext>
          </a:extLst>
        </xdr:cNvPr>
        <xdr:cNvSpPr>
          <a:spLocks noChangeAspect="1" noChangeArrowheads="1"/>
        </xdr:cNvSpPr>
      </xdr:nvSpPr>
      <xdr:spPr bwMode="auto">
        <a:xfrm>
          <a:off x="191547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931EC-D7F6-4B6B-B41F-71D944A82A6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82A5F2-19DC-41E6-B854-6EFC2C9276C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96A9C-F46A-4FEF-AE8C-B134BC29648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732E42-4982-4C50-9498-4CDAC3F5719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212B4-46D7-49C8-8045-8A2755FAE37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50CFA-9585-4B71-9CE7-AA8E4594576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8D67D-B546-48F1-B308-53888359A0E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21246-47B2-48FE-AF71-12DED06AEC5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3CF474-CEBD-4986-9EF2-8DE9371756B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78A9D-505F-44B9-B564-62A3A21DC27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35E6D-907A-4B8A-8C8B-0816AF4CDCE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BDBCD-E102-4BDC-BF54-206E8F9E7F7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500B8-5570-4A34-A5B2-64F85BC16BD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50F58B-40B7-4FDC-B240-9289023D124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CBCFB9-058C-43BB-ADD3-96EC742DC48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F9BEF-9F4A-489B-AB17-AB04376298A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CB257-1049-429B-B3C7-2F1094E2498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47DDB-B66E-4537-9D4C-2CBC4B3CE8E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19155-C21D-4EE8-9C79-C076E0724A4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D1D2D-20D5-4419-92CD-C48B2B78F40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9D4313-7FC6-4ED6-974E-56C33DB2E4C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78542-F989-425B-B2E4-66BBAA0DEE4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74E1C-2A9C-4F44-BC6F-78F1249F6A6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6D1A3E-657E-4C83-9EBB-7B2A77852BE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8364EF-2E1C-4695-A525-5BDCAE9137F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9BF707-DF03-41BC-AB87-0DD3B9D66E7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77D06-F53D-4B5A-BA3C-36812B22FE8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28576-F5ED-46A9-AC1F-D7FCF88A375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4DF58-6D28-4A55-BCB4-17E504B6126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11E0C-B0CF-411A-9568-51F3F29A83D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7F3DE-2C58-4749-93AB-74C199D9B4E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06A8A-74DA-43DF-8FEA-4CFF2AC6516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105FA-97B7-4DEC-8306-A338505B52E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1C3A9-D5DF-4663-A2D5-5AE0FB9E1F2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7B303E-DAD9-4B68-9250-BD2C7DC59A4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32055-25E3-4E28-AA35-9E56AF7D1D3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D85FF-331E-410B-BEE9-5503E4F231B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ED38C-68C0-4E6C-B496-6F8B238BEA9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4167F-0A2D-4EEC-A6FD-055775680C9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87127-9FFE-46C4-A64C-130A95058CD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7291BA-A3C5-4EE6-987F-7F56B6522CA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0D668-2D8E-4619-9420-8702CFD685A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19518-2232-4707-B1F9-9D42D6C6500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F315F-6CA2-4194-9D64-3CBEE7C52EA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6EFC4-506D-45ED-B182-4D4FAC9957A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801DC-0053-45CD-96EF-24161A198E9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354A9-7CFD-4BCB-AE8E-672AA0778D1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22566-2D7D-4933-8DF7-4D3BE72BDBA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DA738-C7BB-447B-AF8A-881105C4413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A73B22-677A-4E89-BFB7-9CF70902998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E1968-5079-493C-B95A-84E5733AA7E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DC0948-298D-43CC-AA17-9120B8ABE71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D4DA3-F471-44B5-8EC4-5B308DCC1CA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21F05-AD4F-450D-98D4-090458BF6F8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8EA0E5-E795-48C7-9D03-6B0D465C745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2157E6-1649-44FB-AF7C-4799A55525A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E9081-A057-4A26-B474-672D5C860B6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BB3395-21AB-4716-A479-E23079C3134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183FAE-510C-4D5E-B16E-9FDD77D5BB7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6A29D-F1DF-4473-8E0D-0C1D672F5A3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38B28-CCA8-4BD6-BF6B-CA911587AF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8A51A-96A8-42F4-BADC-A9D41BEEC7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BE02C-AC07-44A3-8AF5-56BEDF2082C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240D0-EB4A-4D0A-A77D-E9B07ED88E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03E628-37CB-443E-B71F-EFA43F2573D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30BC4-DF41-457C-BB9A-1A05BF7155D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3ABE3A-8476-476B-9F40-F1756D90519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83F9E-54EE-4B5B-8FCA-7E339EC28DA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E02C3A-3252-45A5-A837-5EE89185A7B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3721A-E7CB-4969-B369-F17229EA60F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74C2F-4F37-429E-A44B-3608EADC504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8CE94-1005-41E6-AE64-4EB55A3E443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33ECBD-67BA-4F4B-8963-6870901224C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776DA-1335-4371-9EC4-92C72651C08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E288A1-66B6-4740-AFE9-546F2CB54C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F04110-D7E5-4416-9AD8-65E19C6056B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61301-FEA8-4AC4-AEC3-B557538A8C5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0433A-3AE3-4ED0-98EE-4BD8DC356B2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D6BB8-C076-459C-82D6-97BB7CFF93C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3059D-BF19-47DA-BA73-E8A1E05892D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0042B-93B6-4269-8A80-F33B746AD02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C3FFA-A613-49A7-BF8C-90E1F3AC6C3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6FB417-46EA-44E8-91AA-09B0FDA4184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2CCA96-0D08-4D15-A8D4-4334EBD8D91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633D7C-829E-4B2C-A6A5-3AAEE9DB7F3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035657-1F36-47A6-886D-1E0746DD97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C3AD8E-74EA-4ACA-A78F-E7CF4163200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AF073-B799-455D-B013-DF019F653BB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37373-04BA-4BD9-9FCA-ED5135083B5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A3782-D242-4CEF-9CCC-D8A4387A0FD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3C497-D9AD-4D29-A56F-37E418FFCD6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7D8B73-2A4D-444B-ABDD-35226CEC9D1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FA917-0085-46A4-8A9A-4AFE113B8C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A8424-6A91-481B-A1BF-FC754F09A89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E7C888-281E-499F-9148-A02B9D0A472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8D4254-FEA0-40AA-863D-82D2A09EA9A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824A3-30D2-4FCE-940A-09CC1764737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F2263-1B17-4E6F-B8D9-C3D12A1ACF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7559A5-83B0-42D2-8BDE-37147194069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C16A69-B2B0-4E94-8669-666F1B757E7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713ED-E461-4D09-9203-6036C37A829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222279-7378-4EE4-AB2E-6EAA0479990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25F08-C090-46B1-8C64-CCBE0F95C6C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D7279-AA31-4319-9385-CCD5C03A70F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97217B-D4BF-4C4A-8911-740E29324A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2D413-6C07-4633-8E17-EF393649CC0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6DEF6F-CDB8-40B9-AB00-4DBCF10923B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EB202-F2D9-43DA-B48F-5CC9731955B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F72B02-224D-4D1E-8398-85AFD15EB5E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57B3D-DB3F-44A2-90A3-7EB452A8757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53120-4DB6-46E5-A97F-B129F32C2B8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9B8A2-D0F6-4923-8AD9-7AF46085401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2A3321-40B7-4920-A923-B2F80AC391D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F4C76-D147-4273-AB2C-EC2AE8F9B2C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14C19-157B-4C1C-8421-19EAA28F608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18514-9F13-4D05-915D-159DC03FD8A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126016-CF5B-4009-9643-C6C1B39F0DB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A23BB-6678-4B21-B5EE-E0A273ADD46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CBD7F-112A-489B-BE65-91A8144E0F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C3680-C04A-4420-B06A-7DEEAD80B2B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3E9D4-8AF4-42FD-9E90-C8FF1C41CA3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2C75E-7FB1-4ACD-940A-EEDB9841394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8510ED-5477-4043-B7C0-64FDDD71376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7DCC9-5D55-4140-8B80-42941FEB4F3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DF6BC-CF6B-4993-9EE9-BC5C507B98E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A487E-D91E-4A08-9DD4-5C725CFEFB8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7A908E-7221-4719-82A1-697EAA8928D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0E68B6-7865-4A9F-AB2A-CF5C2B1BCA6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665052-7873-4FED-BE0D-9D1627BAE83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864832-29CE-45D5-AD1E-DE1D5270DC7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4D975-3EDC-40BE-9E4B-66ED25F8B7B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8E2CA-C445-4804-9909-E870A08D9A9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8DA8C-62CC-48B2-BE6E-3838C1BD297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0F12E1-7C17-4D2E-90E9-CEE32E7732E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A2271-6FDC-4039-AF64-5382A3FA415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D2E67-8C07-4627-A54B-979E1C7C87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ABDBA8-5462-4BCF-A557-80557BDD389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E37CD-E971-4D84-A0D8-A235504F4F9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732C5-4B7E-4AE7-A75D-8CDA8A101C3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82B25-AFB7-4C6A-A5D1-C74FBEAE3F2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9FC58A-F696-4A2F-BC18-D8BE9C71A28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1A8B6-CBBF-420F-97FD-2A8A3FC12B5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50615-52F7-43AF-9D22-F5CA74DE622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B031D-6BD0-490C-B5A9-E21BBAB73C8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6DBE23-0CC1-4563-9998-1877980F81F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BA990-E8F6-4401-AFE5-080766BB233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08AB8E-0BAD-4A74-8830-FDE5FC7F9DD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48ACC-3256-49F9-B906-01F6D7278A4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725B5-3D81-4350-AD36-E83D0E07EC3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13E63-DBF5-4A8A-B4F2-D3BC21F43FF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18F50-1A16-41C0-9C8B-E5A81D21607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876A8-51B9-4EFA-BA26-177325A3FA1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F4AA70-416C-4870-AF92-AF601D4B61D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B987F-2938-4350-92B5-F4E57B319DB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89474-2A7C-4B61-9DED-DC1A9D23D5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9D8AF-98A2-459E-8181-16E8D4D5285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99890-5BE0-4A2F-9F10-B2F0F84DFAC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F2884-4315-47CE-95F7-32B1B79EBFE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2C71D-4257-4789-A73C-7F5F5B59F30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5E4796-FEE6-4D5F-AE81-70CAF53575C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165FF-E74B-4D3C-9C41-A0CA872FD71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CE83E2-F6AD-47D3-A2A2-21CE7FAE21E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DB3F3-0E0E-4A77-99E4-F9395E3F8B5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A645C-9BC4-454C-8C94-A720EF4F852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0B16B1-30FC-4A15-91D6-E9BA050E9B6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DB601-568C-4478-802C-32142571ECD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5D01C-940A-413F-A061-1D45184358B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7F1B3-AE4D-4CD9-A2A4-13A0178179F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7709F7-E2A1-4AFD-A016-12B7E0A405F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0C1FE-ECF9-4089-B38B-E3250016A6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D94F32-707B-44D1-B4C9-424BD95D9CC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CC539-D224-43D5-A9CA-1CE8ED555C6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4FE9B-2CF4-4EA8-95BD-C03F9561E19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AAB82-1773-43C6-96D5-1CA85867C1D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35CA7-41F7-4DA0-B672-E1DD4302CDA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97979-2922-4281-A488-41A1BC4AC45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E109CE-1A26-4125-BFF9-117BCAEE50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677BC-B707-4B32-92C4-2A1733D5EC3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104F3-9736-4C9C-98B4-46C3A66A6DD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E4522-0F2B-46F0-A620-52BF7020F2E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BD4769-28FC-4E66-82F3-DC4A3697FE7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91160-E4D6-4C4B-A703-690B266EB25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5F2C2-EE6A-4806-A4A8-194CE3F0F18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9DF652-2ED1-4D27-A167-41EE6EDF020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386B7-D981-4D83-AC71-BE901745D74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A553CE-1AB7-4221-948E-E11984E9021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BF7C6-4E80-4A25-8DB3-4DEA1D4596B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77AB42-B263-4B14-B86A-45C68581E1B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7BC9E8-4B38-4270-A994-6AD7D2C2E71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B6CD0-5689-4FAE-B34F-670AA9FA204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4329E-8CBF-44EB-B7C6-1581D5FEBAC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EB3F3-19AD-4DB3-B120-88BEA7B3B79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EB4C3-66C2-4CD6-B3B6-7C551BF8029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67030-5160-42D9-89ED-8C2038F2CCF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E7122-DEE1-42DD-9B89-C0FF4B5EB6F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95333-70BA-490E-B538-0C5031B3B74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9D2189-269B-4070-8BAE-BE62239A258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B98A7-199C-4446-A729-90C4CAACCFF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2C706-76DE-4C54-B8D5-1ED8AD70FCC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21841A-9A03-4F6F-B356-DF85CC2C962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E7194-00AA-475E-A079-7E763BD66D3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3F546F-6527-46F5-90B7-5D3FC522621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F7381-83C5-4B13-BA6D-D84E2F75C38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92C15-9701-4DDD-95A2-30FC726A79C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E997D-E9FD-4B59-9B28-1469B1048F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81EE5-E675-474C-A8B7-DE35B65B2F9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E8FBE2-1D5C-48F6-BF58-537C38A4CF1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8C510-724B-4698-A1DE-C165B7F327E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97816F-672A-4833-8FEE-863D0EF5AEA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97614-A56B-4CE0-942D-4E2B9448BF1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7A6215-19CC-4DCB-9784-9B91EC570D1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83C9E-02F5-4E19-A91C-7BFD730E14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801FA-68A5-4A4B-8E65-8820F5E232E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5B4F1-F29E-485A-9D4C-A1B6DA397C2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3FCCB9-8AE9-4382-B88B-10AD903B61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1F475-28B5-4184-B35B-D2DDA4FE92A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63158-543C-427C-B665-C0CB7139036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0E20B-AB21-40F8-B41B-8D9058A584E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B2F826-D1C5-4B70-AD62-34ADC5B4EE3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1DE6B-59D9-43DC-8433-506EB3D2F9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C0A23-466D-42C1-9833-97178F55C72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414415-FD5D-40DB-99C8-E60DF06A12C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8217B-C16C-45E7-8FCE-45C7E595F02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359258-45BA-4E67-8610-86404EADDB3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0FBEB-B467-40B1-B57E-6CECE146E57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D165A-1A12-4C26-94A2-19D12A7C5D0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770E8-DEB7-4C2F-AD10-1A213713D1C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27DB8-411E-4BC5-849F-E527664B04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B9CA4-A25D-4AD2-866C-F869F67FCB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2393A-3B2A-4D63-8E73-633841DD990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CAC36C-88AC-4D12-BE97-800E24C2AB2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FBDFF-3892-484D-9EB8-FC45F76E593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E57DC-9F6B-4E86-81B1-EC67869AAC9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9AF777-5566-430A-911D-5305F250F93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3BCC3-3E84-43AE-B3A4-9A2E1A2663D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26E71-290C-4EC4-8D10-DA2D3DE19B2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8D646-BEFE-4364-9D05-3C1F618E69B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164F0-EE37-4E71-8711-994BB040EF3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5B69E-7778-4FD7-B4F5-E2523C522E0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AE287-BB43-47CB-9528-1A31F6A5657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EEE56-BC50-4A59-812B-B8EEF756ECC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AB6CA-8855-463B-A65B-34B51C125B1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57151-8E8E-4320-9B1E-B917903B33F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1F89C0-46BB-4731-9AF5-C84C49B69CD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860DB4-B818-4A1A-8E5A-9573F88569B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7FD8F-ADB3-4770-8D4D-66116A6558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D44B6-57FF-4BE7-AAFE-E8CE3BE3B18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A2698-3CEF-4DE7-9AB0-25672B244CB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F906F9-0260-460E-B280-657F622ACB6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3A715-BB57-4387-89AD-CB776A19D4C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B967A-2FC8-4D4E-9FF6-D37AEED87D2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5FD8A-9C0E-43BB-B443-CBCA80B74D9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FB806-00EC-46F7-BFDB-D528AACC83D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8ABFAA-C8E6-4016-B2C8-34E9D8C62FF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CAEDA0-446F-457C-9D3C-CFB2076D09B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6E958C-A47C-4180-9059-5D607F5C9FF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1823A-EB81-4C84-BBC1-A37FDDC2062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5E88E-FDE8-4D2F-96C2-A9186577DB8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A586B-985D-43FF-A201-F4FE1514FFF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E2C93E-2662-42A4-A531-8DABDD9C514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9914F-5F28-493C-83BE-3D4771AF3BD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F2D2E-E038-40AB-BEC0-F4A2AFA88A5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69ACE-F41A-48BC-9B39-619C0B68B36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95719A-1992-47F9-9701-1AF514CAF76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25646-8656-46F0-9A8A-701345546D4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349A2D-0288-4F53-8294-3D0727F387C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0F9BB-7FFC-4C16-9B8B-244CD97B5A6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D4035-3546-4F64-863F-B03B6164394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389C78-053C-4C94-B2E9-0AB94567E60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7F99A-D38F-49F6-A1E6-B1B1949052D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41A23-C30B-4CD3-8C40-A245AA66967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CDB28-8043-4C3A-A669-09FE1968C5E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8712AE-DFB9-4B2C-95F2-2C2949E315E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845E1-AE72-4062-A578-4151CF43BB7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7C66D-CED2-4D31-A0B3-A2BAF7247AD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FC758-57D7-487D-8985-54BE25B220D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77D10-BD56-4A55-B0C3-186B5EC1CA2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2FAA0-0200-456A-BAAF-0713BE8C592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C1368-6BCB-47C2-8052-B6F40DF1709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DFE59-D602-4C8D-B4F0-448DB2A9E70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5C96E-CD22-4850-A33B-7DFFF9616B2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CCB25-A0FE-4BA0-90AF-98D1985FF2F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46D84-C263-46C0-9F6A-6349D32F2C8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B9ACC-BD57-457F-B187-C3E6CCC6BF8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5E529A-E9D4-4A5C-958A-71368CC46B9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0541D-2CC6-453E-B0C3-57A7B6C5D6C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90A12-3F73-4F3D-B974-25D45EF723F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6ED43-66AA-4022-AD6F-535C88D5E39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BD870-0453-44E8-9974-AEC6B7F9879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12B71-BD73-4A60-8EFC-3F7923FF046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5E4CB-E08F-4E44-A8EC-D4772F651AC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030A2-6AE2-4DD9-8A6B-5BECA38E2E0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3D7C6-F4B5-4D37-9F90-8F7B012269A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772BDF-CA9C-40C0-9BBB-568171D328C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BCE91-5C0B-48B2-A222-A8497C5F8A0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4270C3-9C72-4165-8641-DAD27F81B64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EC29F-EC87-482C-88CC-F08CE9B4B56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B2911-8C42-440F-A039-1A4C9CBA839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DEA91-66F6-443D-B26B-6DDBF43365D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BB3FE-AB61-40F9-A650-F171059F7FE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A2913-4736-459C-AB17-5DA57A38DC3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90ABB-C001-4A8B-8F67-7E6B5369C0D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E3E51-CE8C-49E7-99F9-178F1FC2A7E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0FEE6-101A-4C61-AEC3-12C3CA763A1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3569C-E5D6-42E6-AE95-1B46C5FE133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B0A5F-FFE9-4471-B2FF-6FFFADD6BA1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5F649-1532-4C2B-8430-7D0931AF53A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79A55-E4A1-4E96-9130-136617E2FFF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80D89-6CE4-4285-B041-B83C0276B69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9EF8D-3E4C-4BBD-8253-EE2823DAFC4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0A766-4B27-4618-B7BB-0F094D10F10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B3306-EB23-4729-89EB-B2F65F382BE5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EA7AE9-836B-4AD2-9CF2-EBEA310A1A6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F27B4-ADF6-4CBD-A0A0-B1F34F58ADA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5378F3-4482-4916-9D87-B44023CC918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24B8B-395D-4E75-ACED-82F24C11B11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6D27C-98E4-4EF7-B8E4-9154DACCB1E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5333C-C4BA-4044-9995-C0DE88B0C36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E5DA9-ADE5-4A81-A435-9E3A1ABF0E4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0D22F-18F8-4E3B-8D9A-094FEB24B5E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F33CA-6021-43CC-B22F-D7234590160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68CEF7-097C-41C3-B223-1F7D0D2A04F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6609B-85C3-4629-86AB-B499E6873DB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564F6-8B88-40DD-994C-CE1E6E166B3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889288-A0F9-4566-BD08-72249EC25E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2377A-4E9B-4D36-8159-1A67642BFBD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720D0E-286E-4ED0-9FDD-6BE546D5972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F6AC4-EC6B-4ADF-8B59-1A0638E41E3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66CD4-CE10-4FC0-AA6E-39F8AC49F07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40BCF-2165-4814-B565-A120F577B23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5F8061-FE6E-4F17-B672-33B4A306C58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B2C63C-CC9F-4EA1-B3F2-05782D959EA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56685-2333-4134-AE75-A40BE6F4D2E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06CE9-2F5A-4D64-89B4-DB712EA8A18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F0EA3-7161-46AE-9EEB-E6A8CF9FA41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DDD80-FADD-4D27-A484-760E73EB6C7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F8704-6937-4C92-AE52-8393DD3704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DFF4F-D1B1-4A1C-837F-B4D4994FADD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93AEF-CAA9-483A-B0CF-9B0EF51E087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20247-6DFB-4B0A-B809-225885AC5ED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6EAE7A-D9C9-4A24-B06F-279BA8F4390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745591-7782-4BD6-AB82-FCD0425C44D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D081AE-5482-48BA-B9F6-4ABADB19184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CA320-E334-405A-A93D-4E39A7C636A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FE76A0-B16F-45DD-B275-1C62B0EB13D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6B035-DED6-4844-B775-3B7F6B34DF1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516494-4D0B-4F93-B9FE-745C4149207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B8CF6-3D5B-471C-BAAC-54E07760DCD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CBAE3F-B2F1-45F2-8172-993015EAD82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1EB1B-C675-453C-BDB6-C65505B89F4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B65AB6-5196-4DCB-A828-84435FF166A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E257F-700B-45AF-94BA-F116F120869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01A92-315A-43E5-AA0B-B90DF5A7F3D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85816C-D2CE-41CE-90C2-08240ED174A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AFB9B-E501-4482-8539-1B1440C083B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3BAFE-E92E-41CA-B1E1-0167B1151E8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FCD75E-3E5D-4D17-A087-37022EE5E97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13B3F-3245-467F-B44E-828AEBED758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22272-DDEE-482B-8E73-58FA15FF568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EDB063-5227-4F85-AF75-9C7A192E61B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44433-54FD-477F-A859-0AC81F801AE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666A0-DA84-4729-B8C9-901C249A72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5CD3B-28C6-4F51-AE44-BBF8F9A814D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2B4DF-D0AE-4159-BF67-DEC98EF6F1C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2C8D5-F7FB-4443-B185-68DD29A597E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E53C9-E538-4082-B15F-0F5E6551F87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679F7-665A-4826-9428-162FA32AC1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FD941-7543-47AD-8823-53CB51781B0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F23B9-21F5-4AD5-90C4-C7CBDDAC460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7A841-357E-4119-80B3-90A35144E70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15D47B-16B4-4583-BF05-5F140D8BC78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0A47E-F562-4FCE-BBEC-8E554B956F1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F00EBC-381E-47F3-9F41-3A9727B9A10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31C2B8-85DA-423F-8953-22518FADD51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AC09D-3069-4644-997F-BC2DBE500C0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FD1FB-70AC-49A5-AE39-D8C50C8D0C7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C96A79-96FC-4B24-ABE9-154C53D31A4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FA84AC-A7A6-40BB-A973-C64C42B8447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42CEF-4D61-4DAD-89BB-DE0E87C96E1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0A9FA-107E-4C64-90B1-D2FE0A8707A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F08CC8-C056-4283-93DF-64906156863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0A508-807F-42E4-A788-741A221AE76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01E6F7-EFF3-4C60-82B6-B9AC3713905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DDB32-0F93-42EB-8A66-A4E1C932641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E81DD-BCDE-4B9A-8E5C-0D0A21658B5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4F8653-7EE6-4CAC-8B7B-F1B583824D3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B3746-C4C3-4307-8A97-69C150E3A5A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D7BCE-7468-4703-B414-58D800CF57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D7ECE2-BFB2-4D17-A02E-F2226A96E12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A9968-539B-4366-A31A-856DC4FDE97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D666C-B97C-440A-8879-E52548DF1BD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A72BAB-91AE-4B8B-97E8-12BC7423E89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ACE4A-C5E5-4415-8A5B-AB0FAE962C9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465B8C-F265-4872-9F8A-6E4619D6A5D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C02C5-70DA-4D68-9D47-B290F3327E4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F68118-6EFB-45E4-9835-D45D5BF995F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7B93F-F375-4237-BE9F-D893C80C4FA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0C9AF3-BE65-4B79-A0FB-E8767B09372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D4388-B324-47A9-965B-A3DE7201942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7C8121-A615-46D8-B74E-D2A30D4F4EF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0A582-BE7C-4BC7-8FD0-E05A14D9EAD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5572B-3C31-4B7F-9940-00597DFA9B8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2DAF2C-2389-4C26-960E-E14F2BDD313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CB96E-CBA3-431E-8E97-1159D4C1129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F6993-170C-4EFF-B9FD-0E00EF9CCDF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B07D4C-5048-42F8-AE20-682EAEFB08F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61602-FE02-43E5-A8F5-18384E4DBD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D862D-2D72-4986-BDB0-ED61ED475D9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4D2CFD-93FE-49CC-8209-728341BBAD7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D19B2F-BE8A-4D10-A80D-F5EADC99599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B6626-C0FA-4DDB-8147-0480AC5AF17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97FDD-DF73-493F-9F0F-7ECA0C9C6D8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BE4CD0-A17A-4F79-A45C-2EFB47F039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CAB6C-07B1-4996-BEA0-B0BADA2B2D5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4DA7B8-D308-472A-9EC7-9011B7D397B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59278-A04F-4BBE-AF47-FE6A54579B9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4D80F-F22E-4D2F-8656-9F7EE32BC2E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EB95F-BBF4-4AD5-996B-4FE54740D04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1AF22-9A67-4949-B392-BEBF5D06069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EBCB7-D08D-4D91-9D63-F120908E873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F514A-DA91-4D8E-898D-7724258CA38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A37DCE-F595-4D22-B390-252940669A3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2BD068-653A-44D4-B8B5-D9910F654BA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E3820-FBF0-4EDF-A4BB-95C6E45F8A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AF61F-6F9B-49B8-8AA8-59ABB8657CB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A9153-1888-4BCD-A4D5-E53286B58D5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96D9E-59CA-4469-84A9-7B436E1862C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A6B9F7-F328-4EF5-B372-B4A548338A4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86DDC7-DA14-47C6-8E30-23B3F342104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6CCA44-A855-4BDC-8298-23CAA2B1E8D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3529F-BA9E-4338-81B4-AF70CF6416B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E3B2F-CE8C-4A70-A373-D7478469F83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D929B-DDB7-46E9-B6EA-27579CB432C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7C70E-411C-4690-B3A1-192AC471AD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5165A-29D0-4227-BAA2-8D3C34B0CFA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B536D-616F-4418-8B4B-03B21BAD654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42501-ADC5-40DA-973B-80EF2C734F9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1E614-6D91-4AED-BF28-FCFBB1B0972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86D56E-68A0-4013-943F-F7DF7BBE71D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30D16-4554-41B4-9EA4-D82F35CEEAB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56C8F-2F96-43B0-BA45-F0F63EB1D73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F4376-1651-42FD-86AF-07BC51B523E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E17B0-F2E3-4558-A559-DE7A64CB3EA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27503-E3E9-4473-BAFC-1655CE9BEB8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513B6-091D-4E76-8C16-353978491BC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3DC62-A00A-473E-9CE8-8D0BE41C490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ED798-335C-4055-8549-FA9D709B63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CF3EB-786D-44DA-ADD2-4D24F2E15A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45531B-77A4-4842-AA33-06D76B080C4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2F413E-3D1E-461D-A018-9ECA0E00A81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3578E-9C29-4062-8AD1-0F6CB399214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6ABE82-70C8-4AE7-A5EF-171714067D8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30CFC-D1E1-47B3-A417-8DC2BBAD47E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28EC5B-4DB3-4DF9-AC15-0D56B475A54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9B3809-23A3-470C-8836-A9F9651FEDF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AAFFF-FE7B-4E4B-9D05-683B0ED58EC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C25348-F2A7-49FB-B2A1-E28DC57CD40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B2A6A-3B81-443D-AF77-B960199629D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846AF7-B3E1-4939-A406-9FE267B4D84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8B265-6ADB-4854-9AF0-9E79C41F824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205AE-7301-4FBF-835D-AFA936A2B99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ED6809-A618-4310-A1CE-8DD5C07F17C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86809-28DC-4CE6-AB30-DA01CE64E29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9C592A-C1F5-43F9-B11C-6ECCDD2428B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BE1861-57D2-486E-AE94-53414E29ABD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1BAAD3-22A5-408B-9C7F-05AE675C672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D94997-3707-40E9-8F91-8BA3321A3E1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F77CB-279A-4FC4-948E-1AC8CFCFEA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75375-DA42-4B89-B47C-D40CBFCF417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819AC-1079-44AD-97A8-A10CEF975AE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66639-A133-4696-99D0-AAAE4CC166C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F9360-BE85-4E26-AE3F-4CAAA7A5A7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1998B-04BA-4868-8894-B8295074F13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2F652-6BF1-4673-8ACE-9FC4ABE3B9B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92D6F-9833-4AB8-A09F-39219BF8050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E984B1-63C8-48F8-89AC-52F1D8C3C40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93DAA-C0D6-4508-8BB5-CB8E5FAD7AD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ABAF6-72A6-4D27-A41F-C52BDBD9FF6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1F9BE-76F0-4365-8819-4D769AD075E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C7A92-32E7-42EC-985F-88D228D9369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FDB3F8-F231-48C2-B97E-B9C1A9B8F09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B3B71-5A98-4976-8EF0-157038384DD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125838-CCB3-4760-A99A-C6169DC3F30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936DC-916F-4781-BDB1-E7AC4A44DEF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865184-EFC4-4077-9689-4876B294AE2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2E59B-6299-40B4-A85E-E9085B89DA7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718FC-0F46-4AB5-8B29-0908AF5AE6B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ACA2F5-43DB-43D9-B784-9B71402EEB3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D335F-E2E4-407B-A7BF-6960AA7374C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438B3-B2C6-470A-9632-F19CB73195C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51F635-3E17-44A7-B649-279EEB174DA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A2D0D-8C4B-4632-9D0F-76C6FC4B2F5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9B1DF-2033-4E76-8DE8-A6380AD5C2D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F1613-15DC-4410-81DF-3EE98AB316F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CEFE5-9DE6-4561-9B39-9F1AE6E7D5E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E9C44-E59F-4324-A12F-E5728E8C7ED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FE1305-C02E-4CF5-B151-0A78BB45E97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90F178-992F-448F-9725-D2F8DBFA1C7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A74C4-BE77-49E1-A12B-36D691888ED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4F4CC-8653-4EF1-9407-698B8ACECED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9D359D-3D09-4CC3-9BB0-A9D56890EB9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ECDA0-84F2-4F78-A697-C0F3B544B5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5C915-D4DA-4709-B85E-F80FA7FFA46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2AB53-3C38-46FE-B934-B7F6334499A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C43618-75C3-455F-AB21-A593E283736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3E5C2-15D4-4FCE-8AAF-8045A540E9E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FA5FF8-4023-4D56-B0DD-EE5687D23FC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C985D-EBE9-4BC9-9FD6-C2DF56B8D7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5404CC-F67B-4650-8BEA-8CC1630D782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B8A377-C4F2-45C6-8BF1-1EE05E20257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BBB0A-CEB5-43F0-92B7-C336FEF9C33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95EBE-690C-4B4A-AA5A-C48BB50D9EB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DE646-62F2-45BC-A0D0-C7DFB482B6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38BA3-F3CA-4888-AB28-CDA624AD979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CD6C5-310A-4FDE-BBC4-9FB9747BA25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6412CA-92CD-4A21-98EA-B5F6ACC47EE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C667E3-AFFF-43C6-A48E-8B8C922B382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72CE0-18A8-4DF0-976A-3EA8500F51D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2E3A84-B594-4111-8334-595A6779EF5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2E101-BA6D-4743-880B-21CA70C8C45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5F3F8-4BC6-49C7-888E-DB32764B57D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86B53-2DED-4320-86A1-9D951F2F19A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46AB4-427B-4D27-86F4-81528ABD711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DEE5CE-7523-4032-8D02-5F90B87A31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2845D-7072-4AA8-A570-BDE059120A3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E7712-298B-4787-8D23-1C15DA5F8F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FB3BA-3321-43B3-8DEF-205A000FBF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B3C95-842F-4F07-8BDE-BC5D1083AB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C3A0F-3AAA-4944-B00D-E6DE58BBF5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81826-D7DE-4EFD-8245-ECF67749B4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C4322-70EF-4771-B156-95D545D198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9BE9A-5390-479A-9344-FFD439E829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F87E1-A73F-418E-B598-F31B8E5B9E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26AF4-71EF-4177-9062-5AD263883D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10D58-E0D2-4606-B972-D404348AF35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589D9-1A91-406C-A9AB-A49D7DDE375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42E5A-97ED-42B8-98C9-ED1F14EA75A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76559-F76B-464A-B2E1-FE6A543E7F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0D88E-C4C8-46CF-98EC-AABD8A3684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9C5CC-2803-4598-BECB-3C36C1FA64B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06C14-E78A-46E0-8B06-E748421EB6D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DE282-BA64-49DD-BE04-9BC869A2CE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1DBBC8-8234-4229-9D4E-D818030D14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97ACB-A6D6-4004-822B-A6F359DCC6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D5498-5C3B-4448-9C32-3682396CED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D062F-A2FB-4283-9FFB-BAE2BDD2528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456BAB-185D-4E15-B224-2345B2154F8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A6CC5-1938-4071-9DB3-025DD5F13BF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F4C59A-1E06-4548-AE44-20AC4D8A1C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83E63B-B906-4789-A9A9-706B7668F9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590402-C6AC-44D1-A477-F22E1C95C2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E5705-C1DD-4829-90AB-A4156050ED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313BB-3B62-4E97-AA7E-8B363F7D63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3A6FF-21DD-418C-BA2F-BD07D3156F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24E476-F982-4DC0-AE9F-70378C618E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C28F7-F401-4EFA-99AA-DDDD5A94B4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F2DAC-97CD-471D-946F-F1BBC2D35D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15F58-AB37-49A2-A79D-FF48F8FBB3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215DB-17F3-4965-AC1E-B9BF3AAD15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76782C-639E-4AAE-82CC-DD321EF6F5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095D7-1FCB-4E6D-99D1-B839A6C2601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A45A3-AB36-4C80-92F3-6958E783C8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06D67B-F355-49D2-A87A-45740F3CF4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45F3C3-A4AB-45B9-AD66-E30A792C03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B4233B-F155-4143-8786-62302B04BF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6D9A0-50C9-412D-B498-2C9772797A3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E5472-B020-4732-A6DE-0C018AF53E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12899-1CD8-47CF-B89B-237A079662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8F4F7-E232-434D-B0CA-C9B8B0ECE8E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29724-0C33-4E79-BA50-C49BE429A2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F2515D-A2E9-44CA-9036-66AFA5FBEE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C4721-A5F1-4736-8F5D-1A77378935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D4CAD-F86A-4BD7-AC2D-F8BB668412F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129F3A-3C93-4872-8D09-11BA247872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3DEA3-F312-476E-BB1B-06EF42DEC50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D15118-52FB-41F0-BEF2-4D84CA3FF0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5287E8-F0BA-4E58-B891-5942BDC38E6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61476-6268-44BE-BC1A-4DB023E543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ED3C8-FF0C-4A7F-8697-8E09520B7B8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04919-92B0-4B8B-B6C3-53B4B264A8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4C0D5-21E2-4189-8DAD-F4AC8477897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CE640-D858-466A-9509-6C09ADDD19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F5BA5-FCCB-4AEE-ABF4-3B503D35A1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B75132-33F0-47AB-B0D0-81DA970DD6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05D2C-5AA2-4658-9409-B976EED331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45276-5C49-4DFB-AD19-65415EC647D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64082-7D18-480A-AA42-0F7E4900BA3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D45B8-6A16-441F-8351-44EA2CE076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48D55-7569-4E63-94E3-35733FAE0D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D1A0B2-1E35-47E3-B80D-4413166BB9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7D6E3-CD0A-43D1-9A49-F382605538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82E9E-70F4-44CF-BD0B-375E36CF84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A0FC32-2158-4BB1-8E12-99B47E8E61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E22FB-52B1-4444-A04A-F443F5A065A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15593-C20D-4AE7-BDF8-F1A69B32F2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D40C24-64A8-4E44-BF47-214D60922F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FBF8E-CDDF-4F1B-B615-2D9B3285F3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9823E-A5D4-4E2A-90D1-19D83A8A1B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F5E44-7EEE-4C9A-8162-E77A50DEEC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33629-6862-48CA-9D85-2E5A831E0B3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AB2B05-763B-474C-AF82-53F833E9E5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69BE6-986A-4CFF-BDA6-AC98D1C75D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922E4E-0D08-4173-B70C-62491D06B2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69AEF-BDDD-45EE-8C5D-BFEDBC0C39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1CE86-4660-4829-9CD1-FB264765A1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E73B7-7C4E-4089-95E9-DF4C00E55D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F99C71-5FD2-464B-A561-AAD34B3A21E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A6ED9D-80CA-4D5B-AFF9-625E28DD26F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B3915-9F85-474C-A3C6-18B1D22D45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36D2C-F51F-4339-BFF4-DD594147D00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F1BC3-37AA-41AA-BB11-63A91C5CE5F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4FADE-3C4D-4513-8C70-53944EB25C9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59E4D-9E9F-4445-B640-7AAA5F82ED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4BC33-E5FA-4D94-8710-BDE2EA84185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F7E00-66F1-48D7-B957-7BDC3F5969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B4A9B-FC7C-4A12-B7E8-A71582EB040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F3735-5E82-4A64-AAC4-2A675C536FC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6E44F-C4FD-480A-95CD-31B46E32B9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093CD-D5BC-45FA-AE8D-E2A6FB9413D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4EBCF-7AAC-429B-9A2E-BA843301E1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FA5DE-753A-4A67-ACD1-1DD25ADFD0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31590-7F9D-407A-A500-02A2F6B3CD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3C3A2-7BA9-4C85-B7DF-6A4A82DDDA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21409-2677-4478-B39E-7AC5340757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A986C-5F22-4530-B68A-8B91520911E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025B0-075A-4257-9130-68113991380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6CF29-6D4F-4C6C-BE8E-E77DF4D53B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9BF30-BF2E-4A16-B0AE-51CBB233ADE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3C152-7C1D-468E-9C54-770DBE268E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42E581-B6BF-4CC6-B4D2-31066F6151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613C3-4758-4328-82BE-66E95B72AE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87656-FF84-49C7-BB1D-DDCB155891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7E0241-A401-497B-AEA7-F86A8E1BD1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1DA55C-BAE9-46FE-AF0A-D520F95C49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D22DD-5A80-471B-8BDC-ECAE3E7DE57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6571B1-C984-4A25-B09F-1C6E659E50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9AF0AC-A561-4755-B767-262CBED3B3E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60C79-D770-4052-B2B4-C36C3ECCDD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CD871C-80BF-414B-87B2-4AD89A7F9C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9B668-17DE-4284-A7C1-FEB497A525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F9A06-19F5-4701-B7BF-E7059E1BE7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77CB7-13E5-4CF9-B01B-62C3C1584A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49A7A-4823-40F5-B663-714D2A1E41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35EC2-59F9-4EC6-8BEA-381C9877E6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BCF60-7B01-4135-948A-34030A317D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2FB94-7454-4A48-8052-7C01800748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8B6FF-B64F-4075-A879-F374765BC26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0F67FE-55DA-4A03-A085-B88EDAAA753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F1124-9D4C-45DA-8C2B-C074C7F581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0F9E4-4F7E-4D3C-B091-DABF16F3AC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05CA24-02F6-4C78-97D4-E8050D89913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F2346F-91F6-423A-A38E-04DECF8F60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20C827-423B-4280-B8AE-FCE6FE8B3F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308FF-5D62-4754-9F2F-8A47B269EF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27CF5-7BB1-4B47-9FA6-0EE508094F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14149-9C5D-4C3C-9316-8D251877276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E0086-DE52-414B-B1DD-88D83825CF3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3BD0DF-B688-4052-9508-260D6A82F5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A6FDA-D859-4834-9C50-9587F9D7A8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93072A-5345-403E-9336-31B98293F8D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65E3D-77A0-411E-86D0-E213E136CDC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8FCC7-A29E-4F3D-92DA-C2C7F23314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A2BA61-F7F7-45FC-A775-027811DADBA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D436B-8F83-41D8-873B-6A57BBE121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1DC0FD-62A7-4E56-A574-9E9909C170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5A8DD-AD09-4750-9E65-0A34E30303A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8E2A8-4CBD-4E73-9736-7D3B80E011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37776-8188-42D2-A89F-2ADC90E75D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DDFAF-F05B-4161-8A82-3DC080E4BA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391CB8-07CD-4E6E-9FF9-5204ECCD33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59FF2-F375-4B72-AEF9-016254BE283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4907C-8429-4F2B-95AB-1B7B4EF26C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BAE15-437E-4E88-AF68-7E5E39F65C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8F52E-EB1A-4C1C-8725-2490A643DA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35A8B-ADEA-4BAF-8F51-3A9D46227B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47F7B-4C7A-4463-9F4E-F50E987D42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1AFAA-EDD1-43E3-957F-8966BD565E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69CB1-19E2-4F45-92B7-8141E56BF7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A08FC2-EB48-4BCA-AC33-643BE5FD1E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0C0AA1-94B0-48D0-91A2-80A6F5F00A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5C19B-523C-46D5-8F98-FF5A00B7ED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A8F26-A30E-4A8B-8842-5E3511A837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52247-E231-4F73-9D73-98135DD6DE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C923CC-788E-4F42-AD9B-AD47A82756D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278AB-86E8-4AE7-ACEA-709D7243D1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126F4-C61A-4D95-B5B1-04DF1AF649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EC0A6-A553-406F-8872-970110AA00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A7186-4FEF-41C0-AD7C-7AEAE18B64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5459E-E855-4215-B9C3-93E2BBF6DB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2D3AD-0044-4E99-B1BC-1770237C4C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D2D9A-28DE-49B7-BB6F-8E5B734EFF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1DCEB-211A-48CC-A568-127F6988D2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11BA7-A5CA-4713-8FD9-133550FFD87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71CD9-B6AA-4040-96A5-0BE8C4DECDB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78D8C-0344-45C7-8E01-7750740C9CA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3702DC-676F-477D-AAC2-C4F94845005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05A14-B9C5-4C13-BBBF-5AF5963F1A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52CB8-2423-4E99-8DD1-AA29D443A5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AB739D-0955-40BA-87C1-50D739D473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F1F57-E5A7-4397-AAEE-2A09286277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A3AD8-4074-4554-AA44-68DD6C5814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ACD66E-B38E-47AF-B32F-83F3FB067E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D5A2F-194F-4EE5-BC60-9D292A3276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2E180-2A44-4BB9-BE50-96A24336E88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C6C36-9F2A-497A-BECD-196E7DF382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93293-0C2D-495D-A874-7E89AF128F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3A6C1-8DA3-4234-BA63-F1529F19AC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038ED-C350-4DD3-A4BE-3F274C29AA6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33558-6BDB-4191-A4E9-D2A4F3E157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6EE59-6BA8-4B9D-955A-B543BE9D685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93FB7F-FFB9-485C-BD06-D896DF6D78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3FDE80-86D8-47EB-8A9C-F3B2AA9C64A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F8CAE5-E78E-4827-B466-AD9EF914E4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FE35AB-4942-43D1-9C4D-FC911812AB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B660C-F141-4FBF-94E0-667AD4BC95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BD926-E24F-4DDE-B185-1DBB13F0FA4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C8715-7B56-4DE1-9CB7-874B5F9BA38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E21EF-DBB0-4B72-95A8-BA9DCB8D59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4D351-54E3-4A66-A94E-4D33C03D60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6D89F-8848-4D8D-B973-1451EEB59A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409DA3-BAE7-4F3B-872F-64F0958D3F7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8D3C7-530F-44C2-9B29-F062BF63E2D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83995-7069-4AB6-88FF-A4FE9747E75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5AAAE9-862B-4583-95D5-CA6DBBFD9AE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51D9E3-75B0-4C28-9131-A3A8A82617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5B5D9-42F8-4A02-8E3C-99F140CE80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EAFF0-B211-4454-BFFD-AB8AA60A41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93FD4-3B1A-4933-9853-A8C8C8EA4A4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C117E-EDCC-4746-9D40-8EB4BFE1E27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353B6-624B-4565-BE2E-062D9D1CA93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2C85A-E596-4D6F-9530-955D88B7750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DAB83-5912-45B7-B746-B4A668EF1B9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ABD307-1BE8-47AA-972D-D75778C270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78133-7692-4259-A767-12CC70125A0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9B1ED-38FA-4EDB-A0EC-68C47B35A30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A9C37-80AD-4CAF-B3C9-04436EF684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B23EA0-E4DD-4E78-B4EB-34980F09A6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62344-EB3C-4E59-9703-9085DF87CE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D31487-400E-45EB-AE67-E0E44EB2A81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52E50-04BA-4193-8FA6-7CCFB23B96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77920-F10E-47A9-BC09-7F3AED0DFD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4E56E7-ACDC-4D0E-A372-2C0AC44866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6B76F-FE8F-4E00-8BC2-045AD4DEF9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764E6-ADE3-4CDD-83CE-538B36C76C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24D1B1-19F6-438D-BCDD-E95A624DD2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057D6-3020-4831-B954-15EDDF62A9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0F1C1-6506-4024-AAE9-CBADE9C784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8D8B6-8712-4C48-AD33-5805E61B43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9A4EA-A597-4AAD-97EE-6944D50407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66DA8-2275-4E92-8CE2-609DED17B73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DA18D-6C1F-4D1E-B83B-F22EDA5BB9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C2612-C5D3-4318-9443-BB24BB2376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7BEC66-35A1-4891-ADC4-188BBC362FF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6F1920-5930-4B28-BA83-8F1B7B06C2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7A1134-D265-468F-B228-2A269645B2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33F69-2A00-45F3-AF01-7B92004CC3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FA1D4C-09F9-4550-B2B6-35749AACF2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96B1A-C4EB-48A0-8E3D-C081FB30DD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F2810-294B-4154-92CE-A0E15F474D2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2B5F2-B979-4A51-9238-08EC8543C0A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36F06-4553-44ED-A967-4E82496E27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EE89C-2CED-4DD1-9508-322D04D4739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D7A6A-703A-4EDD-93DB-2898B79819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DB1FD-8F9F-4A06-86B5-C32E9EAAFC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C5868-06AE-47D3-88ED-6CC841ACD6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33A7B-9F3D-48B8-8B76-117B92DAAA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200AF-CCFD-4A01-957B-891BCB1122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E0018-F849-4217-9425-55598BCF05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4A565-57BA-4CD9-BC8F-234CCB95FD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94886-6C96-41EA-B854-17F5E18C09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A90EB-0585-401D-B58E-E0E7E74556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097C7-A336-4E20-B7D1-C76E85E495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8018F-17FB-490C-AB71-076E067774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7E5F5A-7CC5-49C9-864E-D7F04B9733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97406-8B17-43D2-8741-79D5589E10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D5EE9-7626-4AF7-B240-2A141D4272E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FB3C76-5053-4CEA-B537-3468C87A48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3A9B49-CD98-409B-972F-E127D969D2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AA2D5-1091-4C7F-846B-358A539FB6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498FC-C8DC-4AA0-8FC4-99C1270474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F7BC8-2A54-43FF-8500-4223129C62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0A841-5FDD-48EF-A683-F45E836B2E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23164-2B66-4007-9B7B-617BC02F71C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6E6F8-E946-49AA-B929-E668E41E95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9A209A-7311-4F79-8D62-84FE8F6E3A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65809-B12B-4B54-A9BB-C070F2A5073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D4FB9-157C-4268-A290-0F7674302F3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D45C2-F631-4923-947B-0586C24AF5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A18F20-73A7-4428-8E22-7D3937A849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FE3D4-4240-46C9-BD0B-0A24A987D8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E88E5-98C1-4700-8361-67CAD114FD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4A8E4-67AA-4233-89B6-466AA65AD5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A8E30B-73EF-4DDE-9812-F32898EC6C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95160-DEDC-4EF3-A8DF-F838756F137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939AD-08BA-46AE-8E93-F774422008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EA7FB-C73B-4EA0-8EEC-37E2E77BD3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F50FA-B8D2-4350-A87F-90A164E1205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70AA0-98FF-438B-B441-6028D2C6C6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13383-3C45-4790-A353-5221B56F2A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056E7-5022-4C46-91B3-8B83C0F815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D86730-C850-4307-9ECB-15B0F8C6AC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F9EAC-30E2-4201-955F-1A6819452C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D9E34-2734-4572-A187-CB969FA58D3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1806D-FFE4-413F-80E5-4E133F6B48D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F37F0-94F7-49BF-BDEE-B89B4A5276D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612D01-0105-4ED7-AB6F-A7CD491121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B5007-7630-4C4E-8D92-0FCEF41216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43DA4-39F4-46A3-ABD0-77CAF9F111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B9FBF-593E-4B29-8C6F-A107713B0DD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657BD8-CEA1-4FDF-A16E-04EC5F76770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AEAA7F-CB01-475F-9653-EAA1EFD7C6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BAECCD-4223-45B9-8ECC-C73FE268853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6857C-7CAF-4B9D-94C4-B532DB48FB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100547-D88C-4CDF-8F16-2209C864B9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910E9-4AC9-4048-92FF-8EB2C4050A7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EFDCBC-5C25-4553-A25E-27D4EA72BC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1B7FF5-EC04-4B73-B105-CB935487E98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ECA28-050D-441B-AC2F-9FD6F5ABD51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4EE92A-0A37-4E7B-B83C-AE8CE940848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296FF9-309F-43DC-958A-9E85DEF5D3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95582-24ED-4C1A-9BF7-A762F7E62D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2276F-3079-4849-95F7-5C2C334345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88ECA-9036-46FE-A890-C3788851F8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E4C0D-BE59-4F6F-BC43-BD0A3CAFE0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825EA6-AD27-4DD7-A086-2A6C20387D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75CCA-AC95-461C-8A17-62AAA0002D8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8858A-7000-41E8-B05B-FE939ADBD6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F39FAC-709F-4499-9068-D50BBE190E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37631-C771-4090-8334-847FF8DA62C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921664-3CAB-4647-9876-5E40C6C765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D423B-4E49-45DD-A767-9DE99CF430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F97FC-CAEA-43B9-A043-D72F454D22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7A261-A293-45BE-B131-A452F5C7679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51B3D0-B567-470D-A6B4-E898DB3FA2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12A2A-D588-45A2-9264-21E427F1A4F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49A6D-A09F-475B-B916-FC2B0BFFAA4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DB7D8-C894-4D12-8161-E6947F3B3F9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000628-7755-429D-BFCC-ED39F5BEB3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784AD-E602-413F-BC3C-6013180019D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1CC5B-B44E-4CF6-8CE8-ED933CD51C0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CCC89F-0A02-4C3F-9726-A6417148B8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8E1F8-7654-43DB-BC7E-BE2C09E51B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960F5D-6C13-49A6-807E-AFF73A7A2C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341D1-4E7E-48A5-9538-6A02B8F99AF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BA4EBA-A8B3-440B-B37F-D69CEB7685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382A9-3B12-4AF1-8A04-CAF877984E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7836FD-2055-4198-A0AA-F93CA4560F6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92EA21-EFC4-4440-A728-B1A4E3E54B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94627-5EE3-4ACF-9B7B-62BCE496DE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3C193E-A8A5-4A5E-A321-25491F20E5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CBA58-CE2F-4B0D-BE9C-469C34B014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C46C0-73FE-4633-8ECA-66442F32D9B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977D3-7B71-48EA-8604-64F835119F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9C235-74F4-4673-8ECD-222544CEDC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E367BF-AC57-4188-9078-9DE9CCD113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7DEB1-497B-422B-869A-645D80D38CF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B4387-B532-412A-8568-147CE14CD3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9EBED-A9F5-4D3D-9D4E-BF79D2D4237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2D85E-967B-418B-B38C-CB63A728FC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DCADED-EAB7-42E2-98D4-67AF6959180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ECD763-E5B4-419F-9CD0-0A8BAC6FEA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D877F-819F-4EB9-AA3D-0FF5221E5AC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0F04BA-4210-41C8-B63E-F1E39D28CF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AA5A0F-5469-449C-87DF-F77BAF478D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301A8-3DDE-42B8-99E5-725DBE09F0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99788-ECB1-496F-B1F6-F2D50A0C14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7EF8C-A462-44E1-B299-4CB9A59657D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155CF-05BD-4E83-BFB4-604E4879C1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692245-0397-4F51-99B6-FBDEFABE67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1077D0-A09E-4B28-9108-06F812A59D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B2D99-C048-4C98-935A-B9E513AA5D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0B6006-0E9F-45A3-8040-D01578000BC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63483-0D78-480C-A7ED-586F61ABF3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07CBF-5265-4563-A000-DC2028CC575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C63D2-A059-423B-A13B-EC0A973D7F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8BBE9-70D1-474B-B20E-E8D404E41EC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B77E2-D549-4606-BDED-5D46700A933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714C0F-C63B-4617-BA9C-CAC231BE63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321D5-6748-4F7D-BA03-41EF0DDD9B1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AFA84-41B7-409D-9DA4-F880EAB369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0C948-0651-4B1F-9FDB-E53569CAE3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2A0E42-9C47-4981-8569-37C17E177E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14E63-4220-4EB8-A553-199093ACCD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885FAD-8E5C-4FFD-B4B0-CA099E8B53A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9415E-2592-4CBD-897C-56BFEEB2A9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C82D3-7D38-49B9-A403-5DF20033977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82637-F917-457F-AF52-BD95B45AF0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16C83-FAED-42FC-94E5-58CA330C63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3600FB-9214-4459-B476-3208F54893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77D4C9-1619-411A-90A7-71D0C48ABA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FE3EC5-1DB1-4F79-86DA-43BC5C89F21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96AF9-192B-4A4E-9966-A768E3A0D4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2D124-BC75-4729-9464-631F148497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FE48A-A802-4885-92B3-1989B084CB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A988B-1B70-4882-A442-CD780A5823A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90AB1-6D7C-4EF3-80E1-7F8835C7BCC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05B99-661F-4656-9473-4131209C4FE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23AA2-7949-4FC7-9737-08DBA5E0C7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DE6793-AF8A-4DF9-BDE3-12F5F114B6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FA8CE6-8EB6-42EF-BF19-B742A933F8D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CF1CB-1133-4B0F-B075-7667B1E57E3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81A67-6513-4E43-A95F-4E9B7C6F0B7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8707AA-2F24-4A09-9D7C-E02F55AA65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F87DB4-D2DC-4365-8D94-40E52EF8724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6C0A90-260E-431C-ADC1-7031E617A2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62F86-EE84-46E7-9D38-CD61338F41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C9A649-3B5E-471C-BD1E-409FF4FB4E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34846-FD70-4F21-A99B-6ED1478DF0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6C95E7-9A6D-4461-A28C-8ABABF8BBB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2A2D5-4F71-4D2C-BFC8-1E29A436B4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CD515-2DFC-444B-A845-860A27C8290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2AFAB4-AA70-4E9E-9FFD-A8D2DA6DFD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8F6AB-8B55-4714-8C7F-B221CF5F77A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1B15C-E6BE-4E2C-AF01-090B990C39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0466B-AE03-441A-BD76-3CEEDE47B9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FACF2-7FC9-4FF0-816E-663364B881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3E7EC-DB6B-472D-83B7-107F77500EA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CD53D1-4952-4A59-9AA0-5FF058527B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B80416-B4C4-474E-BE15-B2501D78808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9BABA-6EDA-44C0-AC8E-6998CA47E51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137F3-00E2-4C65-B457-1B7BB174B19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8493A7-18A1-459B-9781-293A078A236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872CE-47CA-4EE6-BE0F-CBBA436019C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5A5B1-C935-458B-BF64-0128B0BFD3E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5D448-5F06-413E-8143-C26629ABCE0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43E0B-627B-44B3-9DEC-77697982598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B12CD-C041-4EC4-B714-778F3A652BA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8FA197-1928-47A1-A7B9-F50D0F75215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F1110-049F-49D1-946B-E7AED703DE3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E5956-73F4-412A-8653-9E84CCA19CD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D430F-22CA-4050-8127-C53F1E2EBD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6B073-9813-438B-B0B3-A71DF80B16A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6715F-1DD6-4528-A901-6390EE90EBB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65573-78FF-4D44-8C1C-BC5423F2676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77749-D96D-4959-A51F-58302C5088B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5400B3-9178-4798-940F-80DC11DA7B5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9D66F4-1C8B-49E1-BC14-483B4A6D963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A1A5A-C6F2-4AF9-8C73-8C908048263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F3A8B6-5A02-416F-8E05-D0EA3BBC437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00E588-048A-4F77-8405-EADEDB70B1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E293A-4D19-47B6-B8D6-4288B0B1709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D842F-1951-47A5-ADE4-61F490A942B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2748F-9341-4ED8-A96C-351344B9F20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173AE-F880-4B7D-8B1A-2D135E30A62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1B63D9-35AB-4AAC-A15B-2EE9038A775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8D0BF-0900-463A-B0DC-D81EF84041C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5B8315-6389-4864-8D49-25421D2AF4F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D2F43-8EED-41D6-97EC-CB34AA281D2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38B7F-42B5-46C5-9F92-7B40F660442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2011DF-99E6-4EB3-B8CC-A95E4F48641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8E5623-142E-432F-8F6D-4AB5D375F43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772CE-38BA-4911-9F4E-7F53ED7FDE2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86687-37C6-4CB3-9C0B-BDEEFCC7DCB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0EC882-A596-4C8C-9DF7-BAFEA200884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3B0E14-B958-451D-A490-3812E4EFA4C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645D3-3E38-40E4-A265-2072BB9EBC2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197E4-AD50-4187-889F-F58AF500B83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DD9E4-F775-413F-9746-251B5E21F22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6F6267-DF61-4E78-A56A-F4949B6AF01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98BEE2-57EC-4E01-BD65-238CAC65B6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002A7-3296-4F8B-9A08-E0FB21EDF0B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7C6D4F-4975-4992-8E98-69EC1B7E47B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7B333-C111-4A5F-B9A4-ABBC701E168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837BC-1D11-4C08-939A-83E174B04D6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E56D1-BF8F-4B2A-B800-723905CDDEF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46D12E-ED7D-4506-9324-F81B8C6498E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262466-E682-4E07-989F-CC5E02E5C71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A224F0-A672-4498-AD46-D10D91D6692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03200-BD02-4C8A-AA96-48A90C7551E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54550-E068-46C6-A213-474613D24EE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81860-E684-44AB-8994-AD08CDB19F2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80BF28-6B1D-4EA0-BB29-785B987F45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DAA4A4-AF92-4764-BDC1-9DEB0C1C0FB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A24C5-FCFB-41EE-ABF7-580AC7E85F3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BD7CE-D6A6-46EA-B79E-261992F9F94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E8C43-1A35-42C5-AF8D-0D72567B4F4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E21D1-9578-464F-844A-140E7DE7618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5F7BAA-CFA3-44EF-90E5-E06B8604FD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023EC7-FB3F-42AB-BFB6-1A81990481E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6E4C56-0AFF-4D82-BB2C-11C2540086F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5B721-88DC-41F0-B49B-833205587EA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90B7B-D913-4F8A-9710-6F1CA269BBA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E0547-D367-47C4-9B1B-05A80D96182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93690F-3D81-43C3-8953-E5B0A29E270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549B4-6A52-470B-AD8F-723B2A8C1AB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28E0B2-DD5E-4F1B-8C87-2246CE63A48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491DD-CDA9-430A-A0A2-9BAF40DA9FF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05779-4E31-4F54-892F-2C587BB8746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8FE36A-DB4B-400F-BDAE-AD5775E767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F7DB4-15B3-4B2A-8949-687D0365D5B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41174-316C-479F-ADDA-3987645B362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9F54F3-B2ED-4387-8DE6-C2CB14344DC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9CC54-1542-4750-B81B-A369225DF85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AAFC30-281A-4741-BF88-F6930ACECFA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B5272-14C5-48FC-927B-CF49885BEBF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70542-BF64-4347-8F2F-F311A10BBBB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571B4-04EF-4730-91E8-1746B3B78F0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718BB-9227-42CB-AEB3-CDE08DAAEA3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39DAE-4083-4586-94B0-F13BD451272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0C96A-9DEF-4ED7-98C7-2930240CEAB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A3D0EE-F74D-4906-A18E-34A0CD3BD98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9E0D0-B049-4660-8E1F-53BCEA45CD2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89025-9234-4D59-9598-1D398983085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410B7-6E2B-4D8E-8C44-1B34DCC8BA7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61D4E-EFCC-4320-9F18-6F32C4DAD80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1FAD58-F37A-4D48-A284-4443F84A44B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C9DB1-96B9-43D9-BC53-FADAAB5CE49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5E26A9-BA1C-4E4A-A44B-400A3CD8BF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4629A-0E06-4BAE-9A94-51449C0FD21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125379-B5E7-47F8-AF28-3DF39D35962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9B393-BB3A-414F-A648-5512609A5DD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064AA-6E1F-44DC-AF35-BF808B4B708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B977CA-7C5F-4DEC-9488-82AA7A00280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5C4F9-F03F-4F56-B248-1F6551C0CB4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B04A5-EA7D-41F5-BD8C-E4E05244653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624FDC-FEE7-4B15-A9D6-39026BEFEC0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4E6FA0-7F81-4EA5-91A8-EF06363A2E5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87433-9B67-4B79-A5F1-C3EE0665282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5EA98-9921-4D9D-85D0-86CC730FD99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36523F-DB69-4B1F-A684-89D6A70A7F8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E118D-FD4C-45B4-B98C-078E9248B19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11A2E-A48A-451D-B8A6-0065270D739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4CB129-675A-456C-A505-237399E9509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A30175-C3B9-4650-B2C6-B47B35D2DB9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ABC39F-03E1-4DA8-B87B-80794DC8BE2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9D213B-1E55-4DDE-B6EF-E3B0C3314F4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53F47-15F1-4D35-9560-9AFC4EFBF9E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1D3B2-2034-4D62-9BE1-E5E19EB5F05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93564-52C2-4861-AB5D-FC14C7ABD6F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463E44-35A6-4659-9686-3B565B02EF3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564A90-8EE2-4809-AC0D-A166A2F71B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9E8BB-76AE-4FFC-AE5F-E32B6CA5FB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90BCC-7302-4451-87A4-A3F23B838C8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BC806-2076-4603-A86B-93F3523BA33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8020C-499D-4F2D-B6EE-BFA23CF6F63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ABC28-BD17-4554-A000-95EBB4738F1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FE54DE-BB4E-4ED9-A1A5-7B0D7492F09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2D80E-03C6-4403-886A-9CC19D9238B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99077-49FF-4BCC-84A4-A233E174337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B54FE-1840-46EE-A77F-4E6CB97CC6D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8FCA4-60B4-49C3-8428-173F3A3C5F0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791B3-E5F0-49DA-803B-170DC02C045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0933E-6D3F-4336-AB01-A8F1CB5EDDB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CA402-66CA-4200-B49F-CE31DBDFF3C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14220-4DA4-44F4-A5E0-D5AAFAC6527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9CB14-6098-4817-98F7-9942F8B0C6E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7D57E-ACE7-4B89-B3AD-C53CE424AE3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FF9AD7-7B38-4B32-BE08-A4F7A96EA06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87CDC-9F54-40E6-81DD-8294F46E91D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0D274-79F7-4ED7-86D5-BB69E943C89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8BE597-56EB-4CD5-BB5E-72A3F7C3CED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1D2610-847E-4BF1-BE0F-BFE50FBA16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B81E4-9AD1-44AE-B861-88215431F55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C43B8-011C-496E-AFA9-AF0C9AB78CE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C148AB-2934-447E-A807-B8D514687B2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8D8A8-66FC-4DFB-B633-B7D0BCED607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044865-B160-426E-AF31-E507BDB40C0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425B3-9573-4ED5-9AE5-375B71DA99B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2CD93-EE91-4D80-AD2B-8D2E8E7780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2E86C-9149-4AF8-8993-B0D94B3C61A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D41FC-D4E5-4955-8066-2592AF5FEE0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AADC0E-CEB0-4166-90C9-2A0E3D8F353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B768C-6276-4DB8-88D5-C18607F0995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12496-6E4C-4575-B8C9-4AAA95764E2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7907E8-B2AB-4A4E-AE1C-61B982BD51A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5F2DE-935B-44A3-B0C0-5A7F4F5F93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89A40-AE02-4834-A2FF-70AB092184C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C6011-5D4C-4B43-B102-124409B2546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F080A-0F27-4F66-A8AA-E5DF6207C21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AD80B-A437-4F5E-922D-4E932317FC9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BE97D-83E6-4D79-8C70-58256481AF0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5B8F3-5E66-44C4-B020-EA213324660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B1C4E0-46F9-472A-A462-B2E586D04A1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2731E-025B-48DB-B7B3-2F0B0973BED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5BB390-E7C0-4771-9C47-F35551372C6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99231-BC9A-448A-B615-EF35DF2DFD6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DFDAF-EF62-4CF7-B6F7-50AA1E1A247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C5422-9327-47A4-9504-003BF6C0F7E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6DB4C1-789E-4F52-BD9C-9FF67A909A2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06B1E-B6E6-440A-AE9A-53A4C27F6F8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15FEC-ADD4-4B6B-AAA4-1B3DCF1928D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135D8-471D-477C-83D1-B4F895FF1D7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30B92-D6E7-405F-84ED-53EAC35DD54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FA1E0-2A14-43AE-812D-5F826A3BD4D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D9783-6C20-4B15-ADD6-44D6946F68C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15779-E55F-4AD3-BDA6-5D84B954EE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C4BB91-38F2-4C94-B608-D97D60F6165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287BC4-DECC-47E6-BB4D-5F7653F76A3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2A50BA-AF14-4ACA-A8D3-2807E4BB6CD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C4669-D29C-42BD-AC73-E2DA707DD1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4820E-50B2-461A-B439-3B6E3662146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854F49-DB23-4AD5-8420-1FA1D5759F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51475-D44F-4D27-8E61-ACADB890BE2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8E0D3-514C-45C1-99EF-0A13545E9B0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B75A9-89E2-4D6D-A3CA-C60F9197774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480203-E2DC-4A47-A3CD-12092B20503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D20AE-91A7-4015-ACBF-339E8397697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E1F6D7-491D-4E80-894D-D325B4982D2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7E0E5-DED0-4B5C-BD3B-429C6CB339B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8CF0E-85F6-46AB-A3E3-C678CB4893F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90E04A-0E43-420D-A706-287FFFB180B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EA39E-074D-4A48-A5E9-8748A2DB906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7BC5A-4972-451C-9D29-2D0E3CACB6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13820-DD45-44C6-8188-F2684FC8025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88860-BD93-4B64-816E-46781C6B053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830231-0FBB-4635-8D60-6B7650FF09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4746E-38EB-4651-A072-5748FF00B7E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F7BA7-98ED-4C95-8BA8-E72EB1A4DF8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B3FB0-CF3E-4824-833C-6AE44A3467B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23D80-AAA9-49B6-9EDE-8F35042C6E6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C1839-A263-40A2-9972-A2769935CE0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29F42-8688-42A7-B61B-FE4E29B2AA6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31E5C-0A94-4804-9EC0-3CCFC60FE26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1E9CA-C519-48F1-A4D6-427E1F3B986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EEB01-DFB0-41A7-A2C3-5BC9FCA8B22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E3985D-0A9A-4513-9FBD-C857DADBE5A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1338A-8029-4869-8254-FFF339D0F5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371645-19DE-4374-B1B0-4271BE0016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A3720-76BF-4CF3-A893-C8775E887D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BA253-5144-4BA9-B414-50A9C126F8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FDC24-A4C9-473E-9F5A-188E2F9C073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CF155-3449-4A66-9BD6-BAA39A9349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D70E9-0D0C-4C7E-91EB-22F22186B53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0E2FA-869F-4FAD-AE3D-F586EB84838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2404D-185D-41C8-BBAF-B40FE9A7E2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499A5-867C-48C9-9C9E-4288A2C29C3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9E77E-2FB1-4649-9977-B5C70D89C6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28E89-A4CD-4EE6-9551-1553C5ECB1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A903B-20C0-404C-9143-08A2EBC8BE9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E04C2-6D54-4227-9859-CB963D437C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111E4-0229-4F9F-B169-1098EE78EE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9CDCD-36D8-4871-AAD0-07EB3333AB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DBDA54-2F7C-4DEF-AADC-0D360A2C90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8AD12-A9E4-43FC-BB9C-9FC2816D29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FEEFF-EA36-4D76-9D26-1BB65E82BD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D8DA23-4798-427B-971D-D044CAAADCB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6CFE50-E2E2-4EC1-83E6-23D1756B57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794A2-AF4A-4FE2-B5B3-DB31E26322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65004E-F329-4AA3-8300-AA9B65147D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CB2C8-5AC2-4899-A93C-C45143F201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A1EF3B-4DA5-4E5E-B2A0-78F69F9181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FFB82-3D94-46C4-AD4E-BB7551A542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CFD90-B5A7-46DA-A5BF-815527FA00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6A086-9714-4FF3-B22F-EB9604EB13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AA4B9-A8AF-4E2A-8067-CA03FECD99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6B575C-40A7-4C30-9A9F-CA8DD169F71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BBFB42-A762-431F-9577-CBCB9029B1F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6927E-BAA3-4142-A00E-8D0B21143A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C0BCC-9A28-4B04-9007-C49A29DD387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EE735B-6575-4E2D-B8B4-C791D8C212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AB75F-9EB7-4036-8A9D-4B4931DF52F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2347A8-93A4-4B9B-BC77-44A3BC76D3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E2B8A1-F561-466C-8FC7-A32B541E71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CAC859-6696-44A3-A566-38CEBF8B65A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4D244-4DA2-48C2-B15E-447114D062B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69C23-F571-4E5D-BA48-9575AC5FC91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2C071E-E9A0-40D9-9A7D-9D24F7E565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74FA08-11EB-4AF3-85CA-EF1B4A75AED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2DB7E-4950-4C78-90DA-9A46C5DBE58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4D319-6B04-45EF-9839-6D0B4A3731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BF68F-A91A-47FB-A6EE-7FDD4CFA871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DE9CC-36B2-4D2F-AA65-4CACF1E5BC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D751F1-8C58-4AA7-9B45-6D42CFA5A2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6A7833-ED8C-435B-B51E-7F4BC326E68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EF110-E6B2-4D90-884C-DDE8085ECC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B52DDA-C324-4E4B-A55C-2B02B39014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BB8FF-5C6F-4B23-B1D0-2B42B8A202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0970D-D53E-40BB-94E4-99CCCAD72D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0F4E3-A28E-4FE1-9DC8-DE94E0DCD0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BA9BC-4D43-4FC4-A946-6540F9BC17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E512D-3662-4B51-8B9C-E5FDAC0D92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C0FE02-0E98-46FC-96F6-8F45C5D4A1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166C12-5ECF-4176-9C5A-7D1B10544C5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0D6F87-660B-4AEE-819F-FD69486D6EC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8D525-1E02-4691-BE27-B94BBAF393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57E6A9-139A-451F-91BE-0341376B414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2CB78F-CBEB-43C2-93F1-6C4F87F40F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A5DFB-883A-4F54-97D4-751BCC58D6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5FBB7-DF4D-41F2-A35A-9C5711B721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A541F-FB11-49D9-91AD-BE4A7C3B0D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E061BF-D465-4D8A-92DE-5CFDD0A2E4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84C97E-00D4-460E-8973-E72EDDF947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9C2BF-77BD-42FB-8B48-536F038A77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71A33-1383-43CE-A74E-129ABDBAC4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86803-D724-4C36-9BAD-AFC219DBC9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1F7F79-2024-4E6D-98D7-53CE3BB7FF9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A72DC8-9EFF-4685-8AC3-871595C928F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06E8A-16C3-4811-B4D6-0931F5F432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E458AC-DE7A-476C-BAE4-BB6CC9F461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CC59B-E705-4003-B766-D0BE491003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B15B24-2039-4606-9969-390BA3BF691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8C53E7-AF54-45FE-98EB-A72D3C757F0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35F810-EFF2-4842-8F8A-517A3490FC7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E3193-07EF-44D9-AB5F-85A5C7863D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C964D-701B-4AF6-9719-1F90E4D3F04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9568B-D763-4411-9C61-BCB85EC4158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36D3F-8B5E-42A0-9D42-ACB10F5E06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BC756-F757-41B2-89B7-E1EFAE5644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593F5-0C0A-4F6B-9B0A-9252A830F1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5CC7F5-4FB6-4B84-A916-37B933E9A7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69C0FB-6A5C-4E32-82F0-80E53B58FE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50FD8-4EFB-4AA6-B69E-C5DEFFDCAB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918543-2634-499D-AB94-E60C0113AD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B862F-642A-425E-8279-F200BA1C1E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E7528-A773-488C-BAF5-9C9AD9A9A1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69084-62B9-4B82-B73B-238523F65F8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7067C-90C3-493E-8A24-1E470965CD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A2911-52FF-4801-B69D-C4DE61964B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EA61A-6D27-4312-AD89-CD1FE2C88A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13C41-36C0-4381-B912-8954D5B8A4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806BA-1E73-477A-8255-AF1A7B5F8FE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57FC3-5A90-404B-9BED-7A3F4F9EA7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F755A-DE2A-4911-BAE7-EC74E23DF9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AFE65C-9956-4522-B1CB-D1F1AC74BAD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2535A-2EC8-4667-B6F2-935428577E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108DE-1B8C-490D-86C4-0A6B5C44D7C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E004B5-DBC9-4BFA-90D7-65074F760CB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02580-3B3E-4799-AA61-E1A3FB4EA2A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06DB4E-E595-452E-88F3-417A3CEDD7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20D85-F98A-4FEF-8AA3-0D9189BA7A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8EC84C-96E2-42FE-A6C8-B4B3DEDDAFE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64EC3-AA4B-421B-A8D0-DC7C137A44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57554-641A-482E-83EC-11169CFFDE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A1D371-6AF2-472F-95F7-665D02D44F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E01F0-B791-47E3-9A53-4579F6DED1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AF3A1-6812-4A2F-8CD6-2C1993C4FDC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9365B-43C3-43D9-BA56-EDC7A14E250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9BA53-BEC2-42B5-B8B4-71FC03A852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E5CF9-55BC-4BF7-A15E-9274814336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E8C0F-DFA8-4F3D-9B1E-5F728E6C8F5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9CFAA-977E-4953-BBCE-0F737068E8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CBB1B-D4F9-431B-92B6-66E47BFD2B8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C5939-66B6-4826-87F8-31293C2571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A2FE8-BC9D-488A-B890-9AF20BCDDA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C6812C-09FE-4CF2-BDC5-5C587467E1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04906-7421-4EDC-8BD2-9DF5348C8B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6A915-2F95-4B79-825C-5401B8E638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913C6-7FDA-46B9-8577-2EC1477201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B9F489-72DA-4341-893D-CED8792E51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62E2F6-EEE2-4D07-8F78-350221D7B36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A8BFF-CD85-496D-A93D-3558637412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49382-C346-412B-9932-A161B612751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6234D0-5CD5-4872-84AF-20786D45E71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AC5AC0-6399-46F9-B758-602785381B3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07F61-EC00-4D50-9913-C3854F0F8F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0EDB0-CDB1-4A26-B7AF-F4D5367A131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9D4D1-11E0-43C6-9A5B-E17932DAE7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457088-9EFD-4D5C-A3A7-D468350E06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65443F-3018-4ED1-B7F0-18AD9F379E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151B7-819E-441C-9184-BC59B9D66E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E1A48-B64A-48B2-827A-755DFB23AC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981E6-02BB-43CB-9E74-FAA7A01B28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7CDF6-9D56-4E02-89DE-39D0D50104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31DBF2-1832-402C-8BC3-0F7EBD8EB8E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24CDA-C088-44FB-9E2D-718358374E5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569928-FBFF-40A1-97C8-652D05F0EC0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935B4-DA10-435E-9EE0-9E6FE44B32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D27B5E-4210-4BB8-8F00-37D79AEECA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1E7E12-B79F-43B1-A76C-3D17FBCB45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CF3C6-0EFA-4602-A3AB-925A9DDF8D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BBAD73-EA1D-4356-A4A1-31E2D9A2B7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57B0B-2577-4D8C-B235-7DD315395C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E47D18-0111-4318-BFF6-13A4398DC4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C71B5-4FF9-4746-8DD0-702F9562E9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3125C-C3C5-491B-9885-0A13E464121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196F4-986E-49EB-B8E7-4437D3896B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3A270-43BB-47D7-B75B-52C1AE23195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2DDFA7-A30E-468A-B7D1-F5A6700653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788ED2-3210-4A13-80EB-4C0183B695B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2F51F-4E61-4325-A8D2-810077D884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AE8315-438A-455B-920C-84EEF2AAB3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5DB37-38DC-4BD1-B1A4-D721152AEEF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F13B8-C656-43B7-AE83-2B75AC57A5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70AA20-15F2-4DB1-B204-FF63A48718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B8ED6-9B6E-4439-8553-756FEFFEB9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848AB-2300-4004-9E1F-2B559993E4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178887-8CBD-4CAB-A26D-8D6EAD1808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80E4C5-B95C-4B92-BD79-1A4C401801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6AF28D-94EC-4A4B-91C4-F25CF9E6E89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5A19B-FE52-41B5-AF83-AFB5BCCE58D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5499A5-9201-4CC7-988C-1AB34A0EDF3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B5B98-20FE-4B52-B274-AFC22B20D6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46FA9-111C-486A-B2DF-E8D03554B9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63812-B4B9-4725-A3E5-29DD5E9D065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83380-9F07-42DF-B17C-4C402C5C3C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1F152-5A33-497D-B901-10B8EBA83A0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5FBF4-CA42-41C6-A189-F422E6946E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7084EE-A04C-4B2E-9184-7FAE747BCE1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70BB6F-243E-4410-9299-4D0DA80D738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F8301-0894-4BE4-8F56-9270D72306F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69FCD5-1DA8-456D-B619-E0411FC10B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B9D04-3B77-46BF-A4BA-17E2F1BA11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1BE77-B99F-4F6E-ADFE-425A65A4B5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3F90E-3A25-44BC-8F48-EAFC4AB7B2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B7FDE-98D1-4CAE-8E70-48A6287386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79952-9F29-4E1D-BCB3-9A694DC565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1846E-E7E6-4290-A4CB-E475AC4A6D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4D615E-752B-4D76-957B-A336CAEDE9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0BBD6-D96E-48AA-87A8-B6EDBCD3FC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34816-BD59-43C7-BF11-1466CA4AB0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E7792-AE1A-4E96-8DF3-1BBF515BFA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138B4-E42A-4F99-80DF-3651952739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AA7F7-0237-4194-9F40-0D9612C56BC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D2C89-7305-4293-B800-32049C4C08C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9C4CD3-7CAE-4451-A4A9-6C7188A070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FD9B5-8B4F-4787-9924-3E8EE73E78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9D0AE-DE5A-4F17-A172-805271D815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95BA88-DDD1-48DB-932D-43B92478BF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25219E-76B1-499F-A3BE-B58FDEFC97E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085EE0-52EC-4F70-BEF1-011A11DC31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5507A-7458-49A0-A0BE-9336C88129C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341A8-BD19-4E61-BCFD-68A8B6BAC3A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0DBE06-0985-42AA-AC71-468F088157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99CBF-F6F3-4D7C-ADD0-DAC2CF5F38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751C2-C8FB-4FD0-A6A2-2D0D43F4BB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E4E96-8792-4386-A366-3BEDF97DB89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C9980-8588-4BD9-89DC-43359A32047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D78465-BC18-49EE-BCFB-1E343F4D75C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313D5-D526-433A-951C-4F69C4AA907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B92D9C-7C9C-484F-9BED-300BA726AD6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5868EA-0B57-4F4F-AA3E-27876D5A96B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62C7DB-DF3A-47E4-AE0C-500553DD721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6ECC5-C4D8-42F4-AD2A-EEED8EBDC4E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ABAAD-8ABA-4D9F-A3ED-7EC22B3C204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08E04-A252-4C3F-9327-C181A52A7FB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04B9FC-6A7C-403E-A0DD-F5E91E02B6F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AF702-44A5-4B8F-8D4F-0F008C87D59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511ADB-54DB-4901-82BD-2D7A23205FC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04A93-A1BF-44CC-BC5F-57B19933FA0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83B32-6923-4F40-82BA-DAA29BF650C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85041-6093-47CF-8FA6-023CDFCC8A6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636621-B452-4858-B2EC-3DE19B6B542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B77F75-1E6E-4C48-9DAD-0C55767A16A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231EE-F892-425F-B73C-EEA368A25BD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D534F-C61D-4E33-B45E-782B9D5A3CA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8A6114-A04F-47D3-AB28-945E8D28729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A6626-CADB-4A10-93C5-349881DAA16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6A586-B9ED-4AB8-AEEE-0459768F7E2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6F6DF-DB98-4703-8248-E4CA001F59F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05F49-F6D1-4B4C-A36C-52CCDA20B76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1BA810-F373-40B0-A416-3A1F94B4643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21332F-3BAE-4E58-A41E-F5F1E020186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43238-15C9-496C-B7A5-5D5556A8BB5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14044-0ABD-4F31-81EC-873FEE207D5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954549-8F5D-463A-9BEF-8292D1813DA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A9D02-8E56-4967-9E39-3DD2601689E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FC068-B340-4079-B44E-92F6C77CFA1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BD0EF-2A31-4BCD-90C3-A4EAE0A018B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AF29B-3FDE-464B-A03C-21198DE1CE4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D58DA2-33A0-4DA0-9E88-A623C8FECD0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6A2D0C-137C-4AC0-9007-14096E56641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3579FB-7D3F-4909-ACE0-6D972BFA0F0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7CDDE-2EDC-4A4F-9B87-1C67E7832A7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41C52-455D-4266-8BBC-71D4C9EF35B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64C49-742F-4D77-A13E-7A406854336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E074B-7877-427A-92AE-E0A89F44E19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84C27-5425-4F52-89CA-047484CD86E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E76634-DFE7-4F17-B03A-AC58DD735C7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888089-2633-4B60-A011-E3CF107222A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01F54-6CB0-44C7-A443-16526D42AB0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A7D3EA-04FB-4D32-90DE-E1909B4DD07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85150F-5E6C-4968-A9DE-63BE11DB4B6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D7F8F-304D-43AF-8605-49525C237A6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BA0EA-35AF-4A1E-B3CA-D91473CD478C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73FD9C-FC65-488D-B0F1-B789047B3E6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ADAD3-975B-41DA-9F04-A5C3548E58D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A2B705-8EDE-4173-B9AB-AE46A42B3A5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6C9DD-6FC8-4EA1-B0B0-A1C94129E12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10072-18CD-411F-B9CF-1059D6D5976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39581-4D71-444B-A4E8-0A377C2D046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C5B9C-FE04-49A7-8F63-475D6FAC961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C44F3-8286-496F-9DD9-EFF39B6CF08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6D9E7F-0F72-4A9F-B529-C3EF55458B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96152-48FE-412C-AADA-30A227EC3E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13F55-EED4-4B61-B49E-2821572B2F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EAD7B-419A-4EE5-ACB5-F07641FBEA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AC3432-490D-4C85-80FE-C63F1D6E52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C0E55-3254-4349-982F-93206DDCD6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4155F-31C7-4894-8E6F-BD78C8437B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C31F2-5A73-49FB-A2EE-E004906F9F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29D0E-D630-43D4-8F72-97A9AD6D40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13B2B-3350-4D3A-A95A-07EEC5CE572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A93E9F-EE35-4433-8741-D8271D2EF3A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F87FB-D931-4B59-9EC1-B56372F385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13F7D-2F0D-4930-9818-69EAF92DB5F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892937-3AFC-4A77-94F8-1DA2117D99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9989EB-B8D6-4FDB-8ECF-21288B3ECE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52DDA-B2D7-4FB7-8CBF-31234C468F2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0E286-2D36-4D29-8B4F-F1434DD878E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C3054-AE54-4997-B5A0-43C51D348D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7B216-BF5C-4136-B871-0BD4A11EED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E56FC7-CF9E-4F99-8019-E2C413A78E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39BD54-59FA-4F13-A72B-36C2A5DCC8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DB67E-D392-4B7C-8074-81A7D326D3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DC5995-C0C8-4BAE-B869-37EA1F21D5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08AA4-5863-455A-8047-EF973448DF8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CB835-76F0-401E-B0D0-F19D09EA8A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182FA-C080-4D89-87AC-590196BC6A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7358AE-EE43-495E-865E-2228FD40060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A1FCA-CCA0-4F09-AC4C-4ACAF074B67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A0D7B-78F8-4811-90BA-4DF564D130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C01EB-6CE9-4044-8FD2-44018D277A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34656-4B81-4818-8D5D-CA8D02DDB0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72250E-7494-49DE-A878-D1BD093033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65D85-07C7-4C8D-AB4E-BF8E3D14F6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22ECF1-F61E-4BE8-947B-927EB07BFA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870130-01F4-4E1E-8A58-6F8267F14C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58332D-B517-439E-8751-A913B23200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EFBF47-0FEA-42B5-8DF6-47F773D40EA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337EB6-8868-4946-B7AA-E09CCFBA98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74F56-030F-4ACD-8F99-989922DAD8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ACA5A-1A44-4CC3-9077-0DCB893CCE8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34DDB0-4C45-48FB-BFE6-9EE8C34378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84B74-1E38-4B76-A9A2-B3449321E4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E3F05-4E9C-4D07-8DF1-B67C6B58DC8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C1527-F56E-401F-9F48-EC187C4C57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4E4FA-72C5-4374-88D2-E602FCF456B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47579-A453-4EC6-BBA8-ADB9085232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973C8-8C09-423C-9654-968BF13DE2E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AD1C4-CF36-4CCD-8CBE-055D4CA78BD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826DB-A3CF-4BF0-BEE3-0C6D2244040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CFB2A-9DE6-406E-9437-D3ED3021A3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F52C50-C4C3-4D8D-A0BF-7D379B705D1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BBE5C-712C-4539-B80B-0FEDA26059F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5C6BE-AA68-4F8C-B643-775181FCC8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194B1-EB35-4D65-90F1-00E32772ED5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E3050-0748-47B3-B32D-DD2782C16A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5D85D-CB46-4527-B432-1E0B19A368D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EF3ED9-A5C9-4AE5-8198-4EC813D2CBE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C7D35-BA08-4767-A187-306BE44DB54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C7AAA7-A1C5-480D-B605-DDAE435DD7B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4379F-0593-4624-A9CC-19068BD1F6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84FC7-8D3E-493A-B0A9-F4DA36672E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FEA12-7271-48FB-84E2-D90455D740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B3E2E-0010-4034-AFDB-D97D773CE7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98DC45-77A1-4DEE-ACAB-4BCF4B8DB4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222A4-371E-4F3A-8C43-A96D7C952B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CD02F-FE60-4E72-ABB1-DA7AAC8F51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BBD41B-6269-4582-8FB4-412B599351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D83641-A468-4E00-8BE8-CDA3274ED6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4DB27-6406-4106-8889-5AB9D7C9D9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548F0-BA64-497B-971E-B7F779CFF3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C5F34-7ED2-469D-A86E-51DEBCF444E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66EC36-9CBE-479A-9B5E-FA2042D17A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3CE47-62EC-42F1-AA1C-F34C084DD4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33CA71-D66A-4BAC-A14F-F0A4F39F8C8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9DDDF-ABBB-4C1B-BEAC-CBBBE2B8EE3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22773E-9C81-4379-84F2-A02CF6A677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3D848-7BE3-413F-85C1-DFD096C37F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8F3C6-F9B5-4313-A16B-296EE91AE2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DC0685-177B-4AB6-BE88-497D51AB032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D6F11-0CD1-4AB4-A3E1-9E7457C59C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342A9-5C14-4809-9512-679CFE9E22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5EDA5-DA49-44FB-8134-EF4D30CCCC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3B1D0-D7BB-450A-BF5E-DED6D3108C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2181D-5675-4001-8B50-71521E2C9D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85EDE-A549-476F-96E6-98B81984CCA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1075E-9456-4A50-984B-CBA87C95AF9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0F597-180D-4F34-97B5-4D156C39153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A7CE9-D908-49CD-808E-6414F729001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24EF3-A70E-4026-BB46-E3745FBA07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B293B-B224-4252-9789-313E30B5EA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5233F-D6B3-497C-B720-466857E2B0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AAB02-423B-43FF-B1DB-73ED325F70B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38E08-8FF8-4C2B-8547-25A4A72415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9FDAD-2BE2-4580-96D0-42CECD53C1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66BAF9-4465-4FFB-A331-37CB6731414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3EE43-E784-49E1-AF9E-CDCA9FCCCB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D5EBEB-6F8E-4F36-BD61-D21F010A9CA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046A2-CDDE-49C7-827E-8E7A561206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B3923-FAF5-4A31-B070-074D5C1EA9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405948-F8D0-4498-803B-EDF1E60A31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3A339-9F16-4532-855A-DDFB9A2633A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F844D-BE2A-4DA6-B6B0-EFA7A4E075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410A6-46E2-4EDA-AA77-B6EF5D41505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5AE2E-D4FA-46F7-B5B6-1EF0002729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F3E5DA-9231-4B55-B26D-D308548EC3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78B4A7-7E71-4410-B874-31F0F64E80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ADA67-35DC-4E01-B3D3-CF20CC3BFD1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F2E70-B7B1-4C5D-B2FE-4A12A993A7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2B351-506F-4A94-81FE-685F2E859B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0C7DD-94F2-4282-8675-5CF057B80A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C0416-2FDE-4FE1-8C03-85E2A670C6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299999-03FB-4E41-853A-7C5D4F2CB3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74CB1E-9F54-4ADB-8611-49D86EBEAE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EDBF8E-DD13-4ED9-81BF-CC8CCFEF3EB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ED7CF9-6FEE-4609-8F5A-79470E7AEF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AFCFDB-3422-4555-9250-225B7B1577B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121B7-C135-4FF4-B368-76559A9ADD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855714-C7F4-44D1-BC19-1731B5A0AF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F3CBB-235C-4DAA-A105-FE26E8D33E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077823-9D3D-4910-A09D-F324988021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7F0F3-F09A-4F5C-ACF1-5D69326E68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3F449B-0B0F-4B5F-9F20-FC0A4B284C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1EE3F-1FE0-40F6-B306-C30E6F8C3D9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A3EE4-4FDB-43F4-8B2A-73BBF0C171D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F45B1-6FFF-446C-A372-F9D7297379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624CC-7F40-4150-B128-4B0421E90C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66BA4-4CBB-456A-93DD-00984088DD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F61F70-9E13-4784-9AB4-29F66BA0B11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4D96D-A2B5-4BE3-90CB-FA975D0B15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132AAE-83F8-4E63-904F-C35DE7C7201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B13ED-9738-4509-AADA-2D4CA827CD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C82DFD-3AA8-4BB3-A780-3484A8DE741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BA6DCC-A745-45DA-BE7A-B30B593C7F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5DE815-82C1-40B1-AA6F-1084B56CC6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749B9-1A78-44CB-AC20-639B836CD6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4872D-91FA-49F9-9236-F4A7AF2B6B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09922-AC7B-4EA9-A43B-21444AF0163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9A686-038A-44A2-8632-E2722BC69AC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B3545-9D8D-4375-8058-07E41B1F01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A4C6E-9DA9-4A18-B434-AC69009DCA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CDC612-A4B6-4033-9960-1344477566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1ECF14-4FCD-43C9-AD69-7015FD34C6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C472B-2EF3-45FC-95AD-7547888B8F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16C5CB-E845-4E6B-BFF8-E8859A54A0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2A924-B2B7-4906-A1CB-CFAE657F768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4A1E9-12EC-4626-9C76-D8051271D25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FB3102-17F7-4EDF-BE06-D9BCC5B9230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5A1775-0B38-490C-A707-FC105F49E6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B5450-C946-4773-95ED-1EFC343389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DBADB5-33F5-4288-BB06-5735239B6E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A5F16-61B2-4FBD-B4B3-386BC9C8F06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FDDF1-03CC-4646-946F-D1EAD2613A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A75D03-2A38-49FC-A16A-3D5E96304D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F8146A-C591-4FD2-A4B6-489D71EF9A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7C03B-4271-4467-855D-D7417486CA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38C5B-A9C9-491F-B71B-365F381A679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783A5-E16D-4BC9-9D5B-997C26847E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A8020-5A0D-4507-A763-18226B32387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3C855-2E18-42A3-ABF0-8C3C9062BC5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5B5C2-ED4B-419D-8907-729B0AEDFC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ED0E2-B8AC-4B08-80C3-71A2837EF0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DB815-B0D6-4914-B3F9-AD52B99876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C6B42-47FE-4A1F-BC0E-DC6929AE0D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BE318-D70E-4C33-A14A-38C938C668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06AD20-5599-4395-9C0E-ACDDDC1B34B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8AEBA-2850-45CC-8FC3-AADD6F66E0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B7A1B-2741-49B6-A3F2-54312557A34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D4527-4D7F-472E-B631-C4762CB4DB3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53843-D797-4399-A36B-007FFFC7800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9B59A-102D-4C9F-A019-DE34A93228F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A72EE-6236-4F8F-83C6-A7DDEEC1C5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0455A-756D-48A2-A52F-34299D51EE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D6005-657B-40B3-8D2D-94183DF8EA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DC097-7ACE-4821-A588-7B482EDE43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0BACAF-823B-4111-A277-C85342B3E0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5CC33-4D42-4AD5-94B4-955BC3A412C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646849-4689-4097-8F70-1BD73A7B04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5C2CE7-649B-4419-8026-46F1086A977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8DE6A-95A6-4BF9-84B8-F1D39656394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14D47-D982-4A68-B5F7-EC4635E277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467CC-3A5F-4B84-AC68-941F733548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258A0A-4BCB-46D4-BD20-8F2F2F34EA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ED003B-16C2-483F-A56C-CB442D1B42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4AA139-5387-4F7A-9AA7-5BB78D4DE3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168B05-4A84-4D1F-94D1-DC7B406F2D6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4C8A4-E274-48EE-AF00-5A627EB9F9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81D50-A228-4666-97D6-0BE0BFA9DA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E3003-AED5-4C31-B239-4BCBCF838B1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38E69-6CF6-48A9-B90C-8020B76078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EE265E-A812-4017-B7D1-7FBB9A0FD5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7E09C-9D12-4D08-ACDD-3709E5991F6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1DCED-3CDF-4C42-89D9-122B6538447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EA228-F025-4F67-8A0A-DF11089C83C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BF30B-B16B-40B9-9496-23497B7C9F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C9E269-55C2-4D95-892F-D76E189525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D1354-0DEC-4B86-B178-30F446E533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38F4A-267F-467E-BFF6-7BD540771B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EA97A-4646-4E47-9C24-01FB24361D3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E4BE0-C21F-4669-BC8F-22F17139F1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D55A28-A908-4371-8B1F-0570BF5AD3E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EA377-91B5-430C-9EA3-67ADD8168E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0D66C2-C2A4-42E4-94EA-8337FAAD1B5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51A1B1-9FCC-4E6E-B697-92AC8F3451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89F76-8C08-4587-A2D2-90C7634D57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3965E-11D3-48BB-B056-4749509DAC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6E727-4A2A-4129-9FE4-A7BDCBB817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C8774-08C5-4764-908B-D73C33C728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4A908-1B9B-4BB3-8072-3BD6DD0176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0C351D-2B5B-4D94-B8B1-1B5DBA58C0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0C5C6-AE53-4F8E-96DE-B64CB08818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38532-8901-416F-84A9-6305F8C429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C46973-2DC1-4FAA-A1F9-EFEA9BB0A9D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A2AF0-57C2-4B5F-B1BB-1B59FCB651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E12271-42AC-45F0-B6D1-FD2CDE7CE91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CD72D4-FDE1-4919-8D58-44B40FC63CC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A4B003-D85A-4AAE-8126-4E79F9D60A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52E61-BF38-4472-84AC-C2D4923CBC3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1E9F62-08D0-4E88-87DB-CAA9DD8589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9091BF-B12B-4EA7-B8B3-37C0F97A71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EF78A-82F7-4699-8097-E3EA07DEFA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6EADB-60CA-4B73-A807-A16A5169BB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067DD5-5B98-44C0-A143-4C97EDA267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91FF02-5E80-4A42-8A97-78C1B2AE08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41721-19CD-442A-8638-C87FFF68A11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F3D83D-A9FC-464D-BFD5-9C90D2DD3FD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5E01C-DAC7-4F26-B6DB-2846B9FFDA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86CB2-CDBA-4D01-8D6C-927FF4EBDB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F5E11F-3212-4B7E-8C2E-4391F3730F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EA7C6-726A-4597-B674-1CAB498D200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4F5DFC-D6E5-47C2-A30C-A47BD44BB46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36CFD-3A6D-456D-AD6F-9BB20636E0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C88C2D-68C4-469D-95C4-B67A6F01470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0CF20-6034-4F8B-9711-75B55A12B8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73310-0C7A-4DF5-A28F-876077BB123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1889CF-7347-4DAB-B52D-729046FC71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32B82-4741-4F24-8CA0-B9D4872F04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251B4-2560-4BE5-833C-D521ACC13D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9224C-01CD-4277-8894-1F66EED1EB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7CD17F-CEE5-49F5-AC3A-C5CD6046A22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7B7F62-E6EF-4411-83C2-F07D388F8DC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FCEE4-EBDF-4B92-B293-0495CD96FCC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D06C2D-819E-42AD-9474-BE03A1EEC3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5AD7F-BAC9-4BE3-8A25-3E5F0DFB7FC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83465E-D85C-45B4-8D4D-84D47585D8F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9B3D6-9BB5-4B9F-B4B0-B258574253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BFB3D4-B0D9-4A3B-8062-BC70098359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21CE2-1BD6-432D-A400-2ED0EF429C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18A6B-5EBA-48F7-AE4D-CB9C705B8F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195A3-C0A8-4CB2-96ED-311A27D54C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62954-A14F-4276-9F5B-7AA673E7FD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6BDBC8-4DE4-4F91-8361-4D704AB8127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02626-43C9-4A23-AF1E-F4BADA6A972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15797A-05A7-47B1-AD9A-6567D3F689D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ACB489-33F2-47DB-90C9-4FDA4B73A01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EE816-BF12-412C-AA8F-E6DEA61904E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F093B-B872-4185-80DA-CAE0335EB9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7FD3B-8843-46F3-AFB4-317B3A3905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E0DC8-5122-4094-99DA-09C3F9E13B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DE6DD-97E2-4EA8-89D8-AD29E16DA6E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6BC3A-DF03-48B9-ADFB-6C20D879D0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C7FED-2D87-4722-84B8-F1BE9DA6F1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CB47FC-E7DA-4EA2-AAD5-7CBB0F5ED1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FABC85-73B0-457A-B1B0-083124E1C26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A779A-C6DC-4CB1-A4B4-719CBE04711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85C2C-9F6D-4D79-9FD8-38EB6C1E437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EFA92-953C-45EA-B949-D925BF05EC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F19B2A-4807-4741-8DFF-78A6FFE53B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792B0-DF00-487C-993F-E7B5027ECD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5C7B1-6711-4940-84B3-8EF7E1E73D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649FA-1005-458E-A56A-66C4EA49D78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C05643-06F3-463E-951E-47BAF543A3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13D92-64CD-4814-9DC3-9F7BF91C3C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11E2E-3CBE-401A-8FF8-6A3453D3A06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52F39F-8DF5-4271-91B1-83E9499E50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0851F-CE11-4EFA-8743-E55477D4AAD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90D8FE-0C85-48E0-BF35-07F0C353744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C2637-9B21-4810-AE19-3FF8415E21F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F283C-B8CB-4EB4-BB3A-5ED452805D6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CA6D6-EA67-4731-A870-6DAC6ECE2E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7DD9D-597D-4B80-A53F-BFA4299CCC0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B8CE7-6589-441C-ACD8-CD7DE35121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4AFEF-9EF7-4556-94A7-67B8F5F031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82097F-D950-4145-8C37-EFCE6A966F2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443B5-E251-4D6C-A32D-DC4C7026D9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3A48A-1E46-40E4-8058-72C088F88F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58AAD-973A-4C5A-BEEC-1B923B6438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7925DA-E46C-4D1F-9292-9EB25C6375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EC757-D8DE-4584-BDC5-A9197CBF196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982EE-D427-4760-97E9-3684255766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AF3E6-8F9B-48FB-BE8C-CDF6CEFB72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B4823-DF83-487C-B6D9-97EE0BD30C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C89E70-DAA0-482A-89EA-6C82253BF0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DD268-62F8-4B62-8289-B9231F659D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9B0B9-A2A9-47B7-9611-422C59E0AEF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DF9D1-14A2-4BB2-A9C3-2823AB6C92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46C7D-7739-47D2-809B-B5B29C661B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EACE0-4E12-4595-903E-72FAF94A8F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93172-DDAD-4CFF-88DD-3D34991F17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C0320-DB20-43B7-A2AE-F49CE79199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8A8AF-A0A2-424D-A61A-DD3EAA52B3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75827C-F9DD-4AF4-9FCB-E9EBADD62B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0311E-2AC5-4EB9-BBDA-5CA847C1B6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8B54BB-B517-45BB-A6B9-2A2DBA0E02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D1400-C805-48EC-9E9A-917CE4E72A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1185E-7346-455E-9A41-0A55F36F5F1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0A400F-7F87-407C-AAB0-2F11015372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0B431-35A0-4D01-B5EC-36A8B50A4B8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C9F7B7-6159-426A-9274-A09CF52D93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693C9-C3E4-4E9D-97EF-E12DA0650D8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A4B712-EEC7-4B68-BA83-175E29801F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26AE3-5F85-4348-9D8A-F46FD58F05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41CC72-8896-4D37-8BF3-FBE9853B95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EA21D-D302-4828-BB35-60F16C332BB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8D165-B3AC-4892-95EB-25B4B691064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616DD-BE54-4D92-A76D-3EF211F5AD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4EEFB-D481-448C-873D-5E4B5CE7267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DCE27-F43B-4053-B445-307EBCE4DD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B3141D-D480-4F1E-B3BB-E49C3CA20A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38F01-E704-40B0-BD8D-6602002B2C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20B83B-2AAE-4E8A-8549-B05A50237C4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8A83A-0276-4A42-B7B6-5AFAFF4763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BBE7AE-093D-40A3-8041-E63FCEF308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3CA90-00F4-4503-A227-76E0AB60483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22CD6-2E8B-44DD-9B44-16DC49DE285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CC414-4B59-414F-A97B-5171A292FC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2A02E-3E8B-4B4D-B171-C49FAA30EF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7A8CD2-30BD-49FB-9EFA-EC535C47F60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A1FDDD-4E1F-4682-9696-F6BC04C66D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7BED9-31A6-433C-A4D2-6B00E11DD84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B589FF-4317-421B-A534-81DC411120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C3CC3-6E7E-4FEE-A412-E48D0AFF031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41497-C694-4994-9BB4-5D9ED14A15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2B559-8AE5-42B6-A08D-B7ABE439BAD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D657F-33B8-4B7F-B246-0CB344FD44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869D0-0AE8-429E-BE50-807A09174C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953DE-67B0-4FA3-AEEF-E776FFB99B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85DAB2-3FCA-444F-BD58-34690F5E70C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F516F-2050-4D38-959B-06C48459CF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02C2B3-9D1C-4F5A-A54F-C13682FE05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23A11-224A-4A9F-8DCB-AE9A3DE845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5E44A-74A2-458C-8DF8-70537D4C57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2D902-20E3-44DE-BD04-2019F215EC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AB90E-AD2C-424A-BDB6-10B8CA989B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C9C29-9CF1-4117-ACD5-B7250883F5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F46B0-B836-4A53-8F7A-CFC26FE163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8740A-1527-4815-A165-A78D43425B3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0725D-4F33-445D-BDB0-2D4A73C3371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DFA5D-3757-4BB2-9661-542F101CCA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57D91-C529-439A-BA9F-FFBD14642C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A78E4-0FC9-4612-BF30-26CCB0CA161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5DA72C-B56D-47F9-8CD3-4653607BB9D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4E8E93-3867-4176-AF7D-B9648FB474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14F43-2E3E-437D-8903-5D808A46C70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D6047-FD42-44F7-A1A5-245305AC56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A34A0-7AC5-49C0-89FD-8569CA4110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3D8B3A-8FE0-4E1F-BCF5-B3C53FCB47E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2FD2EF-78B1-4C95-BB4A-20A77E955CD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46580-75FF-4574-AA08-BE2BA2ADE3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91CE5-345F-45EC-9083-6105CDB174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8C71A-C746-4BFF-AD1F-FF652BE34F1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7B91C-BB73-457F-B863-6CB00E3FF3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A2C361-1D79-46AC-B7C7-0B20DD370DF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278C61-8034-4E50-BF9A-F4B533309B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C0BCC-7FBE-429B-807A-360E2059C07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D0436-EECC-4EEB-8FFF-5F40033688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49E8E-F315-45E8-94EA-9A75257EA1C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3493E7-E4B9-499F-A929-0B22DEE903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EEB9A-465E-433D-AAAE-D5A117F29A0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101FD-921B-4ECF-8F5D-1AC8A7482C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1F44B-7A59-4990-8324-63CAF0E8322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79DFD-0A80-4A23-8C01-C058A49FC6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A3F316-428E-4996-B893-A8D86FFB70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CE2E9-071B-4E59-BE97-19036090E9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271EA-566F-4D28-AFF7-33C4007D9E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22C66-E056-404A-85A5-5743C89971E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3E508-6F61-41F4-9A26-DBAE9711EB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18DE2-56EB-4544-BC6D-3876AD08A9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2D98F-0FB2-41E5-9A16-900BF46BA63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A15BB0-3986-4424-99FE-1E626A29B9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0D165-1CA4-4EC2-BD2B-0EEC35C9E8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6424D1-1A1A-4012-9383-641B3FA286B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A08F5-06BA-4D80-9146-B405AE39A0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5FDF18-4978-4566-A736-BF8A260EFA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195EBA-FA8F-4C1B-AE4F-815DC56B1BF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2E652-3E8C-413B-A27A-5419ADFEE93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00B18-4BF0-489E-B866-FC344C6C952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781C3-5751-4BD5-AD08-3649F5DE3B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0651D-E27E-4F35-A071-A4CABA5F49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F62D2-07A6-4C1D-AE18-4223E484E2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C2D24D-167B-4E81-A129-53E72D5CEA8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36098-7768-4FEB-9C17-AC480DF19E1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544C4-8699-4635-AC5D-5BEECDCB972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CD52E-CF9A-4CD7-9697-87F0B9B67A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9AAA6E-D3A1-4E13-BFB3-8C02D265B2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0DF670-1C06-4EB4-AAC9-2281A20038E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AF562-0FC5-4682-8A26-C3B154417DA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361F0-327F-4192-B2F2-501EFA22CA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79BC9-05E1-4CA0-860F-E98E3B47303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F50344-0A5E-4071-8787-1953E55882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AF8A4-6198-43D7-AD13-D96078013FE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2EC368-AA02-4CE1-978E-ECB3940B7B4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C048E-47EA-4756-9B29-6B359BC0FC2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768D9A-EE89-4B54-8C65-C88AF0018BC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48609-C32D-4BE8-9664-39F56DF4CA6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58E74-BFAB-4A6A-97DD-BD6E04BD0E5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E5A756-091B-412C-AA6A-187F6E74F99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168B5-8F58-4541-8AD7-ECDB9557C2F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2827CF-00FE-4F94-93E5-5BFE070CE4C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F006E-4034-46F6-8641-2AE79CBAA1A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0C390-317C-455B-B4DC-80DF5983655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1F49E-16C5-4743-97CC-EC8E5921526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BB0DE-4F4C-411D-A041-3ED74ECDF63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50BC4-033A-40BF-B77D-3B36DFE0D55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5CDDD-DCA8-466B-B51F-AB7540BB389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65B69-250C-44DE-AD33-3B17437D530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AEA91-E937-4A28-BF73-54AE349F137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76D25-C5C6-4B6A-A872-51055EFC003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E4114-2531-495D-B613-D4DB11F2896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8C816-C340-48D0-AA66-796881C8A7C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91C23-DB60-4ED8-AED5-9491AA797FD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9C7E27-EC43-4D6D-988E-902312910F8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3E6B9-5C31-4BA7-867D-0145A3784EF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66BDB6-EBCC-4266-A8CD-7C6691B2EC9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4215C-9DA4-4F0C-A006-D42346DCDAA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93774-DA19-49FE-B042-A30CCDF99BB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F6BE9-903A-4895-87F6-FC40CD082FE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23181-92DB-4BF4-9110-DC5592B6E40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9A44D-E5DB-46EC-9561-05B363D9BBE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16E3D-41C6-4B0A-AF60-AD61DCA6FC1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53F64-C20C-423B-B7FC-132F5BD46F2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72C99-F836-4559-A6AC-5A29D60A26E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5EA053-5824-4F2A-821E-03CE1D138DF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74F0E-4D92-43FA-ADA5-F8FD44B54A9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58635-2612-4159-B011-0F1ECC4FB46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332205-05C4-4598-862E-B04CAFCF5A4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0F7AB-6F06-4B2F-8D30-C3214D8E17A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B9A3F-A14B-4AC2-9654-8186C17BB44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28F23-6523-4DC0-953B-EAE313D11575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2041F-9764-4642-9872-39A6C078B26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7CA19-D447-4B24-B396-CC8B979516F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A318B-26CF-4991-AFDE-C88B1A2E2F7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FCAE22-91DB-45C4-9AD3-00E68389492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8F80DC-CBEF-4919-8A5C-59049CBD3C9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D78B0F-20BD-41A0-8EFF-849D758798E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68FC92-63B4-414B-9C9E-45BEDCD6AA7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2A7BE1-51CF-4AFD-9C28-70844DB2A0C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F0DE4F-7F1C-488A-A922-FCDA3509623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16524-5752-4F70-B77A-275136AA539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0007C-FD76-40A1-928F-780DB8C4CBE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F54658-EFE2-42C0-A37C-661088AAAE4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BA76F9-0776-46E7-A845-4AA39A552FD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184AF-C416-4FFA-902D-969B15A57BA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644768</xdr:colOff>
      <xdr:row>1</xdr:row>
      <xdr:rowOff>139212</xdr:rowOff>
    </xdr:from>
    <xdr:ext cx="304800" cy="304800"/>
    <xdr:sp macro="" textlink="">
      <xdr:nvSpPr>
        <xdr:cNvPr id="4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BD1FD-C91E-427D-9665-69F201BC7AEA}"/>
            </a:ext>
          </a:extLst>
        </xdr:cNvPr>
        <xdr:cNvSpPr>
          <a:spLocks noChangeAspect="1" noChangeArrowheads="1"/>
        </xdr:cNvSpPr>
      </xdr:nvSpPr>
      <xdr:spPr bwMode="auto">
        <a:xfrm>
          <a:off x="11484218" y="32971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8E877-1F53-428B-92D4-EB0A7D9BE8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9CE0F-DA2C-4115-8D07-474C44D92BB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84982-09C2-49F7-B17D-EDB5125FD6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47B80-F624-498E-8412-809C676BA9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969493-DB8C-464E-A212-404EB1973F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0BA5F0-DCC6-4E6B-8562-11A28DC012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B7224-9948-4463-A0AA-7D6BEF1BD4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12092-D9AA-46D9-8A69-DCFFDB1F87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8307CF-E3CF-4E68-8F99-47FF257005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FDDA6-0AEA-4FEC-A86F-24513CE819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E0917-2B7E-4336-AAF6-34A24382DF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12C196-6F41-4C6D-B063-42DCC1CA5A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D63531-CB72-403A-8302-C96434FED87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628688-98C8-4271-95B1-ED974F472B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124AE-3BF3-4BB3-895E-3BA305F3051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76720-0946-439C-BEF6-A2DF2A0E92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E3645-2595-4E66-956D-C29195502AF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14D90-9398-48A2-8599-4EFC116D7F5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DD622-99FD-4F92-9903-3F5B8754E9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423FA2-561A-4FB9-9C1B-957DCDA8C9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00305-5578-4C40-A0CA-167D205D18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DF3523-117F-46CB-8D68-CEA11430FE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3EE76-1CFE-4C81-BDF2-E430CD18FF4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A21E9-453D-44DC-88A3-DEB64EDA662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76D81-04B8-4327-B024-7C69610FBD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B9E190-813E-4C1F-9A47-99A61ABF294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E150C-35CF-4481-A9AD-6D402095A18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FAB72-D963-4418-B690-0E4FF10917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783A2-2108-48E5-9CCC-FD6585E3610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F0EA05-7941-448E-B0EB-CBA7504484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48EF7-E85D-4935-AC94-F7D37FDDC1E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A5469-6447-4A9E-98C8-119DE6EE85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E19AE-7DF8-4FD1-9773-9198169552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150EEB-A331-485C-85A0-7861C38422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A3F36F-0694-4EFD-8868-10555B1640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7E475-7824-4443-80CB-3558E707721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D71DD-AEA9-4AA5-A584-C94D745821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6D486-4162-44F9-87B2-A78D756209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3B4A67-C711-49A8-BD60-328E8DBAC1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8D189-88CE-43DA-9BAE-0BEC845917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27E371-B5BA-402B-90CD-30977C68D3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49608-97DF-4FFB-99FC-954F3BDE65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DA944A-AE76-4DA8-9A37-46E45EE00A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65885-F053-4328-ADC6-D67D61E656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49C6E-1221-4FC4-81B3-B84C7C25AB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74134-6AF8-4382-A9F0-465D1CB9FD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6A4F67-BD96-4DCC-AB8A-BFA58BAC9DD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69F1B-EA3C-4B0D-A901-339D4849B6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649EAA-5D54-4128-A042-8144EBEDDD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86AECB-D7D5-42E8-A613-DB4FE154EB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49790-34F8-4999-890A-44496BCFC14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E0E36E-0B81-42FF-8453-957BFC1B707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D2432D-2080-4ED4-94C5-73C9DCA93E6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C8DBE7-E561-442B-B4A1-3EF21EA0A5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EC8F6-A94D-4470-BDDE-06EE82D067C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BF60F9-3650-445F-8663-F51F9514E6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8ADED1-C88E-469A-BC16-F565167BF56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6AC74-0782-4A75-AA7E-1BD15038ED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94382-5E4E-48D3-B1AF-1148F9FF139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702CB-A5AA-4007-BC50-B53FD5F67A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6FC8A-F6AE-4832-BEA2-9380C02D09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4FE54-19B3-4E3B-8CC5-06A95EB85DF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2DFE3-711E-49EC-8837-850A2E3E464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388A57-5548-449E-8F0E-9703DCFA310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BEFD55-3ED0-4D5B-A944-473B0223AE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6496E-C8A7-46BA-B729-0A32C75AC4E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C6E2AD-E860-4F66-8621-EA2891B70F0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797D09-6D04-4D1F-ACC5-1F6BC95D62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196FB-8026-417C-AFBF-8B75A9BC7A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2072A1-AD72-428C-9219-AF09E23724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E8687-3373-4C40-BFE4-9A34413D7D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C747E-2B03-453D-893F-E20F784026F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3F331-786D-41E3-8C04-1BB0B4BF2E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9BA00-0DF8-49DA-A975-822CA69746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858B5-A686-4FF4-AA75-4FE1646BD53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28F37-5A8E-43F8-9986-C827D198064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6E39DA-B78A-4E17-A0E1-8E3E7A16A7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B72D4-C05A-494F-9A3E-F221D8CD489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75C17-F87D-4BB2-9EAD-FB0222295C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9397D-30E3-4A98-B287-E122EF9DBD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15F66-BB23-42BD-9A50-9594D57D287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BA684-0FA6-4A03-87DD-5B7DB8A7AB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3A29A-23B2-4243-A020-297AD764788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734304-A3C7-4B47-A75A-5D95CB9D14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7396C-DF4E-4D26-BC89-969D73C2CE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3CB84-306A-4A7E-897F-D8C65EAAE0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483745-6C13-47D3-9E65-45AE0C66CD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C114F-C80A-43E0-ADEF-ABD2E05AD44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30378-08FE-4D87-B87E-099C212071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0CE11-D23E-4E6C-BC90-6F10231AD1A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E19ED4-2DAC-49EF-9C30-107597AA42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2ECE7-FBEC-444E-9025-8D1D0F8271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32DE7-535E-4B97-8096-A4701D8A592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48F3F-019C-4D04-A7F2-D9456339270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A6840-17D8-4AFF-AE9B-FA37AC75AE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1207F-2F8C-4985-A346-01C10C0760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7AE19-C338-46DE-BE08-C6B87717442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70634-2F9B-4434-95FF-A365ED5C47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CEF472-5A92-4619-99D7-ACFD1E20D15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BCA03-B0A5-4A73-AA49-95B82B050A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DD4FB-74B2-43FB-A859-08D48BA588E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287D9C-4F18-4D0F-B91D-A22E2613B07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805A0B-B31D-476B-BDD9-57B0F8AB468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8D8296-089C-4A8E-95A7-5DE1E6F1AD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B5FD2-B5C5-46C0-A8F1-28849145CD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3C3B4-37AD-4968-B929-659532E8CB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A2300-48C4-41D7-8C46-4D6D3CF1067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CDBC6-DBEA-4AF6-B40D-70FFFCCBE8E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44463C-723D-45F7-A09F-1145A54C11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474F5-37D6-4C01-8D63-6A648F98492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C6734-EEAC-4BBB-B1E0-3B3E95EA96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1F6F3-FAB7-4ABD-8991-F6F2A60E05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774E50-0AEC-43AD-BB89-88A941D510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5B26D-3856-4676-A694-E92CBFEE54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8EE5A-7CCD-4759-A471-08F09D37B5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B86EB-EBDF-4C79-8CF6-351BA9EFC75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43D10F-167A-47B6-83D6-C3F479B2909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4B364-C4DF-4B43-AEA2-19246520A0C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082BE-5C45-41E7-B0E2-773616B739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CD889-D5A1-49BC-9B79-B38B7450231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AD8C1B-02EB-49D8-9530-5C59C4F607E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2F8962-0649-433B-80D0-80CAC1DD522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AB4FE-FAF3-4124-945F-81F1442368E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10DBA-1FC9-461B-93D1-F5B1B5BE9B8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2E05C-A9D7-4BAF-94D5-4C504FDE6C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32C890-B05E-434C-A9F8-D7820C8AFF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37D40-7C7E-4353-8707-B14A3C3DB4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9C616-4CA5-4656-B2BD-60525F37A96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1E239-FA22-48F7-8BE9-0E6804972F0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612C62-B7B4-4640-8818-36007A87A0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13442-FABA-4E8E-8EA9-5887628762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4E2CA6-FD10-4789-87C7-F5AA3E6EB4C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D3037-AC4E-47B2-8A1D-9B1637E6A7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D8814-55D5-44DB-8E8E-2BC9FA43BF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E7EAD-E38C-458C-B795-C25D23FFAA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DF471-1705-47D7-A01F-A145B35DF1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CF3CA-E128-4C76-8C67-6877F1C604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7585C3-626C-4CFE-A3AD-C66FDA8831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5BF87-2A2D-408F-BC79-D498B8B0E3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162848-9DA9-4D4A-98A6-7F9D4E1668A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AA8C88-A357-4F1C-87ED-C8156635F2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8FCAD-C6EA-42D9-B542-5BFED0C33A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C3DC1B-CDB2-4D7F-B2C2-F0DDC1E513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546ED-5454-44EA-AD6C-D525CC46E17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44810-13E8-4DCB-B101-5487626D20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E59D1-0DEB-49EC-AADE-92DD6C36D5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C20E45-3069-403B-8B31-0ECEDA4A331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C01A01-43E4-45DA-8868-7C19DD808CC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DAE7D-09F2-44DE-A06D-2805937B28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1896D9-7CD6-4B2D-B7C2-266C937DDF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B5A9E-F45D-463A-81F8-0C5671BC1C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C2A0F-0109-4E0B-B4E5-0C6CFA31B6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D907D-8835-45F4-AEBA-B0BD0EBB41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4045A-3386-40D9-A065-BC086995AA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98374-697D-48FD-839B-58F002FEFF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06EFBC-C00A-4B2F-AE55-3F2D92462AF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27FFC-27D1-4BE2-8012-E71CDE1270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45AD7-FE35-49EC-BD4D-55C1FAA287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20097-39C7-4E7C-967D-4B28188299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435BB-3B7B-44DA-8682-DF8EF61D8E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6E1F51-EA2D-4B11-938E-F6478DEB2B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23CCCA-237D-4F8B-B9C4-AAAD4AEC468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16B42-BB2F-40B2-8B04-2F9A447CAD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08143-D895-4F76-B6F8-839508E146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4003E-A7C0-4405-A962-D3C3D406C4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92A19-AE23-447C-9B62-CAA65DA8A38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065186-DBBD-4329-913A-26D625B10CA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7ECA4-DF7E-4F62-BFCC-7C5F04D377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BDE79D-0E35-4559-AD58-562081D5627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E6C4E1-1292-402D-B0D4-0D2B4B81D0E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A7F38-3450-4672-BDC8-913FCBFFF91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6F0D96-3610-46E8-BB79-7C0981B020C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8FD2F9-2904-41C1-AFDE-7B853E865A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E3595-6502-48E8-A9BC-02D704B3B1C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267033-DA76-4791-8E3F-4C20D2601FA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55FA46-1A33-4832-B3F3-F32B2E6CD5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233F0-39DB-4100-B6DF-F42D16499E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F1DB3-C1C7-40F6-AD33-E4193818053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E79F2D-60DF-4C1A-940F-A2E6F71BFF7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9CE5A-F446-4AA1-A07A-5CA78B5F566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973BC-7856-4EDB-81F1-261AFC0E04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1E0043-5B51-4CA9-8247-570A63781B3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F0E196-7862-4B3F-B2E3-02055A3E147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26258B-D81B-4CB6-9004-B6F972E481E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CECA1-4468-4D53-93F6-DFDD70D51B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3491E-D976-4FCC-A4F3-9B114008D16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97693-A90C-44D2-AC8E-F22B0DE523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21981</xdr:colOff>
      <xdr:row>4</xdr:row>
      <xdr:rowOff>168519</xdr:rowOff>
    </xdr:from>
    <xdr:ext cx="714375" cy="304800"/>
    <xdr:sp macro="" textlink="">
      <xdr:nvSpPr>
        <xdr:cNvPr id="4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A30F53-EB15-4389-B658-9180207A7826}"/>
            </a:ext>
          </a:extLst>
        </xdr:cNvPr>
        <xdr:cNvSpPr>
          <a:spLocks noChangeAspect="1" noChangeArrowheads="1"/>
        </xdr:cNvSpPr>
      </xdr:nvSpPr>
      <xdr:spPr bwMode="auto">
        <a:xfrm>
          <a:off x="10347081" y="930519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7A2F6E-1FC7-43FA-9DF9-27EE6E89C9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E63D2C-AC2B-41F0-B7E1-0B2E8ABD485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8CF0E-251E-4A92-AC35-E67A7C4664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57EEF-2F51-4B25-8E2F-50B3A544B4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627DD-B5BC-47A8-9635-0932811048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32CD2-A3AE-48FD-BB71-608D63A7A4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02540-4109-463E-8518-D1B85D6484E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977DE-405E-4FBA-A6A5-7E2E6088BB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1F9B7-95AE-4B2C-8BD7-3CEC4A7C57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1E2CF-7257-4DAE-A30E-0640A1BB05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DE85A-7639-4019-8D25-CEE17CEAAA5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D61F3-8B6C-4494-A264-2D958E8A625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54FA8B-FB0A-4DA6-9ECA-641E2E77D0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C2B809-517E-481A-BA5A-CC087D7B93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2AD04-B04D-47C6-890A-3AEFB85E19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A1FC3D-A2FD-494D-83E7-7B96548651E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98F444-0E8D-4926-B9ED-1CBF2EE24D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65FF9-11F5-4841-A006-CC136FC87B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C601E-5D13-4944-A4C1-2A52B4F3D7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703385</xdr:colOff>
      <xdr:row>0</xdr:row>
      <xdr:rowOff>41031</xdr:rowOff>
    </xdr:from>
    <xdr:ext cx="1216269" cy="1216269"/>
    <xdr:sp macro="" textlink="">
      <xdr:nvSpPr>
        <xdr:cNvPr id="4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25CAFE-4FAD-41CC-A7AF-D533C544B20B}"/>
            </a:ext>
          </a:extLst>
        </xdr:cNvPr>
        <xdr:cNvSpPr>
          <a:spLocks noChangeAspect="1" noChangeArrowheads="1"/>
        </xdr:cNvSpPr>
      </xdr:nvSpPr>
      <xdr:spPr bwMode="auto">
        <a:xfrm flipH="1">
          <a:off x="9123485" y="41031"/>
          <a:ext cx="1216269" cy="1216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3EA57-D859-45EC-BDEC-732E1A1C878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9D7D2-E934-42ED-AAF8-F64FC94443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0185B-E7DC-4914-A11C-9BC7C7F7FA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3D4173-B4AF-46BA-ADEF-08AFD720048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0BE3A5-BEAF-4B6B-A9DD-1BA45F9E2E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77457-9A43-4B20-98A5-AA92B750A01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EAFF4-D635-479C-828F-4DD0EE40843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8B87D-B49E-4BF1-8250-2827FC5B01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4C3B0-3068-4212-B632-BAD7C03C860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DCB82-5B08-4E07-8B1D-5B628AB7F6C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E968E4-1182-4353-B231-40BF943267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507A1-B112-4598-88D1-FC0E15E7CB5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507AC5-0173-4DA2-8363-2279C1BB263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9BEA4F-254D-4865-87D9-BB0ED2D52F0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80317-9491-4D7F-98E4-46D27E06F6C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1034D-C134-49DF-886F-FCB5D4A5D9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B1BFF-0CF0-467B-B028-B9B3915F5A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89198-342E-4488-8649-294421A65A0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0EDF9-FBA4-445B-9BF3-E021C0BCA27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CED207-1F74-4EB5-B474-B99360CBDF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2B33EA-1A2F-49D6-9854-0F173E0C6E1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CC6081-08C5-4AD4-BE0F-AB4021F4683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4E736-B498-497F-91BD-B8731113635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573CE-5AA7-4D71-849D-45C5FD6309D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BEF76-E2D6-461F-A388-91EE24D0D60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123E8D-4AD2-4C20-8E99-2A3C71B542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504CA-507D-42D1-BCE6-9B612A30FF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885D2-7223-4A33-97B9-6AE0ACC400C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F89CB-626D-490E-B048-86E57B57E00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02DFC-CD32-4C32-85F5-C0F113D5DB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A4C63-6D70-43D9-AA4A-59DB62265BC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6A354-C6A4-4591-8EB4-1300E1FB81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7A7617-DE36-4FF5-BB9C-410C72BB16C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ABA10-01F7-491D-B22F-2DCCDE3CD18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6FBDBB-FCA4-4DA8-A98F-8CAC19B380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1FA59F-164D-4F96-B44E-BFF875035C2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D63E9-74EC-4E60-A748-536134E8CEB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C6A85-386F-4680-A7FD-6A9F5CB37F1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8D91E-65CB-4235-940F-C194F06407D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36B10-7372-46A8-9066-B030CEEDCF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296F5-E18C-48DD-8C71-B5A8280702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3D0A5A-3F8E-4E52-B1B1-E74721FD9A8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CF475-CB96-417C-9186-330341F4047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7EC0DA-ADA0-4706-B696-25EA3728009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64218C-B3EC-4F6C-890F-BC8AE8BEC04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9FC23-2565-460C-A77C-021360865D4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D6147-FD5F-47E9-9F84-D26937FBC31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FA339-D954-46DE-BA04-5B1D09B4D64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CDAD7-8F50-42F0-8FDA-B51DD21CB48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71D80F-EB71-43E2-AEAA-3F968E4A80A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A5ACF6-03A5-47F2-89EF-3044933C190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92F36-12A5-471F-8580-38D3474DBA7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F335CB-7C81-42F2-AA02-9AC140C0AE9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05A2B-7725-4E4F-A029-4A9D1C53C7B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E5B879-4072-4F82-B6E7-45F384AC30E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2AFE3-486F-4522-8778-DA69D1AE810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C0433-0FC6-434C-80D1-9CF0830321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B9B34-59F4-4A91-BB20-0401DD5B5F7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8E363-8ADE-4CB2-9BCB-84461FC943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7692C-9944-4B26-B0E0-3320F8DA48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700E4-A965-4337-9233-65FC20562D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68534-994B-4BEE-83F8-99FAF044367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A3718-06FC-46B8-881C-FC5BA433A29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B8947-D594-4BAE-9AF3-8EA732C195F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75B61-84C5-4CD9-9352-C63227431ED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16DB8-FF48-47F7-8B20-64B516C1550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42D5A-E0AC-40EE-9CB3-F928272DB69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B9A70-B5E0-469D-A79F-1F04E152FAC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0DFDA-3938-4B93-938E-3593ACD73D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6A028A-9D68-4E55-8DBE-AAA9B3FEEC5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679BE-CC9C-4BE6-9083-800AEE5CB27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B1532C-BACF-4AA2-9C19-ADFE99F7FAF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A804F-5D4B-4013-8838-7E1EA17690D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5BC57-0192-460C-9FA6-53F2EA5493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8A954-CBBC-48AF-8AD9-7A2BC44B8CD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2185F-EB8C-4C38-83BB-462A95D5A52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AD7FDE-B631-4DA7-A943-08DD1BDFEC2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82A6C-59E9-4E7C-B01F-42FF13421D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14835-6E2E-4D69-AD67-1CFB94F6EF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DA270-5FAD-4EA8-9900-C8DC9B6424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2EF66-084F-4674-BF38-DC5D770578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D1336D-9095-4EA8-871B-9FC8DD22435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B5FC4-CE3F-4241-9CF3-92835C83886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6AFEA-C870-4F9F-B987-6EB0C4F1D2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AB70B2-12E8-4E70-B5FB-59E451D433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08330E-45CB-4DD7-B047-2E9EB056A1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1C7D94-167F-4E5C-902D-269B73EE32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DC3EB-3FF0-4B97-B940-96D6B9EFB3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1DF7E-E8FB-47C5-9B57-4C3CF1F6915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24EBC-9F1C-4513-BB02-EA5FDB423A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1F2D3-6A0A-4AB4-8F72-305EC5CF6D3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E0433B-710A-4218-99D3-AA3B20B7170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D053D-63F9-41A8-B89C-159F2C8CF1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7FE34-144F-4836-8D7A-CB2FD1D689D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FBF7C0-1F57-408B-A3C3-A34B64D723B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4E01C-1044-4336-9691-DA809631EA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33F41-6026-4AC2-9DB4-B1A6732C51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2633C-8713-400A-852F-BC30263411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47CAC-C870-47AF-AEE0-10B74C4FEB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EC9304-C7C4-439A-BB79-72A0C66C09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44E4D-4F03-442D-80B7-F542DA2DC2B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99C722-90CD-44E7-9FCA-10B322FE79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5BF2D-56A9-43C4-8513-A97ECD65C20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4B3120-08E1-4E60-812C-E327161A4F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EEB93-852E-4CDB-9FA2-468156D6F36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54EEA4-8C3E-4656-8D5A-35267086531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7D3C6-2160-4ABA-987E-2D6F19FDBD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4E312-D5D8-4594-AD83-5C5211D376D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97F39-B755-465C-903B-1E3FB31E2CD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10DF90-27A9-4F3D-BE2F-71504CA370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8A733-DB0F-4FD7-82C9-9B6714E3A9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B6090-47DC-4782-8009-A5FA26F1BDC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1E045-A5B2-4B92-A569-42147804D47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66D438-B225-41BB-BA59-376FC0AC6D1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DD671-606F-4397-A272-BCD41ED86B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BBDEC-CBDC-4B63-A5C6-EB431586A03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1248C6-A377-4B0C-B998-82B899BDDC3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C0FAA-38DB-4532-8FB4-BAFAE593A6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409D0-7EF4-4549-A555-F4C5C2BA222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9E0E6-512A-4300-9856-88632CD7F52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35D40-560B-47D1-B0CB-237FDCD84A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7E172F-4668-4B45-A478-2D1D64A60A6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5026B-F13F-49A0-9A1D-B21581BE002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CFEFB-6024-42A7-A840-DAFC54E513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AC852-F5B4-4A14-AB2A-44B356DE38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12362-D401-4606-99EB-4DA9F9C22F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2196FA-8095-4845-9F01-9D1207D8D3B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C6100-DDB5-4408-86D8-2499366456D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E055D-F71F-469B-853C-69D48BF7FC9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F676A-5F60-43A7-B628-28B1329E65D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EA7AA-D071-4A41-ACD5-02FF141E79B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2A1EB0-C7EA-44BA-8CD0-0F7184B6B5C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DCABD-7E7C-4D54-9E3B-5447BEA47CD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8F8AB-1814-4B94-866E-AF95C978B19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991FC-9277-428A-B49F-C3E76658F87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BA07C-A338-4941-8606-01C2BC90334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736E93-DC0F-4189-9A6D-8922A99111F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24F03-486B-4FA1-B39A-534DAAB41C8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9A3D3-EAFF-4907-B9AE-A580F7B41FE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E0D0F2-8970-4A67-ABF0-0EE0D05A633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4E4F6-EE8D-420B-9EFA-D561F1543E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B3A26-7F19-46E9-B86F-D52C91C05F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4AB3EA-9383-4E04-B0F5-A487CA18B3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EC515-E861-4168-A212-782DBFD210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66668-9E10-48FA-94E8-F14523B2FC6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9AF9CE-593D-4D96-8049-CBF6C9EB18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C4144B-C7F7-4203-B18D-E22B7FF73B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33E1E-2DA5-4EF8-AD42-023A71CC0A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5E425-E29C-4D1D-90B9-55187B0EB6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6FB84-408E-4A4E-B3E5-BCEF2111D04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258625-3F74-49AB-B34D-3F163381A0A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E6C0E8-5464-4189-84C2-FD801A1C964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027A4-D005-44A4-BA4A-F255284D455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972F09-62D1-4FAE-AEB5-AD49F9F8B86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33B72C-D565-4778-BD1D-B1F79FF062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D4C01-5AFE-4F1E-AA99-332EE969961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862A71-E190-4F68-8E2E-9C1968C2B81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1B586A-AF42-4EDD-8630-FC4699AAE8B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4C735-FE25-4E50-9BC2-4AC00B859D7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B991D-E388-466A-BEBA-3FB26659FB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38ABA-8A05-41F6-AC13-7376B88C582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563ED2-B495-436E-B2E6-5F654FA4CD0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66CAB-1B8A-4B07-889F-35498F69480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A822E9-03CE-48AD-953D-46727B834E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42EB5-DE00-40A0-A575-E51B22196E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1DBDC-701A-461A-A067-EC2CE589B44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FBEA0-D82D-4DF8-8E4C-89BEBF5431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C3F0E-8626-4C20-8CED-02AABD0BDC7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2DDAF-A58B-4043-AD42-AA605D417F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694DA-5F51-42CE-8E9F-42B040D19D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F01AC-D9F6-40BE-B36D-44A4F8BDA0B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F28A76-F38D-49DF-8D8D-EBC65AD012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3B26B-C93B-4072-8707-D4C4AAFBF2A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025D95-555F-4D64-BBB4-A66F3892BBB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7A913-AE53-40D3-8489-F3F38BD283D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AA98A-D0AD-4718-8D86-895E319A8EC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556402-1E40-4111-B3D0-A55AB0A7581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8B960D-FF57-45E9-8DEC-D0A054B130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5C15B-C787-4420-AAC8-A252287973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E53E2-2E96-48E6-8396-A0DE10FF1F1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B6179-8E9B-4B6B-BFD9-B7CDB6FF54A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FB7378-BD7B-438D-8820-1FD7C0D76CA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A3AAB-3128-40B5-8809-ACEA0A7107C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8B544-B9FD-4DEF-9C06-6D1D76129A8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A664D-BB64-4F3D-8888-B046F820A5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BEA98-B55B-40C3-AC32-26F9278635F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527CB-DACB-4376-87CA-9005F603C87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AB126B-1C25-49DF-9771-184C1740764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1E9AE-163D-43EC-9211-0E0B9EC013F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36790-9DAC-4F68-8A00-8D5FD2D0955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02D7E1-9306-46C2-9FBB-463E3CC3A3D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7DE74-897D-4D68-A852-2CCB4A434F7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F387E8-F701-48F6-92A9-4868021E65C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2C5B0F-60E8-49F1-9361-1E19D626DE3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57605-3C69-4A44-A88E-C1BA5172E70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3B512-FC46-469A-9F60-A8B7A1194C8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A8490-C8F9-4E4C-A676-F14AFE1F51E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08AB1-B6F0-40EE-AEAD-FC0C149CAA2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5EE75-9758-48E9-9EA7-9ACC2DB18F8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20E2B-A275-4891-AECF-2048259DD8C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82472-2F75-48BE-A6E9-99F54412C1D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BAC93-F549-4FA9-BBBB-840E01BEEBA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633EB-9E02-4F90-A2A9-44CECE9D8A5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0CD7C-65A5-4AB9-B2C4-7BCB21879B4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F337A-1C02-4984-8DDC-DE250BAF405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04DD71-61C5-4861-ADDC-8059E58380B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2E3E9-13AB-472D-A229-BA9C2CBF22C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A60340-90E1-41E7-B545-277BB83C601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5EDDC-4653-496B-ADA1-1E2D1DF5656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68F5D1-78D5-4BAE-B580-A4D56A23E7F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42AB9-1799-4478-9FD2-8B19CF76315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30F11-2BC7-4963-8154-542624707F3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7F24CC-02D2-441C-982A-C68086D0FDF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CA1AE-93BB-4CE8-A2D1-4ED7CC699A2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45536-F23F-4E10-81B1-4ED7299D12C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D0969-6CCF-4669-84E8-EDC107F64E1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49A3EB-522C-4A30-BD2E-399CC681493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F7508-9C3E-4EF1-AB08-1AFF8193B5E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7A56B-1C8C-4808-92F4-B3CD717EF29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93315-8E4A-47F3-B1DC-67F52D24E31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FF9BA-1D5C-4201-B480-53A1CDB798A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8190C2-6DD9-4F67-8DD8-A06B7BF7983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91CC7-75E7-44B0-AC68-3694BBA7F11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0EEFC-DECB-4689-9C9D-A4CF2B1DE4B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A19F58-7A46-4267-B6FC-8E03BB45272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9D8A0-8BD8-44E3-AD54-12B849419C8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98E8F3-12BD-4B13-AB28-B1D0188783C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8C36F-787D-450C-A438-9FBDB083DDC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73337-1873-473D-9A9D-621BF3E69E0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BAB23-1445-436D-AB82-7395F60F0E4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669E52-F46E-4219-8A23-A7865856AF9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FD075-DDCC-4375-BFA4-D9E0F199EFB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0E2C8-EE9F-40AF-B24A-4D54518277F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A33FC-C71D-41B9-88FA-0EB2C4A5B4B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F72F83-DB49-434A-8183-0B83F62AB9D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82310-A3BB-4970-80C6-8F03BECD95C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C169E1-C7B2-4A3B-A37A-750D51CD097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B3B2F8-DF9A-4ED4-8FFE-BA9FDBDD7AB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D22030-4C21-4084-9514-54A5A5476BE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A1137C-9D3B-4C37-B29F-ACA367C0AC2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E4D91-CEDA-4FC9-8BA2-A9E3E232235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D09A6-35CC-4111-809B-2F47589FDC2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970F7E-0869-476E-BC68-10DAA887621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D4EE9-D844-426C-9C3E-D3ABA654878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E0E60-A34D-49C2-8165-C336306F40D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09672-9EB3-47A8-BABF-F35FFBC8B63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F3134F-A6A5-4F8C-9E1A-15A3DB6954E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02768A-D83B-4A8D-8E9F-7D55978AE0B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598B2-E67A-48ED-93F6-912165AD0F9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91406B-BFC5-4EB4-A31A-1C8C0F0234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6E3C9-53D7-4136-AE0E-B25BE65781D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797F2-1420-440B-A3EA-42E93722DD4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2A3A0-190E-4E5E-8708-D0C8DA56EEC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3050C-20F8-4723-A23E-CAEDFF2D7B1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B5D3E-B170-4BC2-B238-121F6AEBD90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162D2-5F07-4ECF-9C66-B0A4C5BCDFA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3A7D0-7A4F-4750-9E01-25FD2B0376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B75F0-2ADC-42FD-87DE-7D7EBE2B8E8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1DDFA2-F9DE-449D-80BF-2ADDCF36FF0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7AFEE-A875-45A0-B19B-E356BF874D9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8E3FB-D835-42DE-BB7C-F55490861C1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FADA9-43EA-4D08-A51F-7D758677989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222E12-D39F-4AE9-A7F0-4473E669570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B0B297-E8EC-4245-BADF-6AD8D4652F6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FFDB0-F330-4A7A-9A82-D29353503AC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9E747-72CA-4EA5-AD48-4ABC5A36506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00E18-C217-4541-A4B7-2BFFD9759D5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C07912-6AAC-425B-8BA1-EFDB427AFB9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4B456-E21F-42D8-9688-EDAD467C7BC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ED63A0-2FD5-4AC6-80B5-BD0BFFF1CBB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0B993-A7E0-4BF2-B335-D7645247BFA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BAAEC-F3DD-44F6-BEAE-78AD6724004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19490-4524-45BB-A716-292DBABF31F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0EFA8-1881-40C7-A038-1DE07B32470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50217-896D-46FD-955A-849E7DDB531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C7138-1258-4B9A-AA0C-038B67E1797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D067A-645F-463F-853A-3318818F6E5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6E0B35-C19E-4ADE-B977-98BE8E89929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AC910-332F-4A12-AF4B-7783C67A961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709F8-984C-4DC8-8308-C5863F616B0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6BDDE-F5DF-47FE-8427-692453F11A0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7B8085-8FE6-4CA5-9C90-BFA5C9049C3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E403A-15C5-4E65-9971-4ED0213D6D6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4A7A3-3EE4-43BD-BA64-76F24B2879E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A063BD-36C6-4F3F-A0EE-24043C7DFEB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82A57-2904-4D34-9424-965B9020E4C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3CBC0-2A01-4A4A-9046-C50C9667124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DEB16-DF41-47B9-AF64-F075067D39D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714A75-59BD-452C-9CE6-324B4A5CE37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A51F58-F75F-4C5F-B5E6-F3A88AFB440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D64C0-8918-4C39-B459-E8518A10131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621FA-28A1-451D-9D06-584D40224A3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78908-DEBC-4F14-805D-D4D9014A613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A02584-A19C-4919-A512-A531318F910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0BB618-E95E-409E-BA8D-68F03B3EC0D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9FA47-596A-4684-A1A4-F5104058524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5A7324-CA8A-434E-9071-D9402063DDD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AE138-32D4-4584-B40F-E7EC12E9283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2E2AE-E266-4A56-B00F-73A0F8D9592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CB367E-B5B7-4C8F-8C4B-00892576A35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87A124-A50B-496B-89E8-C4B44236DD7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C96D1-0C15-46E6-959A-F359D78BCCE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12BF4-D84B-48F0-A9AE-FA40E17D3A2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1F3B1E-02AE-489D-A121-36F6B4E5CF1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6F77A-D0A1-4757-BD12-A0FC2D6AB58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C5110-4D2D-4238-91DD-9114B8D262E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367C76-75AB-4334-AACA-30F82AA65B9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A7C64-BA92-412A-AB2B-5656F3680EB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D30F83-539F-4662-9042-5DE23351B19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3E3C99-779B-4DE4-8D32-61A1EBEF1C3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E80010-9F67-4484-8F44-784F0351DE3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DB090-B795-4E06-9744-DF6D35E9C08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77BEF-CEA5-43E2-B937-18726BA6EB7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08573-9EF1-4B83-B62C-8907DCCBF5D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8A4147-C7CD-4BFE-85B6-8757ED9F784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96DDF-68F1-457E-B8E9-B4026220B52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9BB761-DB92-4BE1-B61A-A8AF3B34406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CFC6C-2D4C-4FA5-AEF7-779FF5F036F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267F9-B350-4405-A524-AFFDCF350F9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23BF8-FF71-4694-9A69-704DF5BCB5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5C519-1B17-407B-A293-13DFA7A21FD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1CB05-8D99-4B53-A522-E6B894B4B31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214AE4-9D79-4885-913D-46AE80B4274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8C121-9F38-4345-B057-F340DE7813A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665E3-ABA6-4AAA-8E7F-F5FA13B5D7A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B24D8-C524-458D-9EE1-6CB90549911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F43C7-B0D4-4D17-BC4E-F49031E5C3A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8D61D-E3CD-4294-B0B6-3E063E0AAAC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9BE54A-C691-46AB-B2C4-9A50851824B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5A23CE-6709-4947-AB91-9E30D3A1305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C56930-2C67-41F8-8E8D-5EBAD98F04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23CB3-22EF-4DFD-B2F3-31B0C4B59E5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A56D12-46C7-4AB9-97F4-ACA03D79AF0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AC4E08-BCAF-4496-8CCC-235515C88A3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61168-DFED-4F8E-AE4D-CD3713FF638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B1688-2DC9-44FE-9D5C-812C01E78F7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D0C6B-5F02-475A-8A5F-82508F1CD19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1874F-7226-44A6-AF68-49FADE99BD8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85024-9FBE-47A5-9F51-B6500430AE9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B58447-7965-4A90-940C-F06684C9333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AE607-C805-423A-85CF-D6EC5D7874F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20E1B7-F824-4378-A0C7-54E5B2811A2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BC297-453B-4D2B-9B2E-943F03C4C8D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C2D5C-EF8A-47FE-A798-8FC9C92B5F4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92D4D-00B2-4962-8322-70E754061A6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A40F8-36D5-4242-B989-96E04CF990E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F346C-66D6-4DA1-868B-DA57572CDB4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BF41C-FB56-47A2-BEBC-4A1708B4537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244CE6-B6ED-417A-AB4C-207130891A0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81AC4-8684-4547-A456-B0D160DA654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6F76C-0F14-4E29-ABEC-6C48933D616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DF9FA0-BDAD-42A7-B01B-3341C8DC182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665BBA-CECF-4372-8EEB-9FA8A069F9A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9B908-7892-4D84-98EE-BC7E131647C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71677-861A-46DC-B2EA-7D5C9179E73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5B75E-A551-471B-B0E8-6D1C4BD3DA6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004B3-A0CD-49E9-AC31-436EE8B8E95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3CA9F-1F93-473C-8273-1CEC8446A9A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3C9A6-264C-4574-954C-A2462957EBC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750D7F-2345-43B3-8072-46AFEAAAD56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E6941F-DF37-4B0C-9091-F6A075685FB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FF663-3995-452B-A120-F3C55E36EF7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6DFF9-F5A1-414D-89EA-545F10A4A09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CE32C0-658B-4C98-902F-5097B92DA45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E4BD2-49DD-41BC-ABE2-6DE9D2D1436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FFDC0-4D6B-41E7-9C5F-53DDA42A122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088E3B-9433-4467-9F0A-296761B3B8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89D0A-5817-4E92-8FB7-BBEE2DC9FB4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3C59BA-E350-45B0-A7D0-8A2A9CFE7E4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A0F54-8BFD-411D-A55F-E2F817D8887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0E8DBA-CE91-4919-9D89-C9FAF62043A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2AA74-8622-4637-BC66-50B0B765749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6A0EA-7619-4BCD-9BCA-D9DA44E55A4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2153BF-1036-4F1C-BE43-1B2787ECE27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60C7C0-5E16-4FB9-8A0B-5F98C875464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62D3A-836B-484C-8E9D-0D0C0383E21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8DF5D-737E-4A7A-B5CA-0D4C3B3F70A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DDD9F-552E-4020-BB6C-1BE3A15CC8A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564D4-4AE9-475B-8717-E79901C03CA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1E852-5E6B-49EF-9587-2A9D40AE283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39219-5633-48AA-AB0B-384B8274537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EE1E1-BCF0-4344-A98C-E56DB20BAA6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AF123-558E-4D14-826E-E9B8BC69A26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C9301E-E007-465B-80CC-A3D34C370C4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8F4138-8E01-4AA9-8903-7F66BCD2359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4EC987-3DD5-4F2F-9306-064CB688DF7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75079F-8A9F-43E7-9840-242A9975B44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FC8BA-10B7-493B-B6C4-1B889DACD2B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B7245-027B-4127-B21F-5073988A441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5FEB5-CA02-42CA-A9C5-CE78CB284A5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7C5038-ED1A-4D45-A9CC-188912E692F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C2A340-4B64-4584-B58F-D154839B5C9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B607D-605F-4C2B-A27D-4DD4EF692EA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D9A91-7BF1-4AD4-A4A3-5D63DEF6E3C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A26E0-5685-42ED-9594-74F3C57F808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2EDBB-4BCE-45EB-BD69-84A6C923C3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5E7E4-DA76-4EBC-8EB0-6198DDBB0D9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ADCB04-7EB1-4E96-9A36-9BDA1255226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D3884-42D6-4BC0-8448-5ACC16C0C0E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0095E4-C50A-4FA0-B3E1-85D676AB624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7291C-3F70-405D-A981-7D38B7CBF2E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70ABF-1D2D-42BA-9D20-B102D22E9C2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2241F-BF1E-4566-80D3-B27D03E7716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0C70C-B246-47FA-9387-8F987F0A0EC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B1D78-793D-42F6-9698-8B87174E4B0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016164-8D3D-4956-8BC3-4546886039E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ACE7B2-276A-455F-A2B6-0D9E420F6BF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BA959-D767-4781-B18E-4E57A42F15B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E37F0-FC82-45D2-9B92-C191F30380B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BEBAB-AB9E-420B-BCB6-0B7386258D8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79CC0-BE27-4BD1-852E-211B5C0496F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09A90D-180F-4C1A-A872-3B9B17825FA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15E5B7-F1ED-4679-9C17-F393BE9BA2C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42380B-3CE5-4031-BC02-67094B13B33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FF84E-9349-4DFE-9201-40612509AAD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C59A53-BCF5-4523-9A51-0B5BACF296F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930A6-DA67-4D15-AD71-164E7B85A8B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19710D-3CB6-42F5-9F37-2A339C4A211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E61DA7-5338-4877-9520-AD8394F0B94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F12BA-6B0F-4E68-89C7-FC4E59DE5F1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C35681-21C8-409A-8830-AF878A7FE4F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9F342-737F-4750-9B47-E7EB5DD1AA3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5CFAA4-D318-4090-8524-E6D7FB78C04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91B00-4AA6-4895-8B02-70FF512B94C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EA63ED-6361-4759-92D0-D8BA97830E9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B5950-1601-4D59-8B81-C85BA266979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1A2DB-FDC2-4345-A2FC-8C93D9720BA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BFE0C-E0A3-4479-B8E0-9CDCE79B05A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2CB0C-8187-4015-AFFA-BDBF09DBC44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6DBC7-62C7-43D3-9E4F-CB7F3EC4A7A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83C84E-521C-476A-8112-2F99B9C216E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875CA-1712-4957-B089-F3811AA19E7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36878C-F8EA-4E53-B3B2-940488705C1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BB0C5-CA8F-4EEA-A58E-4E238330A80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A17F1-8B3B-49B4-9DA9-5AE0A2495B5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F7D3A-C5AD-4AE6-B64C-0992B8A7C29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6E6DF8-F813-4D0B-9192-1ECEE89DB69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6B45C-0436-4F83-A9F4-BE7C6C6A58A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5FA3C-6DB2-4224-AA36-4E21924A1B3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C2088-82AC-4A47-85EA-E943D2575C2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BBB69-17F1-4453-93F5-8BEA50BFDF8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D665A-18A0-431E-8CFA-AD4763AAAEE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5A44E-D88C-4A0A-AC03-EE80856AB36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EB1A82-3B06-46A5-B4D0-36C0375130D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6C57FA-E964-4946-BC0C-E3852317850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C3782-4F8E-426D-91E2-01AA679E7E6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3FBF01-0959-4D95-9EFC-20D2196CFAB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42547C-B502-4137-8147-912D5F35768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2C206E-9D29-4FBE-AA84-5B80A703F1B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E2F71-0D14-4AB4-BB68-1ED1E80FA3B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DC822-1787-4AE9-BA32-7993C7AB8C8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1A143E-CAA1-4BD5-B73C-4CC1F356911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EC88D-17C4-40DA-BB11-54E8B25FF38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73AE9-5BE2-4338-A502-2EE9927AFE6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79C64-606D-45DE-B973-59D6B2B14A7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3234D-FCCB-494D-95C4-A9492320E39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F84F8-6ABC-4190-91B7-4D09E60FB1D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FCA46D-DAA2-4D9F-A5A0-BFE73DEBEEA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79AE5F-BC74-4D7B-AEAA-04B3ACBD3CC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A3BD5-C34D-46A1-A79C-37017F97525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B1DF3-8AD1-4D02-BF2F-0CF53F968EA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0E707-BDDB-464B-BC6A-00CAB58C92B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34690-62BD-41EE-89FF-C923986BED0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4A487-ED78-4758-9586-72CFFC9980C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DEB1F-3285-4DA5-AD37-250CD439EAB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079EF-E684-475A-817F-78718BDA661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AA375-E697-41CA-85D6-DDBF6681B5B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F7048-8C2D-4BB5-8D36-CBA67A0E6A6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5D388-E1C9-4E76-83FA-19A5D5FBB38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808F3-FE86-43A8-8CB8-2886F4E690C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68C5F-13D2-415F-B1A5-9C3A74E82E2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CD6B16-6F6D-4B75-9FF6-2A2FFEB160D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2E4441-513C-464F-AD82-BAEE61D3333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22636-4B56-4452-B3BC-51EA4D239EC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1220D4-38BD-46B9-AD40-1CB86E9E695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9C82C-8367-4005-8C22-737A3A42727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8B2F8-4F35-40DC-875B-7238CB7BB8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539B5-9CA4-420A-978F-D13C77069A2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DA403F-DAD0-4794-9972-F3339CB38A1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F9BC9-8F9D-4492-9221-A506B2DF3CB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7905A-63DC-4E9A-BFEB-F060F97E8CB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051FB-1B88-42A6-A974-124CFE4019A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A35F7F-FBCE-4268-91A9-BAFAB35918B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06BF5-4784-472F-9DD3-BA80E222A41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B1A8A-60E0-42E2-B772-06E21DB770D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E6357-1C87-4E26-90C1-0AE8E1ABC1E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FB6010-47DA-4168-BF67-7EF88A3F929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6A6EC-205E-46E8-8D7C-98932B69DB3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BEA971-B225-4478-BB57-F4A61CEF5DD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D22AB-AF1C-431B-8264-DA6AB305E0E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854C2-FF66-4A35-8D2A-9DEF1FF8B06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6CD18-4C5D-47F8-8D9C-3034CD25254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B71F0-062C-4823-9137-C9C3C1D24F7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FE59E-013E-44D1-B584-4B016BD6D11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D46A6C-6610-4B9A-9FFA-7748B50185E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7989A-C5DE-4876-9FDB-43EB186C351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5CE47A-1068-4A9A-964F-56D68BED401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256E1-A5F9-401A-8A2D-73403E15FA5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80BE18-E188-40BB-9194-4C7591C8B20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CE7A8-5161-4EFC-8DF8-CE6BFB5F106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81856-8648-4328-B6DB-AA43AA8997D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FEA76D-D650-4709-886D-F4653919600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24DA5-D666-47F0-9C23-B559B7ACE37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53268-AB0D-4E09-ADFC-91387B1D84F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42876-C35E-4815-A1DC-BB073FA6C6C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DB4B54-4827-4AE1-BEA5-EF56109F773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08D0A-9E68-429B-9063-2C260BE32A9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32CA5-2F3C-46DE-860B-29591B29866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EFBC3-43C5-483F-B8EF-DE80F7AACDA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1F973-030C-4ACC-ACA3-7907EF8A493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500AD-5129-412C-ADD6-7C482045E08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000D2-B8D4-4D89-9E08-3776B661178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D3EE5-306A-4487-A411-529D54D37A2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38B99-4EE9-43AD-B0D4-36466957202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2DA09-0772-4604-9F59-FFEF38496A2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EC487-7887-404F-B9B8-561C8270939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397AF-F297-4973-9425-B79B6D51EA3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B43981-BDA9-49C8-81DD-9DE3E856BB6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6FD38E-6A34-4095-9D41-717CA7FC233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90AF8-5FD5-48EA-AF15-03CFE0C3995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4841B-FD9A-4283-8E25-65650485BBF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B6C860-AC71-4E7A-87EB-24CA1D3AF1F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97ADB-0129-4C2F-8312-4469E7606EA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E509C7-1F8E-46CA-96BA-B3412A2C0A3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A8D02-FEF7-4665-AA7A-6B5A12F4DD6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474C5-135C-4370-B3C5-F271BD21746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13272-53F9-4763-A439-9C7A5F14D54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843F26-4236-48BB-8B6C-6BD617BEF80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EE780-CE56-4F8B-A1CB-3C72A0A43D9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44BC1C-E956-413B-AB7E-B2CBDCFB108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F9896-BFA2-43D4-BDAC-E0D4789D766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4D668D-88B3-4AEA-B873-C85DA870A6D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E1EF2-AED1-4A00-A4E6-5590F1FBC6D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5A5067-264A-4168-B6F9-208FDEDF4CE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94F6E-5AEA-4152-82D4-DE7123E970A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DDCD4-3A1B-4A51-A881-C1B87A62404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50AF3-651F-4607-8CF9-839A5620772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47872-849D-4068-A41C-0D2FC79F408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A8FBD-92EB-42C4-8851-AD8A32600FA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35C13-8E5C-4DFC-970B-125D2FB8C9E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172F9-9521-4A09-9CF6-8E18AA1B465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0C027-953F-46F4-971C-5F5A51C2D08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5138A-DC84-45B9-BC66-5267940F03D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480D2F-5804-4A32-8C47-87B55D6022F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B3B8E0-3A1A-4122-B41B-76B39E0388E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73C45-C796-4E63-8760-59A78319C0D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F1E48-13EF-43BC-A84E-3A3D527A60B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17FC8-F5F7-4CB9-922E-6D08A1AEC08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DB2A22-E3BA-4330-BC6C-9D8EFC664C4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0A8A65-4CC9-42A0-9EA8-E061AD16472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D553A-514E-4D77-9801-67A77077FE0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DFA3FE-9E1B-4633-A2BA-7E7CBF3420E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E32B6-3A9A-452D-A2DE-D316B43EF15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020C18-ABE6-47FC-A47E-4C56B8AE70F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6442C9-B9AA-4310-AD71-E1A8FD4B50A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35127F-1005-40B8-AAD8-D19B5275B63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B5D65-AD67-4ECA-83DF-617753F226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56E91-98D3-4A38-97DB-5C345908BC8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EA2892-BBD6-4BFB-972A-FA99D107E19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DB7A8A-1D43-4679-A355-4F5058D5994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A23728-CC38-4A13-8317-7067FD2677D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BF299-9FE5-4028-8686-BD59AB604AD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B9589-6390-475F-93B4-726607A4684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A9FDBB-A9E2-475F-A2AE-A869C8CB8AB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64515-74CF-407E-8A1A-D89DAA06469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A6978-A7DF-4E11-9D1D-9D53A72D6C4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49A664-0F14-4311-B490-309EAB24CF4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9C9EE4-E5F4-4192-A52C-7ECE1E7F32E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56CED-0CDC-48A8-97AE-0FD0553FD6E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AD27B-6DFC-4225-B71F-1640098AC41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065D29-AC12-4934-860B-B0638A196F8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4787A-C708-4583-BF9D-A10268EF3A1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71712-F29A-40E0-8782-D1B34ADFA28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99F018-4673-4837-A2DC-43DD7D49C7D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6F6199-5716-4555-83D3-6079EC66B13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93A05-0C40-411F-92AA-14A6440E37B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FF92F0-DAC0-4E20-A986-B8443096CB7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B2CD27-D404-4FF9-A121-E9B1A5E0704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A9D49-7639-4D3D-9FF0-8AA38E674CF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EE74A-A396-4873-9917-13C57CD1A97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EF372-256F-4342-B048-C67C4F67182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C5A7E-DCB6-4E5A-8D68-E98903A94C0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9BB4F-218D-4900-A03F-ED14424BA2D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56A25-457E-41F1-B99A-69EB44503E2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DFC01-1567-4ACE-BB4A-0906DA8E92B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4D397-BB55-47B2-B481-AFD3A678CD3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FD933-0AA3-4652-A9B0-4B34E926C71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00EFB-619C-4FAD-A20C-A527B24714B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EE863-5F9D-4437-9D20-58BCC68572D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DB50C-ADD4-4E88-94ED-6E05FEC94E5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FC34E-9A8A-4A23-84A1-EE152D82D17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1FF6F-353A-4F08-9183-19723BD9C34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AC7318-F37E-4B22-89DF-66C53D137A0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05AC85-7C73-4B91-9E30-D64212A4D73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3285A1-2166-4FD0-9AD4-99FD893647C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B3D73-85EE-4122-A45A-482249E2CF0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01871-BF0E-4C8C-BDE1-D2C3607E056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33628-0269-4F33-8C6E-6A0E74D6A23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51AF8A-0CE8-44A0-BE4D-387CF2FD11C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3672B-0DE3-4686-891A-116E4539098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00D74F-52E3-49F1-8CA9-13D0312CB31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E9C111-9AEB-4149-B706-D2887482058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5B8F20-0EBA-4C78-BE0C-16718E19FD9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E4EC9-B57F-4521-97ED-61A27678B75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A05783-CDC5-4C31-A6D8-3EC32717E3B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52235-388E-4310-931E-CC58135A18F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D6C7C-68D3-4E29-9A99-0587C7B63D8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E50CF-BA90-44F6-8D72-9F009D2CA6E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66A044-45CF-4F7C-875A-A9CB9539025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8669C4-17B7-4B86-8DF5-73DDCCD9B83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4A6CE0-4A56-44BF-B2F1-757325F2827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79240-2827-4AD8-A035-3EE99E58A21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EB633E-7767-4CC3-8AA3-07D846D550B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CCD62-36E2-4B8B-A2A3-26B842B7583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96602-4658-4315-9CC0-D8BAABBA8C9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907AC9-6412-4F1B-9039-9B452B131E7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56048-70FE-49F4-80BA-90ECAD23909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BE304D-EAC7-4C0D-820E-7CD9AB817A4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2AB1C-042A-4D69-B23E-0801855C866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2AFEA-0E0E-43F3-A5A0-DDA39718FCC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3E46C-7CD8-4594-B5F7-958C87017F9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A31F1-8909-419F-B9A8-0C4F5B177EF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4450F-BE4D-4982-9C6A-2979E122134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3064AD-16A3-42B0-96C6-468DEBE5B1A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F0918-6C9A-49F3-85C9-EE084F8CD54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5C14C2-B2EE-445C-B6F9-4CB51FD90A7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5408D-6796-47B2-9F67-3B028AFCA97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C561E-D1B3-44E5-92CF-0962E3BDE5B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8AFDD-C923-435E-A016-DA742DDA79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E2BB9-4586-470E-BF88-BEDF08EF992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0364B-39E1-4709-AFB8-B9A56F66679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56F3F-1B56-4A7F-B33D-0D555FA35E7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CB86C3-D5E9-4C37-9875-8C085800FA8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E261C-4D5F-4411-8AF9-421D864880B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C796C-7E23-44AE-BCD0-F3827684DB3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9A2B0-4479-4FAA-AE20-DD60C349616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83D11-46D8-4FB2-8E1E-F7FB767397F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322B1A-7C5C-4677-B738-9172740DDE0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FD8FDA-AB42-4046-884A-3AC48557ABB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A21D0-9FB2-4DEF-9D87-E98148DC5BD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2F7965-0426-420F-A92A-74C1B49AEFB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03EB0-3CAA-4FB6-9680-9A0147B164A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F9EF6-DA43-4407-9084-20C3190132A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B79ED9-B3D8-4FA0-B2B0-7B8B0D8D107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F2556E-C333-4EB1-BB46-240615EA6D8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454F2-5B3D-4CDA-A0CB-44E1D6D7250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9F88DD-1CD0-4B59-9D6C-E0E0DC0D99C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54D81-3541-4F1F-A533-A5497D01254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45F49-2AB7-4E9D-9B02-68BF6FE36E6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E80F05-C79C-4B56-A44F-498A98E4CAF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F09AF-F197-4C3F-84BC-90C8241D687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5A94AB-9111-4A35-8DDF-E9D45A9BDA5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60BBC-4E0A-4447-AC2D-59F1DF0730D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8DADF4-7448-4DCE-B2DC-B10E049FBA8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19F18-3991-4615-B830-C0A6C449887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2EDABC-23BD-41C5-AED3-8373B231FDA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FE6953-75B6-4E86-8900-C59B91D7E6E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E7453-6A25-4262-B57A-658E7CA08A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3F7A25-7C5E-4DB8-8614-4204A1F3F53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8B28D9-A56A-469C-9A7E-556CCBBEF15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832E0-5199-4AF2-916B-3BC2C1CA546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93640-E9AF-4EF0-B18A-04C64C31F8D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900E9-C41F-40B5-BE75-A3D89904763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AF261-6055-4C3A-801F-3F62ADB1E18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CC8EC-6C41-4A3C-BFD9-62B0A267518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5CEBE-2D08-403B-B9B3-EE4B02774AF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29684-8BF0-4230-B275-94D88EBB522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3EDD9-D855-4822-B62E-56B3ADED799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7B1DB-4C75-44D3-8BF7-C08E1E4D32F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CEAFAB-F078-471D-84CA-E2B761A2133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21C738-D8E9-4EFB-A2FF-A9585C30C04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AC386-714F-4231-A45F-22CBE362D2D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6E8C5-4288-4ADC-A088-5FA3681AF55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A84D6-48CD-4894-AB3B-8E43DD84FF0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CCD44E-7776-432F-A262-6F2997D3621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90B0C-C518-400F-BC0F-782C8871399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BFCF9-3E4C-497D-8932-F6A751C3235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6BB0A-AC31-4826-9268-CCA7CD9F9E4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9BEEF-D77E-428F-888F-81F50F5249C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E01B1-2067-4CA3-A969-33FA6C05615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31981-9FC2-4505-83A4-56DBFECB211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927168-893E-4BB3-8893-369BAC586EC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4471A-6617-4AE9-93D0-102DE30D63C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B1D9F-4CE7-485F-8399-D14C62B137B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9B032E-5D25-466D-81AD-17915D78AE6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3CB45E-7D76-4C55-B28F-124EB0DF5BE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06C87-DB72-4D09-A5BB-EC6AC7349F2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DEE7D-3603-49CE-8E39-A080A26D1CA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62DA7-C1F0-45AD-B37F-B248C2FDAF9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CD45A-79FF-4008-AFE5-FC9D74AC46F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57CA2-0366-42BE-9B62-7FDFF40D97D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F0848-466B-45D9-86AD-3FBB1AECF0D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061F9-0B67-40F1-B6C5-2316840107C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78820-14E9-4ACD-946E-DCB98A1F246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CFCECF-9D8A-4DEB-8CD2-4AB96950E78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9CC56-2825-40A6-9203-38883D0A4D7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E0B9B-4E30-456C-9363-E00FD704847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EB130-DA89-4BDA-BCA7-D920E492143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4F86D4-3BD7-4F1F-B314-02E132BF2D7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7086AB-88CD-480C-9F09-08CE77E5DB4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80B2D-FAE5-4B7C-B300-2C6BA4978C8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93DD99-D6F7-4034-91D6-1D08B8A9884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1E3BC-7F41-4951-9F7B-E234C4107E4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36B5E-D49D-47B8-B42A-E960EB08C48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C9769-8BA0-4808-901B-BCE620AFD2B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B6334-0841-49B6-B4FC-0C44CF4AA37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C2259-B853-4675-B3D2-5AF85267964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16AF89-A72E-423E-996E-F42570D59BE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4E1BC-C9A2-4D28-A52D-32D97E5FE54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739E3-BE56-479F-BC1E-12026F288DB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E4BCA-C714-4535-879D-AC6CD8C98CE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D673D5-6948-4729-B886-6B02462E1F8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E04DD-1DEB-476A-A069-EF80B16F776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CCF46-EA97-4A2C-8D4E-23D42AF77CB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426A9-3598-46E4-9290-E080887531D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C3B57-66E6-481A-AB06-6C2E25D159D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9043C-856D-4D3D-8BE8-0FB647B297E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F69FDB-B2E5-4FBE-B764-87B140C08E7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E7847-4C37-41A2-A6F4-E9273036913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3FF20-0E4C-453A-B3EA-36ADD9390B0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8C621-024C-4462-AD31-CE7DF205106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3451C-063C-4652-9F74-B764BD6A8D4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6A40E-AC9C-4141-9FFF-9FF2B9BD329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A48EA-8A44-474D-AB52-53A71CFAF32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D3FFBC-744A-4655-8551-502E11B60A3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9FAB7-A015-4BD0-BA3A-AA6C11CA814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B96BEC-117A-442C-8931-6FE0FAC5823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41028A-62FC-45FF-BA94-1AF24DAFB86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4D3CD-BF1B-46DB-8BF6-C7A87AB6A6E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FEFCB-6B45-4251-8A0A-3FFEEB1F195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EA56E7-EB6C-4EE4-89FB-7D27FFD036C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457A3A-880D-4E04-B4DF-7E13E686B4D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AEE420-29FA-428A-A705-E807F718F4C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8516D-CE75-4E2B-90AB-772801C3108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BDAE5-9B90-460B-B63C-B8C062760D3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AA384-792B-4C0C-833C-FB39DA01479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6A95CC-4E2A-41B4-ABBD-FCDA96E25D1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412EF-9CD8-4C4D-9727-7B2DC33DB81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01A1A-79B9-4429-8267-96CDA590A57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33D7C5-DE46-4262-A2DF-9C89443C376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3B74D-7568-46A1-BBB0-3B08D01DA33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ED877-5648-4A8F-B6D5-D2006C89805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00E58-86BD-4780-872B-19C28DDEA1E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DD843-AB2F-40AF-B86F-A244B19C543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145948</xdr:colOff>
      <xdr:row>6</xdr:row>
      <xdr:rowOff>99860</xdr:rowOff>
    </xdr:from>
    <xdr:ext cx="304800" cy="304800"/>
    <xdr:sp macro="" textlink="">
      <xdr:nvSpPr>
        <xdr:cNvPr id="5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AAFA5F-C04C-4742-8AD7-52195EE631D2}"/>
            </a:ext>
          </a:extLst>
        </xdr:cNvPr>
        <xdr:cNvSpPr>
          <a:spLocks noChangeAspect="1" noChangeArrowheads="1"/>
        </xdr:cNvSpPr>
      </xdr:nvSpPr>
      <xdr:spPr bwMode="auto">
        <a:xfrm>
          <a:off x="13176148" y="13762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6663E-FE86-4F99-AF73-AC1D4DD5035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55A0E-8CEE-4E5F-92FD-1FD635F4812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96905A-A4C1-4B9E-8EF7-42D7AAA4DCC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7F6928-DCED-4B17-B500-F750E7C3E63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2D057-362A-42D5-AAF3-0DE6AFE7382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31BAF-2705-439F-900A-039FAC8D8D3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7A75F-7410-4BEB-8FFA-523BEF4DF5A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3B216-9338-4026-9D87-532B53BE9AF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8E672-573F-44EA-BC2D-238B640D08C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5BBBA-6413-41EF-BA98-BD4F9628D82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8A17BD-D9F2-45A9-A27E-5A1D69900A0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CAEC4-5D90-407D-BD47-65D4A48A7CC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4DF28-7B7E-4A5D-92EE-E4479D136B9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03FA3-CF82-44DE-B802-2DDE1CD8A90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7ECF2D-54F4-4E4D-B37E-2A7A0A4BEF0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909BA-3DAE-4CC3-A575-1B2DC39103F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DC43B0-09A1-40E6-A50B-ED9F088B21D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3B976-7BEE-4D61-ADD6-0A0AB38672B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283E83-11E2-4FB6-A6E7-C67800ABEE9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3E8CF-1876-48C0-83A4-CE71CAE483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991D6-628C-42C2-96EC-F242654C000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0A329-1F74-4EF5-B722-42C6DFBD9BE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F0E1F-ECB0-4905-9A17-9A329FF9726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B7B0B3-013F-4EBA-B921-55215812A14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6EF327-E693-4A22-B0C5-26A15385845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FFEDD-523E-49D9-BA37-99BEC994FBD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318CC-6458-4AAA-B471-D151269461C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E69E8-4D43-4767-971E-30A5305F6DA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041213-3C45-4906-A248-52E2867697A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FA6EC-7F8A-4A78-AB91-F478AF3A4AD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E174AC-11B6-4952-B1EE-E60AB9CCE94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96C299-DD41-410A-90C0-8686ACF21F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E351F-FB16-4D7E-99A6-7995A1F0E2B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C67D4-5287-4C78-8436-CBF0C9EA4E3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D6461-E325-4F43-91AB-0CA2620D7AC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B0A1FC-AFDC-458E-B0E2-3FF8E51930D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1F9C3-1E0E-477B-8A30-C508577B227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43633-3D6B-46A8-BD01-F45077B3B43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B5E77A-4AEE-4AE3-B564-8521725DC3A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D25A76-301C-44FD-9537-3C5050615CD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FA72B-21F6-4D78-B52B-9FC148D6D8D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87462-CDF3-46BE-845B-37B29CB9E0F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AA2CF-47D1-447E-9BBC-D10410DCE16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045F52-CD6B-4EC8-AAFD-285482520FF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1BDAC-B8A5-42F0-A49B-18A1484596B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19637-7EBD-4529-8742-C0A0E53506D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415D0-09BD-4D41-9CD8-4BF4ABDFF41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80EDB-A080-4AC1-923B-036CED5004D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209550</xdr:colOff>
      <xdr:row>5</xdr:row>
      <xdr:rowOff>9525</xdr:rowOff>
    </xdr:from>
    <xdr:ext cx="304800" cy="304800"/>
    <xdr:sp macro="" textlink="">
      <xdr:nvSpPr>
        <xdr:cNvPr id="5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49674-10D9-45CC-89E4-3B407356B864}"/>
            </a:ext>
          </a:extLst>
        </xdr:cNvPr>
        <xdr:cNvSpPr>
          <a:spLocks noChangeAspect="1" noChangeArrowheads="1"/>
        </xdr:cNvSpPr>
      </xdr:nvSpPr>
      <xdr:spPr bwMode="auto">
        <a:xfrm>
          <a:off x="1299210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152750-E0FF-45B8-96CF-263F1985D1A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3B2BB-F510-40BA-89A1-F87C64AA991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CB887-5261-4583-BCBA-B566554F2666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BD86C-9037-4D2A-89AB-617A9D4D261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ABA92-DF04-439F-B523-8D13EB0A432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91E049-D878-4CC9-96BC-9F548D5D5BD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939A8-69F8-459A-B65A-14B479B190A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BD6A4-4CE9-4BBC-81C7-DF68C924227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522457-A845-4053-8B49-0A50D0D1C1D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95A578-3FE1-4B0A-B767-873509526B8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FD0B4-534C-49F9-9ECD-FDD98E7AF82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43E7DD-24C8-4DC4-ACF2-8ABDA610E85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162F6-98C5-4F3A-B9EE-4DBD1F0AA09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F8ACB-C474-40A1-AB89-08EA1768458F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165A3-2CCF-4902-B969-1D03D5E1EEC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C65D4A-4F3F-4158-9352-D19DB9A5798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8F787-D8D8-4596-9A69-BB7EB0B1D44F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239E5-4F15-4EED-861E-0A568AEBD4A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28D25F-67A1-4008-A6DD-009666FDE0C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44946-0A33-42A9-88B5-60915C3864A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5EA67-4F9C-4C0C-B871-43FC9053E7B6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163D5-254E-499B-BC1F-D9E47CF0832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B6D30-3B46-4C57-B539-24A01ACA5EA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515D2E-A8EF-4C82-ABD4-462D3CA8648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B60CE-747C-4FE4-B6AB-3FE538A9AEB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93FCC-25DC-4CFD-9E3A-95C3B5F09CA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D1E2A-5405-4A8C-A20E-DDDC3D5BB35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EBF97-943B-4734-9FAE-4E092D1E8E3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A90C1-321D-42CF-9B38-5D3286CC09D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841ADC-0047-4B5B-A689-5482A621D00D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91D72-3938-4194-8CF9-88C64419424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C5A0BF-64F2-4C87-8044-84D5A3C3C22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46B706-59B1-4515-8861-D628EC2A939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1A77A-5E43-426A-ADF2-600C38B6831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BDDF92-4C5C-4380-B9F3-18CF9D8B116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4D0DC-91D7-466F-91AE-CCC162F960D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AAEBD-5215-4324-BE3F-3E2DCB34CD64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2DEC1-C7B2-4DB6-BFDE-8E87570052A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041879-B5CA-4AF6-9B9E-512A97E185DF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712F0-3A43-45B0-ADD1-6C5F345A53E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15B53-7287-4660-B6DB-7152D23A10A6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6A374-E713-4C82-82B5-16821C30D8D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403694-6861-45AC-88C2-DDC717F13D0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73F4B-3440-48D3-8159-96B30C6ADD26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A0CFE-EC02-4708-AE92-A8822DF54946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DD60B-8A58-4B3F-A8B1-44D7231E014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214E9-E96F-4CA3-8199-2BDB526F8FC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6ABA3-BCA9-4FB3-8F99-98ED08E5615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E2BF94-0B06-44E9-8452-FA68B40372E6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32D76-A4D6-4855-BBB3-5CA8035E86D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C3130-2E25-4F8E-AF2C-877AE467E5B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1111E-FB2E-4753-A002-7461C3FE328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B2EB99-0395-42FE-9EA2-C58D80E4D7C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991397-096A-42A8-93E8-153B4B9E0C2C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C72612-2D53-4568-A1E4-475B5EC3228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7BE4D4-0849-4943-91E4-F52DEB65327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6C073-6CE2-463C-AD30-B2FA23AB8C0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A8173-D08D-47B5-BF74-513C868E773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3C4A6-2E5C-461C-ACF4-116FD64A209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0D955-844D-469A-A7E1-00055CEE933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289FC-93A1-4F98-B12E-0A002C70012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6B9465-B96A-495C-8264-19C6EFD131A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DC81DC-374D-4FFA-8BC7-C71E43273A7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4DD82-AEA0-4144-B157-49E8F28F75A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1B18B-4CD9-401B-9C6F-F324127005E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E6D1B-6D1C-4F4A-A77A-9509E80D51F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B1B66-F8F8-47AB-8BED-C37F2AE27EE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B94B8-5130-45D0-8FD7-05F2866D0C8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E635A-31AE-43C6-A560-43FE308A215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BB2226-9541-4AE6-B95E-9BE480B0D4D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8CD77-4769-4ABE-81D9-28D00118EE5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ED8E2-45BE-4A2B-BF00-4D93EA1F160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AD204F-F9FB-4913-B28E-79757564735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694B2-C005-466F-AEFA-1ADA0E0B764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745FD-3752-4089-A855-D847CD873F7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372D5F-EF7F-42DF-B606-9BC3976102F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67BBD0-0C93-46DB-8149-F3C486278BD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20780-FFAA-45D0-9F52-3817F12DB10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DD79F-F68C-45DB-BD13-27FF6DCAB3F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307985-0AC5-49BA-A915-B475DDDE0AB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8C190D-B6CC-4E72-8D04-5A282045719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E5CCB-EB60-48A8-9E64-F79B2BB96E9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9E9B5F-49E3-4481-84B6-1DB9B11F915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28259-9A0D-42BE-8787-193DA8206C2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2CC62-819D-450C-BF07-7D60FE8A6D5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72259-D898-4F85-A76A-3BA73B2BF10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F3995B-1F80-4CF1-854C-F0119CE9859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84534-9217-4CE6-B57A-58C821E8A90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C0092-E4C4-4B0C-9C99-F219D6A89C5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2F0FF0-EE85-4630-999C-8D12836B201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1D446-0D8E-4E1D-AA8F-93A756BC2B0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146419-284A-45CB-B2E2-515A38A1C28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F25847-0BAB-4868-A2C0-C6B37ED579F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CE024-7CA6-4173-A73B-30E93796E33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5A882C-B415-47E0-9FE9-47ABE51A4EC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A0E80E-BF93-43A2-B661-9B6FF6C0637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88338-7061-4CD1-B994-5F63B190F0D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F49EF-05F7-4BF8-B3A5-E82A752AF35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6101E-B3F6-43DF-AD47-BD97590040E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ED314-6787-41D7-B535-E7AE13A50E8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D85FB-1080-4414-A125-B70D95FBA39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1E863-03B4-424A-987F-2C037BFF84E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BA780-35D4-4A30-9F73-3532EB002CE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DC6CE-8D24-4F7E-8ED1-D8BFC173F09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CCCD4-AD66-41D1-B57B-9F2D4F4430C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B17D55-39D1-423F-90A1-EC0BD8BEDF7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5EC7DA-A23E-40FC-8FAD-A0A1D8D9F35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C24033-7107-4820-9F28-E73EDC0D7A1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EBC98-C86F-4742-9200-EDC00AA53D6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BE791-3EFA-4353-B822-424DF015EB8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35C11-758F-400D-8006-1D7BE5F1710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660EEF-1CE7-49E6-B113-24A8F66C188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4A3D6-9F0B-4FD6-B998-7214581266A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231556-A7FC-4849-92EB-EFB84B3A385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B7EC7-7C86-45E4-9826-298FA4FD3DA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EF5F24-6E62-4A59-AB30-7C3CB277A76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5F2022-2591-4DA2-BA99-1BBE917A09E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977F3-B723-47A4-9592-5040383D81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41E547-8FA5-4EF0-BB8E-D803CAA32B4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5C0FD5-34EF-48D7-9093-E2DF5627C6F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F8DF78-D9D0-4DC4-B261-D0F7195F5E4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785E8-52CA-455A-93DC-13DB76CE52B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4D54F-2F05-44EB-AA89-D2619199D43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88900A-5795-4A52-B2A8-022799378A0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FF369-5C5D-41AB-BA60-5BB399AFE3A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88D59F-DD90-4D38-9D0A-11D479B4DA6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A8425-F1DC-4481-BD0D-3F1BE4894D1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D3A154-1343-4138-BA51-38285F45B98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1405B7-3D47-41E0-8CAC-2F33CBE29D5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9A5D1-7CA0-4D23-8A31-B6D474E3CB4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A03748-7C5D-47A8-A612-388DE4DDDFD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2FEC5-84C1-4019-B41A-F70FA2F29CA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D69683-01C5-45B3-9D36-05D49FF55A4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E36D5-0AF1-4260-8B39-7A4D1818AFD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413E7-63E9-405F-AB97-CC8D249C6EA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3D5497-B574-4481-AEF0-D6AD8261277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B7B534-68A7-40B7-9C77-39DE2E3105F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CFB9A0-8058-4415-9263-B7173B0C12C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010B8-C12C-4F0F-A9B5-60D2B4993E7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19F60-0BE4-4D2A-9839-56260A1231E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FEB7D4-A233-4CC0-A29D-0E59C331B70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B35E1-1DF7-4220-9B59-604A5C892BD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2A769-BFFE-4766-9C38-C8440579EF7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72983-63F7-451B-AC33-59D30A7E8FA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F81A9E-2CD9-4C19-A1D3-A41204F2D0C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2FAD19-28CE-4A0E-9E90-7B1C3699055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2B416-0FB2-4B7A-A374-49E97AB5E34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A6B2BF-4B90-468C-B5A8-92FECF1ED54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98800-2FC8-4CBC-AFBC-0F642AE09E4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7F71E8-95BE-4D10-A523-C74683A0975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90759-8B41-4C6F-A3AC-A398FDE1BFB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2115A-EA68-458A-B77A-E26D801D354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BCB1E-DC5C-4175-9352-3AFC2ECDE0C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765BC-BB80-4AB4-B9D7-B770D44D2D5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6AD0B-7958-49AB-A08B-EA734BFDDF8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E7612-8A18-4A83-A684-C64B16C39CD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30C31-8277-4934-8DCB-539083ADB18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122A8-044F-48E5-A02B-5F14FB71546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C7C6DC-00E2-4241-9E91-F29FACFB342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99D81-C987-4793-AF0D-5438ADFAA0B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3889E9-8828-4355-AC88-4C026D058BE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46743-617E-492C-B2B4-2F6B9DA28D1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9A0B5-83FE-49E5-B518-017089E06CD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0AA61-7C33-4CCD-8EE0-811C6992DCC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59274-2C13-4775-9231-03873290F72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9CC6CB-4B8B-4B77-887E-5F28482AAFC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09925-7A11-49CB-B187-47AAB2C3D00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8018C-57C7-4C74-9140-F3FE3EFD315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A00EC-C670-4A99-9397-45A43A9B8D7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3DD952-C5AA-4DC1-A2E4-FED4BD65042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FC6217-B115-4D18-A18F-7860C567497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3CE035-0008-44A1-8F65-D20EF27505E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09708E-FE9D-4B3B-AA10-EA410DE6518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965A9-DF56-4BC3-96AE-86A9DF562B0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B98B3B-7955-4947-8762-DE9B7508A2D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6A4561-8328-4580-91BE-FBC3794AF4A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979F0D-CCE7-4D35-A7FC-847EEF145B4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54A89-F56F-4FB3-A564-135799F4796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73542-A45F-47B8-B138-40300DA80A6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BEBB6-4E77-4B21-9342-FECD489DD45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10953-BAD4-4416-8EDB-9D6678E293F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488C15-E09E-4E76-94E0-94B2B12AF47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84BF08-4AF0-4024-98F1-624568AAD93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08287-B67E-436E-AFF6-FB08E76D5A2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83E909-E509-47EB-82DC-3FDEE480240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B2C3F-7830-4E97-89E6-73C5D71315A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15FADD-4AB4-4DFB-BDA9-53E13041097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58622-6CC1-44C9-9AC9-EFCB192436C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440B2-659B-4D51-810C-B0BF221D7C6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8E2E4A-D72F-41BA-8A9F-05137424408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7A1BD2-A4C9-46D4-91C3-DB7049EF9B8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CA2FAC-FFF1-4410-BF3A-73AA63F1E19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943C78-45EC-40A6-B570-5BD32F48681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0B7C4-3CDA-45C6-B7BA-89886F0CC37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300FA-CD34-4AAE-981D-4942DED7689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82287A-BDAB-4AA7-A943-6C645D90AE8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CB3268-414E-4336-A73E-2B3ED9713AD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8DBCE-9570-42B3-BCD2-C11C299B39A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082870-D48C-446E-A3DE-FC283340848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14A0E-D8F9-4F3A-9844-B3B4CF56178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61DC3-10E7-4E1A-BB44-266DADCD496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A66762-A0AF-4606-8EF4-602A2758681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8DEE37-04DE-4894-8DD5-834CF1A93E9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2458A-CC7E-465B-B466-0CBD035D367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C04AC2-B5D5-44D5-A27A-80117553012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6381A8-E7EC-4EB9-8A1E-B3474CE744D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91982-EDDE-46D3-96A4-A198516D29E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B404A2-34C5-458E-A4C6-8147A16D584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7E569-5487-4CE5-82AA-7DC84EA3987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97E6C-1185-438C-8A08-06CC1BB3360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16A575-EE78-4910-A577-4A4234A4907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3C20D-179B-4BF1-AF4A-B30B4AF2B2C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0FC22-E87D-45F1-B40A-38A4C6335E9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B01568-EF6E-4941-810E-C797F62ABD7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0D4B5-2789-4E22-A0D6-CBB7DEF7602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C5C27-91EE-46F3-8232-D3121F8B2DE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A8BDD-B3E1-437B-8976-E8137EEAC8C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6E707E-3D56-450F-95AE-2AEBBD0E7D1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C5EC7-D402-45E9-AB39-EAB818CA78C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9D5864-1A3C-4FAC-92D6-F75AE7D3B8E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D3B553-295F-452C-AF5B-3B6911E2CF6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1C41D9-D4BA-4A7B-AA56-04BC1872A3B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C11EC1-A399-4703-8ABA-9CF224FDE64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FDEE6-EFAA-4E3C-91DD-F70F95A512F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D06D7-6F53-4AB2-A5B7-174705F57C9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F6174-4C51-4D62-928E-532B398DDF1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17F393-F882-44C1-B9DE-85A1DA61223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0AE80-24EC-40C3-A3DE-5E61FF472B9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393FD-8973-4364-927B-99D7FC1BE18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26860B-BAAD-4C96-83EB-9AF6BD9FB75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C0DD4-06E1-4CDA-84FB-A64A47F75C3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4A479-44DC-4A26-BB42-33B74E651C8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1A5A5-AABF-446E-9D67-650C3F1096C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3DFE7-0DEC-4B34-8F6A-1F0E6EDE5D4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E6044-B75C-4135-B6CA-A9FE5E841C5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705E9-0BEF-4838-A11C-16325EEC523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CD344-3C3B-4DEA-92A4-C7A58A4E320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2251D-6E1A-41E1-8EF9-B67EE5CF16F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51148-4204-44C6-9017-1212DA34F95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864C9B-ADAA-41EB-A151-0EB0F00BCC3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C34899-92E4-4497-9ED7-02EED4F5777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F6070-75A0-4445-B15E-636FBC0731F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EB473-B8A0-4D24-9282-CCA0A2DC14C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EECF0-FF38-4374-9AD4-5B59311627E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18040-6A8A-435D-B773-E65F059A78D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419B5-1D16-4962-9CF4-1F0339CA532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E8A59-F61E-42A8-A0F0-081DBD7B128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E424E7-4670-4910-A408-36F4F4884EB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71DBC-65BA-49CC-976A-57E54342110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D816E4-AED7-43AB-ADBE-BBC6AD1FF3B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957BF3-1DE4-4F70-8A43-25C8634EF1F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B8156-AD74-475F-B91F-80EF3F3C6AB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27015-F39F-49EC-8AB0-09FB9B0A36D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04393-A67E-44B3-8903-2B084729B05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BB6C8-C774-4A3A-8104-6B9FAD81814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052E2-D32A-4257-B9CD-F76D6A86265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09E56-6DB9-43A5-9BAC-34CF1D19A47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7347A-FF8A-4D24-98BA-20BF7FB9BB4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A4CDF4-5D19-4E43-A6D0-AE9284CE464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D3B70-8DC6-482A-96C2-74B1557133C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8B53B-A8DD-4AAE-AF37-69B0905B042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635B9-513D-44D9-98AB-DF36092A8A2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C08ED9-170F-4B7F-8FC7-A4997B23053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EDAF5-EAB5-4409-AB1E-F2294318CB65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4157C3-BB86-4FA8-9885-67B83797164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FD54E-21D0-49EA-9FA9-6E0E45D5FF56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05472-A467-4576-97AB-2F6A5BEF3BC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9F90A-EBEB-4550-9FB0-7D99AA94B446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E6D8D6-564B-4006-9958-5A326362E09E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377184-ED6B-42FC-8220-DE6B5D0C7CDF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DF137-23A1-40DF-A6DA-D3C57D43C33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602DCD-FAB3-463E-8029-73434B67E4B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40950-8CA9-4340-A0EE-CBAB2E2FD3C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72CDFC-B713-4C5A-AFF3-D1DCA4681C65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D2D7B4-8019-4425-B0C8-3A3DC5EB8A84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5E05D-75AF-445A-8712-F1D4878A56F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7E839-2CF2-455D-8381-D407D168B15E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BDB42-DEE8-4D5D-B757-DB830BABC209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D1EF11-5DAB-456C-A911-DE2CE5A347D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4EE96-DF84-4E67-9547-304ECEF8AFE0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C5760D-8F74-4669-AC6F-F67C4E6E8B53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431AE-7459-48C6-90F6-7A862705BEF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54F3F-53AB-44A7-8E74-208913987873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BA81A-4808-4E1A-8020-2BBC65024C67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1475C-AC47-49F4-AB60-417E78C2F72C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5F00D9-98D9-432D-8C28-F1BD90FA0E07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D61D21-DFB3-4D7F-A462-B9CF6271665F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5F2F9-FB75-4F46-A506-1B61863A9F69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BF7A25-1368-4022-96A2-99B06DF012B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5CDB24-C389-4848-A967-B13B1428535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F9B23-4E59-41D0-BC1C-02CC377243B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FD552-C871-42C6-BC53-280BA63F4F0C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A2746C-DE2C-4836-A879-E42F33EC13E6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60C3F-1A2F-4532-8C60-489B2D870D8D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743BA-E704-4388-93F0-48648A0C2E32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607DB7-5110-4CE8-9C4F-D7C278D80A13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47D716-43FE-4DCC-B49F-12660A1AB674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61D3F-9522-4C62-BEE2-E8A436E89829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03E2A-DAEB-424E-A5A3-BD78A1A83F96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71F7C-F09A-42EC-97B9-80C250139845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CF244-6D4C-42E1-8C5F-63FF6C3556BC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2A42F4-99BD-462A-A55F-E1B32053DA6C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B2E77F-1177-462F-8A18-DE8BF212832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4C62C2-D2A3-4ABA-A943-446BB383B18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53108-C6B7-409E-9211-A51F628C175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356C2-9461-4954-8F63-388E95CEF523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F54BF-5BEF-4CC1-8AB4-5D380860D621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7E26B-8583-4139-A281-983B62DC89B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82C13-4AC3-409A-A64F-BC25F4DD4B3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EDC11-826F-4A63-B599-7985E607D4EA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3230BF-FD76-45D5-8906-39D5CB2B0353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3CE51A-15B4-407D-9CAB-A4CB26FCE90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512635-7AE7-4F1D-97E9-6BA275C33C48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7DE37E-D232-4771-A670-E8DE7F2E236C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6AAC0-C0BB-41D0-8CFD-7936EF79351B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57459B-CAB3-4984-B737-553BAAAE2163}"/>
            </a:ext>
          </a:extLst>
        </xdr:cNvPr>
        <xdr:cNvSpPr>
          <a:spLocks noChangeAspect="1" noChangeArrowheads="1"/>
        </xdr:cNvSpPr>
      </xdr:nvSpPr>
      <xdr:spPr bwMode="auto">
        <a:xfrm>
          <a:off x="155543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91248D-9C93-442F-9B91-00392B3D526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1358F-C6CB-4A98-A279-0CEC91C2FDC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51549-2893-4111-B8F2-C1B6CF140EC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28B1B1-E82B-4F6C-BBBA-1B1FACF7ED4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D040B-EB1E-4486-9097-C015DAA2C25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3AD6B-4AD6-42A4-8737-A5E22FFDA18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06D08-5435-4EE5-81DA-D4C47928302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69D69-3E67-4DDF-875F-A0993E7BDBC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181F4-132F-430E-B06D-0CCA9399F32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02DCC7-0D14-4743-8349-AA6B16D5137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5E124-224A-47D0-83FD-699CE3187EC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5AA4B-1EDE-480D-8533-24FF4DA34C1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698185-6FEB-44D0-9D19-829E1A65779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6F389-2DD8-4269-BA58-EF750C8E984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53DBE-8CCB-4C51-9C77-1B84DC2406D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F9616-AECF-4168-ACA6-624FE167789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C8F419-9B72-47C2-A617-C74ACE05B34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17A379-2B6B-4A7D-AAA8-D3B3416DAB6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14C395-5789-4305-9A6D-2B9AA6289A6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550CF-1B97-4A78-BF92-EC4B358AA40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09136-2A0B-456F-8742-8AE3E025961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49D0F-7C30-4034-B570-0AB54FD3010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3146C-3F00-4D8E-ABFD-30B1D656B61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DE573-2119-4621-BD49-6C2636712DD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E4DFBF-0AF9-4382-AADC-6E9CFD6D006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B0078-998E-4B80-8035-97B73099FE5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D3C7C-F20A-4080-A988-2EBA4532D5F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BDFF7-5704-46A9-AD3A-2CFFC5FBFEC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A1353-C121-4DC8-81CF-91252CA50B8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7E42E-853D-4CC2-AB8A-6E8B2515B21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CA544D-4698-469A-840B-E6BA573835D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4934F-9CBE-4E27-95D6-37B12D8DD82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E7A9B8-5FA1-4EF6-A69E-D56C15977EB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588AD-72F9-4497-83C0-B31CDCEFC20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29F0A7-D78B-4538-8E54-65150ECF0B2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8962E-36B5-4774-9E4E-7B30963EDF5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A2AA5-0360-43B4-A506-990FCB3866C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4AF78-59B1-4122-939C-B90E70DEC64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76284-C100-426D-872E-67C122605D9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1351C5-E292-4469-84D9-1816529E671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F041C-0E4B-49B2-B8F2-421F6DA9F1B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6E471-EA18-449E-B5B3-B6C76F39ADC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07417-BE11-4EB8-8728-E5ED077E2DE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6B5C8-7BDD-479C-8AC4-0C2545F90BE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AF060-CDD9-4581-9F6A-FF97C20A381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4647D-536D-4E19-83A4-69BA502AC8A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ED74F-2FD3-4366-8D85-2620A7A48DD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91D81-9805-4A23-A762-2BEA527995F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CFC183-B7B7-4431-A3BF-644B315DDCB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500C5F-D3D7-4E9C-9C1B-1EC071A2580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96C4E-57C8-4284-9D88-D24CA4DC24A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8DA8D-FBAC-4FDB-B85C-C67FFD2816F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5E117-1A18-4F21-BAB2-524B62CA70C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7193C6-CCCA-451C-BFAB-6C821196777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C30D49-6E0E-4E16-AC73-97A06AF0F51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73AE3-10E8-44CF-80AA-0979A528C87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0D6A8-EC69-4F42-B33B-742D3A9FCF3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0E915-0019-4DF0-8E59-88B6A96A77D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0EC731-7E6E-4E03-B384-49E657EB139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2BC60-A1A9-42E3-A883-EE87FD921F8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24758-E431-4390-BB53-9093E1DB874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48B01-BB7B-4D9B-AFC3-DED395C6736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5FAC46-776A-4D08-A32C-6EF677B6982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1B28E-0C59-4C08-99E6-E2B105DE2F2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62BDF-B522-487D-A61E-0ADA01BE72C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AFA4C-1FF7-4912-A4F2-B111F7C24DD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79462-A1FA-45CA-8E6F-9D7EA6D9399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10ADD-8DF2-4E25-B702-13F3F9DA1AB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2E063A-1A3A-4AAD-9ED9-F094EA89515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20382-F8CB-475D-811A-3B44C3CBC37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15A9B1-A4EC-4736-8F4D-93B02D288C0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B85C2-085F-49E6-95AA-DC645E10A92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6E790-2FD9-4E3E-A9BE-78B574599C2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9BEA5-7FA3-4AC2-8FC4-45296B23B68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21C85-0660-4FD6-847A-6798D1237BA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917AB-9EDA-40E5-9D97-192872E9103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03CB6-2902-40EB-B480-491FBF4CD1F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5F64F8-BEBE-42A1-B849-D2D5B989EDE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523819-B603-45BB-BC4A-CF070AD951E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49678A-098E-4FEF-A532-86A9BDBFF35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8A268-3EC3-4393-9532-E3AF1A34F94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FD548-5ABA-4B81-9582-827D6F94563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A1B06-E15A-428E-AC2F-1D8E185E500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DC07D-3936-4D62-9AD3-F3D46289410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0DE17-5287-4FA6-B897-2A9051A6AD9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C83CF-BD22-4295-8E93-3FDB2F196AC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4E0756-B694-4534-B6AD-D9AA78884A2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9BF965-A63C-487A-B8FE-4FB1B7C190E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D1A68-1A4A-4F4A-BC3A-3AC36CB499C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485BB8-A9DD-4148-976B-DBEF0392E27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8E904-0A1E-4347-87B6-859B8172B4B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9106FA-C2B2-4EB1-AF95-151D6C63FD2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1FDB3A-4900-4835-8B2A-D035A40F16B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62452-25EE-45C1-9CFF-7F9AA204FE6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69452-3A2B-447C-B471-CB536F3C657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7D480D-B746-419C-A987-24CA86D6C8C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751B1-8B10-4BBE-B656-43DE816519E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CB7AB-C889-41C5-82C2-60C89054EF6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0804B-6C01-4878-8F27-407560D3CF5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5E528-BD53-4E9D-A8FC-C396A49FD00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618085-1FCB-4DF9-B385-A235A92AD3C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B778E-2544-43E6-B179-3EB2B0D30B9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F060E-2962-46A0-81B5-E993FCE2A20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6BFDA-FA4D-419E-8398-3C5F74687FD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A28D14-43F0-40F1-A4C9-FFB01283E33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3B8BD0-4CFE-4FE0-84F4-F63CC72DDA4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79324-A14D-47BD-A2BB-EBE9E8FFF19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A517AD-2AAD-4F6E-AF96-25A5181CDDC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BF1FE-A5AD-4596-9ED9-ADC42C5035B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ED576-295A-4D07-8C1E-A77C61F1FA0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F6C11-AD8F-458A-AAA0-B6A4C6297AA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D8E50-8B41-4C4A-9EC5-35386F4ADFB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D2C8CA-368D-4870-91EA-6718D6F6663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4D18A-CAC2-4057-AFD2-1A07D491014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F7AB46-0BAF-42B3-AB53-B007D97E2AB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86834-9425-4DEE-A3A0-D05F6E9F4F6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BB0EE-F66B-4482-AA0B-A6097042314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73F54-17CF-461D-811F-3761D7CFE1D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A9F70-9218-4FA9-BD56-BDE6C59DFF0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2C2D2-7C2A-4E29-80F1-FD4166F8296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C3BE4-9F70-497A-917D-06D6822BC5C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914BB-02B6-4A5E-943C-A5389BB5905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2A480-9F7E-47D7-B043-96A54B145F5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53E7B-0D25-4C64-9F67-83CB4928B55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98BCA-3CAE-4090-B911-6357C1FAE01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28612-6BEA-41AE-8C45-298CBAAA168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0CA98-9373-48C9-AF63-2D9E0B792D7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5BFD1-2BFA-4B44-B290-0D1AC04333D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953B1-3A77-45BF-BBBC-18C8205C113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083EB-5434-4A6B-B28F-DACD837A6C8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AFCA69-4756-4AAC-9C86-50260905878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BD6AF-B061-4CBF-948C-3E2DE4CED7C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AF6CA-BB9C-4773-A2CA-77E1E6E2116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E55A0-D8A5-4E78-8881-678F192FBDA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6505A-C1DF-4C45-A4B4-2D60DE0E1F5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5697D1-7DE0-4CA4-A7BD-D49F282FA37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E027A-D04A-4A35-8440-041C9A4C5D4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2BE13-4D8E-4EFC-8B82-1467D29CE58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4231EB-28BC-449D-B1D2-F1CA87FFBD5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B2DE35-E36F-4BA2-9551-DBA6C2F2BBF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DC0D8-6ED8-4290-9CA4-EDE8B1B2CC4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465ED-4B07-4683-9C71-1E70D3AB49B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1E997C-662E-4894-9C8B-4FBAD27AC78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76A1B-95D2-4BCC-A0A1-406CB505D77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09BF3-F030-43A2-958C-77F7D63D645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3008B1-CB98-49CE-865C-D443352B86F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AE6FF-D690-4465-95B8-F777EDECFB9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BF91C-9B5B-4D05-9790-275C4FB67C5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8DE36-4587-4B99-A624-0739A6C439E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B0F0C-AD75-4CFB-B4F9-EBE9BB7FEFD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C19A26-1E2A-4EB6-97FE-BB1085E3391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2663D-B247-4021-8ECE-0C279A1F298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1DF847-397C-42A9-B531-67C4D96A6BD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30D906-7F24-4A1A-A8C4-1D91450DE0F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EE8B37-55F7-499A-9C6F-EFEE2CEFDAD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C3FCB-A3A7-46D0-A208-68186AAD7BC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8BB40-22F8-41BA-ADE9-C238FCBCD23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AAE2C5-AB07-43FF-B44D-6EF66272694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4510B-576D-4D9E-8211-FDF538F26DD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DB53A-91D2-4D05-B026-08367C85C61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F53F4C-153D-43E5-A165-A6E399B94F2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1CAA4-479C-49F8-9C44-5A23555DC17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CA0D05-4111-4B49-A920-D0F1BAA0867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57BC2-AFD3-443D-9A17-2A455F60D91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8F8D28-8670-4FE6-94FB-A83099A5884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90695-5C59-4E13-BB23-8DADB317C57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1E981-8370-4E7E-9568-F35360551B8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D386D-5DB6-477B-AF7F-F0BD41FF874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667EF8-C6A0-482D-8B57-35F3E0E20C1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ED856-68E6-4B6F-BEEA-5A7F857A996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0A2C93-D52A-4AF5-8FB9-43EF5CCA91D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69E29-06F4-4B79-80A5-1C06FB11F33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163AAE-F751-41A3-B2D3-AA2ACABD5A0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1BA26-5CD2-420F-B9C5-856C874D8DD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D9C72-6FA7-4C9A-8239-9C60BB0FAAB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1B2CAC-AB9F-4996-ADB6-424BA2E9C18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C4FA97-A06D-48D3-A598-CBA545E4265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93A3F-AA27-443B-9B48-0BDC56CA3D7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0A2719-6AC3-431E-B7AC-655B876823F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2C0921-B699-457E-81FA-03CCA2DBDE9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8E2EF-6EC6-4B4E-8F23-D9BE1F0F04C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6B630-170C-4A46-9633-F70145FF4E4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CAC34-88B1-4FCD-AFD7-32708079987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55EFA-5925-4732-BCFD-04A18BE5B94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F13DE-6A81-4D0C-83FF-919682FADC2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2A90A9-5B1A-49E3-9D06-D8B5841C065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C9D2AE-F34C-4B74-900E-6CD8563F3DE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4D2F9-8DAB-402F-9403-71BCF49A421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C76F1E-EA0C-4193-9598-1CDDCB5BE6A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06CB3-284C-4D93-95C4-86C71A4D0D8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14E2A-7812-4665-A584-22C832B2302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65E350-218A-4485-BE1C-D000D57F093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4F39CB-5C67-4E5A-A843-20ED950D6CE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A4CEA2-94AB-44C1-8F68-413895C9050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CEF68-23FF-4585-B406-10F789679E5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DC759D-B0B8-456E-B5DE-7BBC571D9BC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1AAEF-A476-421E-88B1-F4305EDAB72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8E7261-6E61-4CB5-B98B-AB0C8D03130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ADEE7-8ABC-433B-84C3-B2A8CEB32C1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776027-59E2-4648-92A3-B813B836E03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A9433-AEB0-4637-8D94-00959E45228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3DD99D-23D6-4644-B462-40468897A62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1FB75-9BE2-42B3-B313-4F8935A9D3D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32038-9243-4530-8A23-B6ABF45D644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90E35-5482-41A3-9EE9-F72DD23464E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5BA0B-B459-4DD4-BE7E-795472E8BAD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258DD-CBE0-4103-A865-6B19F3EA4CC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A3F60-8EF3-4DB4-855D-EDF191067BE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F6A8C-4DD6-456D-A4EB-B8F91D6A217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2B6F7C-12BB-4C05-80F7-FAF7D2C0266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07E031-76FE-47A2-8406-AEAAF7614E4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140F0-EA04-4681-B3DB-9675E9EA570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4ECF5-0872-40F6-A564-A71E4E8266F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9DD98-014E-4431-B759-91B78125A5B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19D16-78E1-4BAA-9034-C91B31E3D06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E4899-40BC-44E2-9346-C83083B4005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EDA754-7947-4A12-8FF3-27B2FEDD7CE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60F16-0251-4B2C-B918-11A08C9DCA4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28FD2-109F-4476-AFAC-B9B9D2A7DD5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26987E-CD3E-4010-B794-6504F3255AD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714729-DC97-4B1E-BC48-7CDD03A6D6A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4CAB20-D726-4A91-B155-E6647202319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A8278-4291-482D-8E7A-5AE1F7A406D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A3316-DAA6-4C33-85D7-CCFBACD3F72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F3913-F92D-4911-922B-41B0D509ACA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45DA5-6B33-4566-A5C0-9ED281CA4FB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CB714-825E-4BC4-BAD2-476F2044A4F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57DF6-8675-428B-9C19-6518EA398E9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00CE12-AC66-4D0B-B9BA-00BAD8FA057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C054A-8478-499C-B692-33843808898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2FBB7-75D5-4BA9-AAD8-9C5B94649F8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3F7519-5EDE-4093-8708-5923FC3A27A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9FD70-5E98-432B-8DC3-53DF38C7C13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76D995-244C-4B4B-AEB9-71389BCE156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C145A3-039F-4D00-9C2F-E4604DB6896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97491-CC62-41BA-99D9-A7F7BBF139D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97F9F-DEBB-4609-B5C7-241ADCA9990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E13F1A-2577-4605-ADA7-A779AAF7843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D06BB4-21E6-4393-A3F3-EE60576E154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754AC-CD5C-4385-A69E-D86F17C1933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5EB763-B1E2-4418-BAD2-010942090FA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CC275-5B34-49BC-BABB-5C7A726B82E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C7B44-E28E-48CB-9274-4E25E5B3A69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4EF8D3-FCFB-4D25-A720-5DEEA2F2D79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6528D-320F-4338-8711-9EB66C7F8A3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86E6A-FEEE-4B81-8D44-8DEC2BD9C08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191CD6-7D12-435F-A871-EF58DBA2306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F8A286-4F6F-4526-8654-431D4126AE3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C53274-D6D2-4834-B970-DBCAE301219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F1658-26CB-4EEB-8D08-60836A8E5FB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EB841-5FA1-4791-9B4A-DE6E5B961B9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1DD9E-467F-4809-8E77-BE1534C1133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ADDA1-5704-4270-9EE2-C4406D10D7E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E2FA08-5715-4277-9B09-00BE32703A1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8922F-8429-45A4-9628-296FB57852C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8A2592-69E4-4B43-B206-E65FCDE2338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2A358-FDB2-4070-B3D5-8748A87B905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1CC6A-C5C4-424D-AD91-07E805D14E8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FB3B7-4EDF-4EC2-80E0-6D4042281AB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541B7-703F-4B2A-89F2-5FEE1F3EC5B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4C0B25-71C9-4EEE-9034-356902D5720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1F8C9-349E-4CEE-963A-484EC7EA68C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709C6-D5F6-4701-9C41-7285D30A235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DAB9BE-21E1-4F81-8D60-320690879B7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40D41-C745-47BE-B2D3-5FBA31D0804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69CB6-AD8E-4E6C-B003-788ED224BCC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FBDBB-2305-468C-B364-90E2E71EFF4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3C4639-F4A4-426A-B112-4449BA96302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DBE966-C71B-4460-9009-16CB1CC5B9F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464CA9-DD6A-4E09-B51E-526EE63A86F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D8CD92-DFC1-451E-8F44-CAC6B21BBA1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D616F4-EA96-4629-8171-66AE2489850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98189-E605-40D2-BF41-0327E597609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45B7B-176D-451D-AA96-A900342399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826B06-CC35-4046-A24B-58475839B2A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17688-0F8D-40F2-B265-9A6A751E766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B51F61-B837-4B3C-B467-12B83E841F6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278B0-8F19-417C-BCB5-DF9CABB7433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51DF2-F252-4708-B599-32ACF2295D0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587AAB-C1F1-4249-813A-29F36D495C4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00A44-4403-4BAB-B66C-D5A0C6E9725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37FE3-B240-4975-895F-18C5301A58C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9A6FE-CF5B-4672-B00C-8023EA55194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B4CF89-AC48-48FC-9103-49FDED5797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81A60-E99C-465F-B501-6DF8D7EE2AB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7BB04-1A3E-44F7-92AC-4449EAC2F99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A24B0F-5D5A-4F68-9777-AE2B9E3CE04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3B540-4579-4A9C-8597-7AA43245B1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40B3C-EBCD-4CC2-938A-7A180420277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24509-E2EE-4BEF-9584-C1D92EB2A2F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EDA15-F740-4A03-9FB3-92837163CEB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AFD6B-709E-4302-8E5A-FC1A19D994E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861C9-6284-4425-936E-F2D22F346F9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337C5-B490-4C5C-8861-085EB535EFE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534DB-2EDD-47C4-92E3-89AA24C9CEC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0802C4-D378-440A-BCEF-2681E8D603C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33F49-BAAA-4AA0-B6D1-36D6B2B3B18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729ED2-ECBD-4F29-A84F-EBD1D08B1C8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22895-F55D-4C0A-A894-9D1F5098782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4941D-E710-4F3A-9DF3-5C90BC9852D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E25C6-CEEC-408B-BE6A-C5E932A391A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D630E-05EA-4824-A5B7-1D27065979F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ECD73-020A-499B-838B-EDF94684952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D834F-83AE-4EEF-9919-E1A89371C14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8FD3A6-63CD-490A-ABDA-1250D8EDD86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A5A75C-C67D-4D76-A8AA-51F0442E3FA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63082-4246-40DC-94FE-5C89523CC85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17B52-7514-4489-A2ED-C69BEF2F376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B6DBD5-8846-4D91-8830-78A6C586776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E6664-4BB5-4D9D-BE07-FA35655DB64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D5CBE-F64B-4C97-84A0-01742DF8DA2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DD01B-55FF-4D06-8223-99E1906C2BA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5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2D45B6-0518-40AB-B428-EE34440FAA9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C19D9-5608-4805-B789-3BD3F5F0560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85385-2531-4BBF-8352-B0B9ECF8F27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1771EE-1988-4F9C-A015-DE5F225BB58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67D94-DD54-463E-B94F-FF22D74E5AB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A6D30-1F26-4292-B0A1-69895408FA3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7757AD-658A-4337-AF1B-1B55CF43000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2F1C3-C5B7-4A9A-8E32-C2F6EC2BF7E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FB456D-A1EB-4632-91A4-337D5B878A7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FFD7C-3F63-48E3-87A9-784D3EB1C16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AF6D99-1CBB-4557-B695-E1E05B007B6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9CB057-D007-4ED7-8AF7-031830ACF68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DFB428-373A-487E-A103-421A659F88D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037243-D38E-48EB-B571-4552EF01A7C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018B6-F41A-4646-80E3-076F173D354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A90B8-AFE7-4C0A-A17B-EFCC1F79F01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DE5A32-322F-4597-B889-2DBDAFEF4AC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DAF1C-6257-4F2B-AE3A-C9C35255C3A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999662-50C2-4187-8ADD-A246C197E02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72273-4408-475C-8D22-9BEFFE711C4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B172CD-A6FD-483F-AAC2-3C85D20E0DF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E02FA1-8615-4BCC-9709-B779622ED16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6C7030-7A78-4EBE-8EBC-5624FA22495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0CA4BC-25C7-445D-A8A0-7792A0B092F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2BABF4-DB6A-4AFB-87E8-2F82FECFF98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C90508-2BE1-47CB-BBA0-B11D3F62821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EBF48-95FC-4D42-82AC-C96712DE59A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5AECE-A927-46DF-8406-9F0FB119356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F5A7D2-99A0-417E-A7CE-8B01731902B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6254C1-B57B-4FB3-9927-5124531521E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1D4F5-3E2E-446A-B797-D4176B4AB5F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2B9D1-5A2A-4D1C-B13E-5F69DB30553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2779B-FBE0-493A-A21C-20BFAE88A7A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21BA54-5296-4A6A-865C-86A36BE7472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F6E34C-59C0-40CF-B88E-EB62FC9D0A6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BD338-238C-451D-93C8-7C4A7F84D9E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9B845-F587-4DDA-838A-7F3AC843856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08CF3-839C-4EC9-B038-DDF7032B8A0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86E01-BB00-44CA-8FAF-7F51C493398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037BA-1434-463C-9AB0-3748761DF14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A8016-859E-4FA2-8BA3-D0F2692E2F0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F4AA23-D1C4-4A77-B03E-AA464070658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2A33D-303D-46A7-BF4D-66DF851931A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283B8-BE80-47CA-BBDB-C1CD747BFA5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9E124-9EAE-472D-9758-70F4927A96C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6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F19B28-54C8-4261-86D7-3B018FA6946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0BA6C-412D-45D4-B644-19B01B48B8F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16DF4-0592-4846-912D-B53BD5C26D2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A0EA1F-A84B-41DF-8CFC-E18941BB165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39CDC-502A-48E5-8F53-ABB0E2C4BED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9A71A-5C8A-43B7-ADF2-4D461069A84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D1655-89BE-4973-8AC4-307C05DF9F1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480C2-F142-4976-9744-AAD632CAEAE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8479C-6BBC-41E1-AD09-2E2BD3B5973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EBDE4-62C7-4A31-B355-31E57F72062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97714-4980-4286-9E4F-008AC1F6079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1AC6A-ECB9-4EEF-94EB-28C1BECE83D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9EA2A-AFF5-498F-B09F-2FD058E934F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790CC-0149-48D0-A9DD-918F71041AA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E06ECE-1B31-4C50-B9A6-74B0BD0083E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4F1D3-F8C5-4473-BF54-8E062F0799C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E4C08-599D-4CCB-923F-4470A05F7FE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0BFCC-B5BE-410E-B811-23CE767C0D2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023EE-D9D9-4FE7-965A-40821930101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3B270-FF01-46DC-9A93-395A809C645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64EF72-B3E4-4990-B08A-94A3F45FDD8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4EC24-D5CF-4D11-BF30-6333A131D93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A4986-AB42-44BD-9D6A-D100BFB673C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DC515-48CF-47F6-8501-80DECF30ED6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58EC0-5988-462F-9992-2A96FDECCD7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1C156-B11F-44D1-875D-838E514B452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5326A-2DDE-4C36-A5CA-353E38271AF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17404-B4CE-4643-ACC5-CD2253C4239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9DB7F-F0E7-4AC7-AF2F-FD13DE92BA2C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371D1-CB9E-47FF-898F-56D3B93C0B9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92F0E-2080-4B40-AB42-C700A6B590C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3A2182-2665-46C4-AA4F-8CD8EA9DC6D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87EE86-BA5A-44EB-B514-C442DB5CBBC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E114DE-33A0-4D06-B611-A886B94DB70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520445-87FD-4FCD-B89B-7575C1418D0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AC0DCF-871B-471A-9E1B-594AFCC4A79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7C1C57-623A-49AB-8011-4E9E8491E85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9B4F56-C93A-4D23-BF41-5BFD1A24252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8998CA-808C-4E13-AEB3-7A4FA6334D1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687350-6FAB-4A02-B465-77072F56A988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F979A0-98C3-4DB2-97FF-C1F6EBF5974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A3F52-EB3C-4FFF-936D-05F19FFEF77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DAC5E7-2F27-4295-807D-8474713A7C3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1576F-641F-4498-AB4C-B1FAAADF555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06215-B066-4751-B251-94AAF6FCB254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4EE6C-75EF-46EE-AE2D-B392AF6140E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66563A-1940-4C45-841D-B11EB805543B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B444C-1B43-441C-9664-B03E55B0DA9A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7B042-26AE-47C5-AFC6-14B4DEB3D9B9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07BBCE-B5E5-4952-8FBF-33ADDF1A065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6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0DDA1-73A9-4258-BE31-DA9737F3CCF6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185F8-DB6C-4419-87CE-411D29324CC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6292B-EB27-4EA8-AF4D-6B96165D4464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67E4E9-55B9-4FDE-AA73-EE190275665C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E305B-75A5-4CFB-8ED1-80ACD0C1CAE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D8209-6C79-40EB-B158-72506D65865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6A537-37DD-4C8E-9DA8-933FC4E7AFA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AF2B74-66B6-41E5-BFB5-C492BDCFE380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2468CF-FB82-4A92-A63A-9A80D6563F4D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CA8A1-F746-4846-AB77-8C1E63B4ED12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B3A1F3-3BB7-4DA9-BF6E-57E6AE6C6C55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A2624-89B1-4E35-8281-DBE54C89A58F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0AB371-EFD8-469D-B7DD-A755B60D2DE5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4A3A5-0B40-4283-8930-757D42547B35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45520-76FD-453A-BC45-11906D19AF62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40F680-6D59-4349-AE04-4C48DCEFA49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ABB2F-5F29-4942-80C4-16E555037174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780D0-D073-49F5-90D4-0EDDE30D3D3A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EE8E7-A12F-4FD8-92F8-1A9B100165F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8CF1A7-8A71-4100-BEA3-6AE4AF497EDA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1DF87-4DCD-429E-9C3F-A292E9DD66ED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4534CF-A1FE-437F-A2C7-060B242D774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12569-8C3C-4263-AEB6-2AC171F64740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6CA28-B760-425C-A4AD-5B6C5C4386C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2D14F5-A1D2-4BD5-9CC0-F3F4F9702BA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61572C-CB41-4D77-8D46-F1FDD8D5FE9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B8A0B-C20E-4831-9F76-B66ACB2C842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21CED-E857-4540-9E20-D51B880E3D8F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DAD09-96B0-4FAD-AE09-40F3F8B24EB1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87BA3-9812-4C79-9D87-93429E46BD02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BECB4C-9D68-4161-890B-46C4A1F36385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10E22-F514-454A-9952-9A8EF1E552FB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444A5C-434F-4AEC-86F9-AEA104C0874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CEFDD-13DD-4654-B6D2-05E53F58819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372D5-B768-4C9A-8E91-37AC7B88CE84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1E1CB-01A7-44BD-A784-A68D4CFC1CE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5299A-3F99-4F57-9678-F4EF313CC57C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27E503-01C3-4119-8CC3-477E2AD24E01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D5ABA-DED1-4551-9B0F-905493605916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F4CEE7-39B5-4340-B895-EA6DA275261F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A7C27D-47D1-4D01-95EF-70BDEF68EF4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7FC3D-1218-45FE-8799-C3F31A926B23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6D4CD-5536-41D4-AE85-F29139E55DF0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3A9D66-B167-4AC2-AF1F-88A85067A2AF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72FFFB-CEA4-4012-A48C-EE567D80635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7AF3B-96BB-4B59-BC75-9AEBB94F0989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1FD13-C520-4501-A9DC-F6C20E43BE42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828A47-1504-4BA6-9E3A-F823BB54A3B6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96A55-4084-4486-9AA2-A9934C630E81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35D994-855F-4EC6-A925-9BB1EA7C31F5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F4EE0-3A93-430B-B913-C7B1253910F1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ABD963-10B7-4369-B579-9FDB4272962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50A25-E40D-49A8-B722-4D12D5716D18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E96C5D-FC63-4661-9505-22D81E3A367E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FD4D0F-7874-4A4A-881C-91F260B2D44B}"/>
            </a:ext>
          </a:extLst>
        </xdr:cNvPr>
        <xdr:cNvSpPr>
          <a:spLocks noChangeAspect="1" noChangeArrowheads="1"/>
        </xdr:cNvSpPr>
      </xdr:nvSpPr>
      <xdr:spPr bwMode="auto">
        <a:xfrm>
          <a:off x="167640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C1039-8D51-49F1-B6DF-A3CE60C0E11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CFE1B-25AC-4555-9D4E-FE89E7EAE4F0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F38DDD-5507-4F6B-B02A-093DE500225E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78FA41-A025-478B-812B-89F6FF60A7F2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14DF9-84CD-4A51-8C52-338D4DD4C3BD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6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EEBE7-5552-464D-B873-9005A20278F3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6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D0B77-2B14-49EB-A617-FD0996FE8C9F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6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68DB4D-CA75-4746-8ECD-CBB659254525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6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6F198-B792-4051-BAEF-E887216711B7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6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5CB8F-6B62-4A82-B812-4427CC608531}"/>
            </a:ext>
          </a:extLst>
        </xdr:cNvPr>
        <xdr:cNvSpPr>
          <a:spLocks noChangeAspect="1" noChangeArrowheads="1"/>
        </xdr:cNvSpPr>
      </xdr:nvSpPr>
      <xdr:spPr bwMode="auto">
        <a:xfrm>
          <a:off x="16516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DE435-E1A5-481F-B7F4-7B39B20F50A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645D6-5E54-4177-BCB7-506AE906635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46C50-7B6B-4967-873C-CCF81568090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79F057-DA65-46FE-8587-5738EA16CF0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D36795-5C18-4D2F-9582-D3C787B22C1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8B530-1AF6-456B-A133-9DF661093B0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27C58E-335C-437F-B5BB-A1E89E919F9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6ABE33-76E1-497C-9DA7-220C63FE650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F3477-C09C-4BD0-9E1D-7D56A98E721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B4622-BBC1-4415-AB1B-7BED3DF5AB8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B86A5D-13CB-48B4-93F7-674D1571ECD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0C5255-2989-40FF-B177-9C46AAB65FD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33ACB-F86A-4201-BA5B-50174BCD4D9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37DFF-4B7F-4A05-802A-97A2800181F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AE8AB-DFEE-4552-94AA-32C3E1F086C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BF35D-C4C0-49BC-A96F-B3293526EF8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181B89-697D-4552-926E-D9C2B12C58B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0568E-C6C3-48A4-AC0D-98201D3C523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38D45-D318-4CA1-84E1-90117B4CCD9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A9C70B-1974-4DA7-91D0-8842DC5AE0F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67D8E-5F58-4088-8DD8-B2E54934791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80A47-5822-4F07-A5F0-7A223A1EAFB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9BDA1-AC33-43E6-8AE8-3333AD86F38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A9DF2-8702-43F5-AAF3-93EEEB0E69A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5AD9E-DF04-42B9-B797-93AC6997376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66923-FA11-4EE7-A9BB-4BB001573EA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377B6-7244-4F15-8F4F-099B92E1D58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34CCE-D22F-4E37-B31E-6200ADB74A6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708869-201A-4F43-AA91-B69C1E8CD78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13B01-248B-480B-8835-9C20914A8C4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F649E7-447F-4EDF-AB38-D192B982415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DF4DC-0FEB-406E-85DF-368EC79E4A5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DF02D-B2FC-4919-82E3-04A82B27563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2335C-61CD-43A8-B0C3-0BA0F3E087B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434F3-1552-42C0-BAB3-0F718BBCD1E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263798-2F67-420F-BBFF-01AE32E1A6E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BC2ACB-171B-42C9-B635-3C7D255CC81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6495C-6D54-423E-B1C2-F6F44A0A4D6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88623-1063-4CB7-B1F3-97CCF06404A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AC5695-7E43-47EA-9FBE-17337572274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AEABF-29CE-430B-966E-CBACABF0406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D93E8-C959-40C8-A098-F9CFDF3BF96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323CD-9998-436E-8458-057365B21D0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0370B-FE4C-4325-A556-A2CD2E4F9C3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1AC43-0FF8-46E4-85F0-3F7C7EC7046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87E442-BE6B-4DFD-BB05-41397973203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B9A129-C37C-4FCE-B994-2D47E695FEE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DC6BE-A212-4714-89C8-E29E5E0EBC0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69241-D9BE-466A-8504-FD4CE13F45A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D21A75-28E8-40EE-9CEB-18EBB04A11F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8B52D-0DE3-43BC-9E46-DC620B0B381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07BF32-C400-46AA-8F24-B93DA073A0F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95563-A538-4BA8-BB0B-DB55EC64722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3ED13B-2F09-48BD-9DB5-0E4AC80CAEB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61A12-F395-4120-A038-B3DCFCE749C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6A6B3B-305E-403E-858A-436C9382C46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83AD8-2401-43D7-9ACF-F0F85E2F545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842852-A023-42B3-8147-F2BB158F2B1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4926C-805B-48AC-AC64-DCBAE77E73B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B16742-9C01-4831-81EF-B019879EA45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77B4E-3884-40A0-8B81-C148CAA1068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CC949A-E3FB-4EC5-920D-2CFD91B61DE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4AAE1-1F11-49AA-BD3A-6F7429DD8BB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F162CC-848A-4715-8D6A-63021A50112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0818AA-FB98-40D1-BE54-BCA6A93D5EA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53119-4F5A-40A0-B678-4E6EAB38BC6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F757E-4E11-40E9-93AA-61E8FA4D584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AD143-6012-4D7F-A08B-75978BA30DA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5CC7B5-CF4E-4705-8B63-825915A8EB4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279BC-6BFE-4803-80C9-E8CA67A74F1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5371DF-AC10-48CA-8871-C832667EF53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2E43A1-1FC6-438B-9523-CF444042227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8D2D1B-764C-4F6D-9957-C9FB1F6E594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DE75EE-7EA4-4202-AB30-8BAA5F59605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12FDFD-48AB-486C-BB2B-447B18C46A5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BD848E-36AE-4413-BEED-22982DF76D6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D17455-0F77-41AB-A091-673034C5712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CB1DD-A625-4186-85C6-AC631A2DC26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C3292-1134-4016-9132-ED9503C715E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8A8136-D708-466B-9B6F-47437F3DB68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62179-6337-477C-96BB-4A914D95F9D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C9A9E-2582-42F4-BD98-F721196EF38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D091F-8C37-45BB-8F83-168ADCF3553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C7F5D-948F-4158-B358-BA742BE3059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F2C201-D32F-4B0E-AD77-160B6EFA007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DEABD-AD7F-48A1-9D79-CB900710F6F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77A576-5A64-4AE5-9A1F-373E3E9F83C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101A1-82B1-4497-8AFB-17CF49B136E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A9530-6D93-43D8-97A3-5AFB1FB8E4B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377C35-4F82-427A-A0C0-63DDC692935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F05A7B-CA2A-4A07-9FD2-A949534712C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35BB11-21D7-4C48-A5BA-18421BF17C9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DA767-3284-4650-B7C9-9A32895158E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4358B-FE45-4F95-B805-74E98950462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AA0936-6D75-4C27-9F4E-4AEF574C4CE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3DCF6-7271-452F-949F-714AE2C7C11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2FB3CC-126F-4CBC-9745-4048F3CFD6D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72C64D-2D06-423F-AE45-06700283ABA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C4CF99-F8A7-4022-9233-79B12863474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0BD34-B738-4BD7-9B48-06A57883B1F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C8A92-DDB2-4268-8A3D-0CE098ACA67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765098-EDF8-45D0-AA2C-1EFF3F7FF37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E08BB1-32CB-4124-98B8-5C21D3A09D9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65C30-441A-4DB6-8E6F-94095E23A6D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7194F-C065-4556-A5DA-9D973167DB7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E1999-25B9-4273-B464-242F65DF5F3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7D513-FA16-4A59-B957-D253B4213A2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63150-975A-4317-AB92-774B5F788E9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416C12-C77C-4BB7-BF1F-B7BD989005E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4C59D-3F11-4884-A135-77B5560B054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69B5B1-ED66-407A-B476-7558A0EDB04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8902B4-21C3-4AC7-AB25-AADCB18E6D0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DED8F-B7E8-48CC-9D21-6AE5C843F2F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9CCFFA-FA5E-44A0-B909-B9C1A968D46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8ACCA3-A4A0-47D0-B552-9813DFFCBE3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1ADB8-82C5-49B9-964E-592932C124F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4A339E-764B-4FB1-9818-81A8499F39C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F14DE-661B-4418-8FF3-AA80683F7AF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7EA0F-4054-46E4-AB05-88C28B7AE9F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B4480-6DDF-4084-BA5A-7A82623EEAE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D49C0-31F5-4F54-84EA-446D9753781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2FF6D-95AC-4713-8909-E5A647887C7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614EF-3D70-4A00-AB8D-21B17CD122C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58BE1-6A22-492E-B621-0D8D62120D60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34B48-8460-4DC7-B131-9D20E8D51B2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A03D34-549D-4C85-9285-6DD46644766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3173A-02FB-4F54-8A7F-243AA929069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7779A-2497-4DFA-AFA2-4FF236856C0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167C7-F156-4A0B-AE53-9B4E8A05631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92DD0-D95B-400A-847B-573FE38EF10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E1B5A-E4C0-4814-BE0E-FF45C8F41C5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945D49-28AC-46D6-A7F9-32FA67EF679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018FA-CAFA-4DD1-8430-18AF1379854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272F0-1488-4DBB-89D5-6514CA84877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59B0F-F9D4-4165-92AE-B30BDA4BA4B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B04E1-31F8-48C8-BD43-60ECDA93469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30367-95C2-44A5-A99C-F8204918612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691803-35B6-4444-BE08-BDE2F86FD1E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9A7552-5114-4AB6-9A83-824AB7D83C2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7319D-04BC-494D-AA93-1282A770D31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53F97-9A28-4AD1-9972-FDB003D6951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3A2E5-325E-4FA1-9CB8-CEACA90956D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0752BB-5CF1-4903-BAB4-D9DB4963847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1EEC3-9369-4537-91EA-25573CBA9C4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1DCDF-2F25-40FF-8AAA-B8ED95547B7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FAC7C-FBA8-4315-B3DA-64CE17A19A3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6A536-CFCE-45CA-A45A-5D1ECAC9A5B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D0C86-5A08-4654-A1BB-0DE6C45814F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304800" cy="304800"/>
    <xdr:sp macro="" textlink="">
      <xdr:nvSpPr>
        <xdr:cNvPr id="6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2AA3F-FB5B-49F0-B62D-74630A82EF6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F880B-1F9C-4DB1-BD30-AC9B9F38B1D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8DD4C-46B7-483F-962E-43E78C9F5FB7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7F6D5-2984-4845-9328-7ED1999F034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B4ECD6-C79C-49BE-82C5-66C89A4F8E2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A064A0-2D9C-42E0-BD36-6904C7F2C40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90D78-39FF-4C16-90A9-BA9B45B255D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587D30-90ED-452F-945A-E0A967F9FA9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4751A-DAE7-434C-AC0B-02E4AE9CC77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9F4AC-8EC0-47D2-A25B-B5B4A53B6DF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24FE31-74DC-4962-8C41-502FBD62143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21A14D-9CF8-4C4F-AC24-A6A306CF4AC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435DF-A1BD-43DE-B843-6D62D773DE1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4117BA-45D1-4A7C-8B96-B68D9F51AED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14FBA9-9A39-475E-B7CB-37F746B62E0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AC90D-F8BA-42ED-BA67-D019557BF17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AA3CC1-96D6-4432-8631-5AF9F0C16C6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6079EC-C89C-4D76-900F-C4C4B8B8237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5F5E7-6FE5-43F0-A08B-900C7A89FC2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FBF71F-6510-483A-8808-25407933924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B562B-6119-45C2-8C8C-D8E8885D192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CB5C4-3656-4772-AD9D-3FF1851FED6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7F11E4-1CD3-483A-82B9-9EFEF61BB60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1A29E-F550-4329-B3C3-03FD8CDB7F9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B36F1-F38F-4154-B517-FD72259FCCC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9B838-5221-4D2E-A798-324452A1E3B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C3046-7ED9-4CA3-900A-91DAF6D48AF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B5BE9-9992-4258-8B45-956A13419C1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76501E-73F3-4CA5-8ED5-DB4EAA929F7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B3B23-EE3C-443B-9E45-97CC3EA6588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A22DCC-628C-471E-93A9-5A1C4E2E38E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C53DF5-3978-463E-A07F-0C0AF10E4BD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8FD8A-AA5F-4268-A841-9334E39BB34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8BED9-33DD-433A-84D8-AD46C28B370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E5726-F7A1-44E9-B102-C55CA536737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A3A954-048C-46DE-9C29-3F90E5248A9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615296-3F9E-47A0-9E50-17A0819376B4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52611-BC1E-4049-A142-9116A325548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B4A1A-C556-4871-AEDC-96D0CC2678AE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117E9-E964-4060-8C78-81893370711F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CD0A1-68B4-43D4-8015-4E12046E760C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D66C24-925F-4FF2-8009-FC33661D056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5BC31-6AEA-4E65-B1C2-A271120034E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AB9CC9-A8DA-4F2D-A2E7-63E186B4F843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691D6-D944-45C7-84FB-025BB059C66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F6EC38-50D3-47EF-B72C-62143895BBA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94161-E290-4D24-A6E1-28EC97AFF6DA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EBEFD-EFD0-45FE-9491-DF92E948CCC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FCCED3-97ED-4C5E-8391-42D51608D425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7DC12-2008-473D-A88E-EEB3E9869932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6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13A87D-1ED5-4351-A5EB-A94FE630DAA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714375" cy="304800"/>
    <xdr:sp macro="" textlink="">
      <xdr:nvSpPr>
        <xdr:cNvPr id="6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5D7238-C92F-4873-A722-F7FD53809E60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1B0BB-C2A1-40DB-BA88-CAEBD95DCCF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9FAFB-35C7-4435-A29C-5BA472E36D69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7E997E-B838-44D8-A8A4-83AFA6C216AE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8CB1B-5653-418A-8D37-1134794FD022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97AD9-8B21-4CCD-B7E8-8508416C332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714375" cy="304800"/>
    <xdr:sp macro="" textlink="">
      <xdr:nvSpPr>
        <xdr:cNvPr id="6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B5049-A863-4048-9010-3A98A657F75F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4F5A84-6FF1-4D25-880F-DB7E9E2A211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EBB4A-C8A2-4435-8107-14B61D71BA31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638DB5-3BA1-45C1-B107-E03DD71769F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20DCD-3D91-4F7E-9BFF-27359B6BA03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7F02E-E31D-4656-8B6F-5714CB130F2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78F550-0877-42A9-8865-69BBAC8D06C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08803-5D32-4552-BC0C-14B1D240E0C8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D7F738-61E1-495D-80AE-A69525E99776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0C75AB-C9D5-4717-98B8-6AE9D4EFB58B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27364-15E6-4734-9766-8F87446221B0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C5D7CE-0DF2-483E-8A10-425D1D3177F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36F47-E660-45B8-B545-CBAD7EF987B1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DAD63-55FC-437E-8473-00AAA9316905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1CBA3-61EE-4F4A-A497-89676341440A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B53C4-037B-4AE3-B59B-79336F3AA2A2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D26F4-4824-4F6B-91FF-38701AA93490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BAA3C-31D1-4A9C-9200-E9EB59205722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625246-985C-4990-A772-D5D0991F497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5FEC1-89CE-4882-AE20-F04CD83EDE4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CE5B7F-4F9F-43BF-94B0-84C75C21E74A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714375" cy="304800"/>
    <xdr:sp macro="" textlink="">
      <xdr:nvSpPr>
        <xdr:cNvPr id="6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4456B-4B19-42EC-9E79-6D01A195AB8A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562A9-6161-4596-905D-383991F1E389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F2C2AC-D183-4E9D-948A-76DCBF72097E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58239-DC10-4B60-B6CF-6D729FCB8F9C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31ECA-EEAA-4AC4-BC06-F83CA751C9BB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6F7107-F62A-40D3-9B55-A162B6E3BB87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714375" cy="304800"/>
    <xdr:sp macro="" textlink="">
      <xdr:nvSpPr>
        <xdr:cNvPr id="6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9E74D-62AA-489D-BA26-0C0C2AAD0678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77DB2-5D95-442D-B843-B814A65E9A3E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4B1F79-2EB3-4070-8A8C-9D480DA8C97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7FCB6-6B6D-4785-94E6-EF88B71B78A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A1FF43-CDB2-4427-A594-A100E1094B72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703114-92D1-4C9A-82A7-CF67F8A1E066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ECC95-F4CB-4840-BE67-F1AD17340441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95E14-0D53-493A-900B-FCCB58BA369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3F15A-2B7D-4379-8DE7-5052B7DA756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B4990-3312-46E7-A857-87BC5661F59E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3BCE0-30EC-4058-8EE8-DF6EFB7DE70E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F982D-C7AB-4954-A109-53A75F21C12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F59BE5-9E48-491E-B528-34800560144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F23DB-2B84-427A-A7C9-660D82D933F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FA43A-890F-4EBA-A676-8FB6FEB11A73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271700-18E2-49F3-B691-F74942AFFAE8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F3284C-F45B-4B74-9AF8-A47DADCB98AB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B43FA-44E6-4A5F-AEDA-18D352BC93EA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6C106-5E6F-4C3F-BCD6-6F59B1B26DFD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BE97EB-6E33-48EB-80CF-4CD9B6948934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61BFEF-9AF5-42E5-A03B-F71C43EB27C2}"/>
            </a:ext>
          </a:extLst>
        </xdr:cNvPr>
        <xdr:cNvSpPr>
          <a:spLocks noChangeAspect="1" noChangeArrowheads="1"/>
        </xdr:cNvSpPr>
      </xdr:nvSpPr>
      <xdr:spPr bwMode="auto">
        <a:xfrm>
          <a:off x="180594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6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76FF3-579A-4604-8257-573DB57FC22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6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218D75-23D9-4D89-BE64-AAF7BBB57D3B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6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006AA-EBA0-4524-9FA3-C42138C7805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6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20708-348C-4D9D-B935-A457682A192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6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B263F-2F05-4595-A864-90160D1484C9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7</xdr:row>
      <xdr:rowOff>0</xdr:rowOff>
    </xdr:from>
    <xdr:ext cx="714375" cy="304800"/>
    <xdr:sp macro="" textlink="">
      <xdr:nvSpPr>
        <xdr:cNvPr id="6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45B0F9-2EE9-4BCD-8B8C-F90386E71C0D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6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941F07-0FFC-4ED6-BB6C-A13A471AE551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6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CC4FA-5727-4A77-8E8D-85D9786466C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6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1E60A-A045-4DB1-8C4A-D7DFBE9F5BB8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6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A431D4-1C0D-4CD3-A427-FC723628E566}"/>
            </a:ext>
          </a:extLst>
        </xdr:cNvPr>
        <xdr:cNvSpPr>
          <a:spLocks noChangeAspect="1" noChangeArrowheads="1"/>
        </xdr:cNvSpPr>
      </xdr:nvSpPr>
      <xdr:spPr bwMode="auto">
        <a:xfrm>
          <a:off x="177450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9715-0961-45C3-AC86-1BD05B077030}">
  <dimension ref="A1:AU126"/>
  <sheetViews>
    <sheetView tabSelected="1" workbookViewId="0">
      <pane xSplit="1" topLeftCell="B1" activePane="topRight" state="frozen"/>
      <selection pane="topRight" activeCell="AQ27" sqref="AQ27"/>
    </sheetView>
  </sheetViews>
  <sheetFormatPr defaultRowHeight="15" x14ac:dyDescent="0.25"/>
  <cols>
    <col min="1" max="1" width="46.85546875" customWidth="1"/>
    <col min="2" max="2" width="5.5703125" customWidth="1"/>
    <col min="3" max="3" width="0" hidden="1" customWidth="1"/>
    <col min="4" max="4" width="13.140625" customWidth="1"/>
    <col min="5" max="6" width="3.5703125" customWidth="1"/>
    <col min="7" max="7" width="10.7109375" bestFit="1" customWidth="1"/>
    <col min="8" max="8" width="3.5703125" bestFit="1" customWidth="1"/>
    <col min="9" max="9" width="3.5703125" customWidth="1"/>
    <col min="10" max="10" width="10.7109375" customWidth="1"/>
    <col min="11" max="11" width="3.5703125" bestFit="1" customWidth="1"/>
    <col min="12" max="12" width="3.5703125" customWidth="1"/>
    <col min="13" max="13" width="10.7109375" customWidth="1"/>
    <col min="14" max="15" width="3.5703125" bestFit="1" customWidth="1"/>
    <col min="16" max="16" width="10.7109375" customWidth="1"/>
    <col min="17" max="17" width="3.5703125" bestFit="1" customWidth="1"/>
    <col min="18" max="18" width="3.5703125" customWidth="1"/>
    <col min="19" max="19" width="10.7109375" customWidth="1"/>
    <col min="20" max="20" width="3.5703125" bestFit="1" customWidth="1"/>
    <col min="21" max="21" width="4.140625" bestFit="1" customWidth="1"/>
    <col min="22" max="22" width="10.7109375" customWidth="1"/>
    <col min="23" max="23" width="3.5703125" bestFit="1" customWidth="1"/>
    <col min="24" max="24" width="4.140625" bestFit="1" customWidth="1"/>
    <col min="25" max="25" width="10.7109375" customWidth="1"/>
    <col min="26" max="26" width="3.7109375" bestFit="1" customWidth="1"/>
    <col min="27" max="27" width="4.7109375" bestFit="1" customWidth="1"/>
    <col min="28" max="28" width="10.7109375" customWidth="1"/>
    <col min="29" max="29" width="3.5703125" bestFit="1" customWidth="1"/>
    <col min="30" max="30" width="4" bestFit="1" customWidth="1"/>
    <col min="31" max="31" width="10.7109375" customWidth="1"/>
    <col min="32" max="32" width="4.140625" customWidth="1"/>
    <col min="33" max="33" width="3.7109375" customWidth="1"/>
    <col min="34" max="34" width="10.7109375" customWidth="1"/>
    <col min="35" max="35" width="3.7109375" customWidth="1"/>
    <col min="36" max="36" width="4" customWidth="1"/>
    <col min="37" max="37" width="10.7109375" customWidth="1"/>
    <col min="38" max="38" width="3.7109375" customWidth="1"/>
    <col min="39" max="39" width="4" customWidth="1"/>
    <col min="40" max="40" width="10.7109375" customWidth="1"/>
    <col min="41" max="41" width="4.7109375" bestFit="1" customWidth="1"/>
    <col min="42" max="42" width="5.7109375" bestFit="1" customWidth="1"/>
    <col min="43" max="43" width="11.7109375" bestFit="1" customWidth="1"/>
    <col min="44" max="44" width="12" bestFit="1" customWidth="1"/>
    <col min="45" max="45" width="6.140625" customWidth="1"/>
    <col min="46" max="46" width="16.28515625" customWidth="1"/>
  </cols>
  <sheetData>
    <row r="1" spans="1:46" x14ac:dyDescent="0.2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</row>
    <row r="2" spans="1:46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</row>
    <row r="3" spans="1:46" x14ac:dyDescent="0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</row>
    <row r="4" spans="1:46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</row>
    <row r="5" spans="1:46" x14ac:dyDescent="0.25">
      <c r="A5" s="198" t="s">
        <v>0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</row>
    <row r="6" spans="1:46" ht="26.25" customHeight="1" x14ac:dyDescent="0.25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</row>
    <row r="7" spans="1:46" x14ac:dyDescent="0.25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</row>
    <row r="8" spans="1:46" x14ac:dyDescent="0.25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</row>
    <row r="9" spans="1:46" ht="15.75" x14ac:dyDescent="0.25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</row>
    <row r="10" spans="1:46" x14ac:dyDescent="0.25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</row>
    <row r="11" spans="1:46" x14ac:dyDescent="0.25">
      <c r="A11" s="1" t="s">
        <v>1</v>
      </c>
      <c r="B11" s="143" t="s">
        <v>2</v>
      </c>
      <c r="C11" s="143"/>
      <c r="D11" s="143"/>
      <c r="E11" s="143" t="s">
        <v>3</v>
      </c>
      <c r="F11" s="143"/>
      <c r="G11" s="143"/>
      <c r="H11" s="136" t="s">
        <v>4</v>
      </c>
      <c r="I11" s="137"/>
      <c r="J11" s="138"/>
      <c r="K11" s="136" t="s">
        <v>5</v>
      </c>
      <c r="L11" s="137"/>
      <c r="M11" s="138"/>
      <c r="N11" s="136" t="s">
        <v>6</v>
      </c>
      <c r="O11" s="137"/>
      <c r="P11" s="138"/>
      <c r="Q11" s="136" t="s">
        <v>7</v>
      </c>
      <c r="R11" s="137"/>
      <c r="S11" s="138"/>
      <c r="T11" s="136" t="s">
        <v>8</v>
      </c>
      <c r="U11" s="137"/>
      <c r="V11" s="138"/>
      <c r="W11" s="136" t="s">
        <v>9</v>
      </c>
      <c r="X11" s="137"/>
      <c r="Y11" s="138"/>
      <c r="Z11" s="136" t="s">
        <v>10</v>
      </c>
      <c r="AA11" s="137"/>
      <c r="AB11" s="138"/>
      <c r="AC11" s="136" t="s">
        <v>11</v>
      </c>
      <c r="AD11" s="137"/>
      <c r="AE11" s="138"/>
      <c r="AF11" s="136" t="s">
        <v>12</v>
      </c>
      <c r="AG11" s="137"/>
      <c r="AH11" s="138"/>
      <c r="AI11" s="2"/>
      <c r="AJ11" s="2"/>
      <c r="AK11" s="2"/>
      <c r="AL11" s="2"/>
      <c r="AM11" s="2"/>
      <c r="AN11" s="2"/>
      <c r="AO11" s="136" t="s">
        <v>13</v>
      </c>
      <c r="AP11" s="137"/>
      <c r="AQ11" s="138"/>
      <c r="AR11" s="139" t="s">
        <v>14</v>
      </c>
      <c r="AS11" s="139"/>
      <c r="AT11" s="139"/>
    </row>
    <row r="12" spans="1:46" x14ac:dyDescent="0.25">
      <c r="A12" s="3" t="s">
        <v>15</v>
      </c>
      <c r="B12" s="202">
        <f>B13+B14+B15</f>
        <v>9586.0300000000007</v>
      </c>
      <c r="C12" s="203"/>
      <c r="D12" s="204"/>
      <c r="E12" s="206"/>
      <c r="F12" s="207"/>
      <c r="G12" s="208"/>
      <c r="H12" s="4"/>
      <c r="I12" s="5"/>
      <c r="J12" s="6"/>
      <c r="K12" s="5"/>
      <c r="L12" s="5"/>
      <c r="M12" s="5"/>
      <c r="N12" s="122"/>
      <c r="O12" s="122"/>
      <c r="P12" s="122"/>
      <c r="Q12" s="122"/>
      <c r="R12" s="122"/>
      <c r="S12" s="122"/>
      <c r="T12" s="122"/>
      <c r="U12" s="122"/>
      <c r="V12" s="122"/>
      <c r="W12" s="190"/>
      <c r="X12" s="190"/>
      <c r="Y12" s="190"/>
      <c r="Z12" s="190"/>
      <c r="AA12" s="190"/>
      <c r="AB12" s="190"/>
      <c r="AC12" s="122"/>
      <c r="AD12" s="122"/>
      <c r="AE12" s="122"/>
      <c r="AF12" s="122"/>
      <c r="AG12" s="122"/>
      <c r="AH12" s="122"/>
      <c r="AI12" s="119"/>
      <c r="AJ12" s="120"/>
      <c r="AK12" s="121"/>
      <c r="AL12" s="119"/>
      <c r="AM12" s="120"/>
      <c r="AN12" s="121"/>
      <c r="AO12" s="202">
        <f>9586.03</f>
        <v>9586.0300000000007</v>
      </c>
      <c r="AP12" s="203"/>
      <c r="AQ12" s="204"/>
      <c r="AR12" s="205">
        <f>9586.03</f>
        <v>9586.0300000000007</v>
      </c>
      <c r="AS12" s="205"/>
      <c r="AT12" s="205"/>
    </row>
    <row r="13" spans="1:46" x14ac:dyDescent="0.25">
      <c r="A13" s="7" t="s">
        <v>16</v>
      </c>
      <c r="B13" s="123">
        <f>13836</f>
        <v>13836</v>
      </c>
      <c r="C13" s="124"/>
      <c r="D13" s="125"/>
      <c r="E13" s="191"/>
      <c r="F13" s="192"/>
      <c r="G13" s="193"/>
      <c r="H13" s="8"/>
      <c r="I13" s="9"/>
      <c r="J13" s="10"/>
      <c r="K13" s="9"/>
      <c r="L13" s="9"/>
      <c r="M13" s="9"/>
      <c r="N13" s="122"/>
      <c r="O13" s="122"/>
      <c r="P13" s="122"/>
      <c r="Q13" s="122"/>
      <c r="R13" s="122"/>
      <c r="S13" s="122"/>
      <c r="T13" s="122"/>
      <c r="U13" s="122"/>
      <c r="V13" s="122"/>
      <c r="W13" s="190"/>
      <c r="X13" s="190"/>
      <c r="Y13" s="190"/>
      <c r="Z13" s="190"/>
      <c r="AA13" s="190"/>
      <c r="AB13" s="190"/>
      <c r="AC13" s="122"/>
      <c r="AD13" s="122"/>
      <c r="AE13" s="122"/>
      <c r="AF13" s="122"/>
      <c r="AG13" s="122"/>
      <c r="AH13" s="122"/>
      <c r="AI13" s="119"/>
      <c r="AJ13" s="120"/>
      <c r="AK13" s="121"/>
      <c r="AL13" s="119"/>
      <c r="AM13" s="120"/>
      <c r="AN13" s="121"/>
      <c r="AO13" s="123"/>
      <c r="AP13" s="124"/>
      <c r="AQ13" s="125"/>
      <c r="AR13" s="96"/>
      <c r="AS13" s="96"/>
      <c r="AT13" s="96"/>
    </row>
    <row r="14" spans="1:46" x14ac:dyDescent="0.25">
      <c r="A14" s="7" t="s">
        <v>17</v>
      </c>
      <c r="B14" s="123">
        <f>642.76</f>
        <v>642.76</v>
      </c>
      <c r="C14" s="124"/>
      <c r="D14" s="125"/>
      <c r="E14" s="191"/>
      <c r="F14" s="192"/>
      <c r="G14" s="193"/>
      <c r="H14" s="8"/>
      <c r="I14" s="9"/>
      <c r="J14" s="10"/>
      <c r="K14" s="9"/>
      <c r="L14" s="9"/>
      <c r="M14" s="9"/>
      <c r="N14" s="122"/>
      <c r="O14" s="122"/>
      <c r="P14" s="122"/>
      <c r="Q14" s="122"/>
      <c r="R14" s="122"/>
      <c r="S14" s="122"/>
      <c r="T14" s="122"/>
      <c r="U14" s="122"/>
      <c r="V14" s="122"/>
      <c r="W14" s="190"/>
      <c r="X14" s="190"/>
      <c r="Y14" s="190"/>
      <c r="Z14" s="190"/>
      <c r="AA14" s="190"/>
      <c r="AB14" s="190"/>
      <c r="AC14" s="122"/>
      <c r="AD14" s="122"/>
      <c r="AE14" s="122"/>
      <c r="AF14" s="122"/>
      <c r="AG14" s="122"/>
      <c r="AH14" s="122"/>
      <c r="AI14" s="119"/>
      <c r="AJ14" s="120"/>
      <c r="AK14" s="121"/>
      <c r="AL14" s="119"/>
      <c r="AM14" s="120"/>
      <c r="AN14" s="121"/>
      <c r="AO14" s="123"/>
      <c r="AP14" s="124"/>
      <c r="AQ14" s="125"/>
      <c r="AR14" s="186"/>
      <c r="AS14" s="186"/>
      <c r="AT14" s="186"/>
    </row>
    <row r="15" spans="1:46" x14ac:dyDescent="0.25">
      <c r="A15" s="7" t="s">
        <v>18</v>
      </c>
      <c r="B15" s="123">
        <f>-4892.73</f>
        <v>-4892.7299999999996</v>
      </c>
      <c r="C15" s="124"/>
      <c r="D15" s="125"/>
      <c r="E15" s="191"/>
      <c r="F15" s="192"/>
      <c r="G15" s="193"/>
      <c r="H15" s="8"/>
      <c r="I15" s="9"/>
      <c r="J15" s="10"/>
      <c r="K15" s="194"/>
      <c r="L15" s="195"/>
      <c r="M15" s="196"/>
      <c r="N15" s="122"/>
      <c r="O15" s="122"/>
      <c r="P15" s="122"/>
      <c r="Q15" s="122" t="s">
        <v>19</v>
      </c>
      <c r="R15" s="122"/>
      <c r="S15" s="122"/>
      <c r="T15" s="122"/>
      <c r="U15" s="122"/>
      <c r="V15" s="122"/>
      <c r="W15" s="190"/>
      <c r="X15" s="190"/>
      <c r="Y15" s="190"/>
      <c r="Z15" s="190"/>
      <c r="AA15" s="190"/>
      <c r="AB15" s="190"/>
      <c r="AC15" s="122"/>
      <c r="AD15" s="122"/>
      <c r="AE15" s="122"/>
      <c r="AF15" s="122"/>
      <c r="AG15" s="122"/>
      <c r="AH15" s="122"/>
      <c r="AI15" s="119"/>
      <c r="AJ15" s="120"/>
      <c r="AK15" s="121"/>
      <c r="AL15" s="119"/>
      <c r="AM15" s="120"/>
      <c r="AN15" s="121"/>
      <c r="AO15" s="123"/>
      <c r="AP15" s="124"/>
      <c r="AQ15" s="125"/>
      <c r="AR15" s="186"/>
      <c r="AS15" s="186"/>
      <c r="AT15" s="186"/>
    </row>
    <row r="16" spans="1:46" x14ac:dyDescent="0.25">
      <c r="A16" s="11" t="s">
        <v>20</v>
      </c>
      <c r="B16" s="182">
        <f>4186449.06</f>
        <v>4186449.06</v>
      </c>
      <c r="C16" s="183"/>
      <c r="D16" s="184"/>
      <c r="E16" s="187"/>
      <c r="F16" s="188"/>
      <c r="G16" s="189"/>
      <c r="H16" s="12"/>
      <c r="I16" s="13"/>
      <c r="J16" s="14"/>
      <c r="K16" s="13"/>
      <c r="L16" s="13"/>
      <c r="M16" s="13"/>
      <c r="N16" s="179"/>
      <c r="O16" s="180"/>
      <c r="P16" s="181"/>
      <c r="Q16" s="187"/>
      <c r="R16" s="188"/>
      <c r="S16" s="189"/>
      <c r="T16" s="187"/>
      <c r="U16" s="188"/>
      <c r="V16" s="189"/>
      <c r="W16" s="179"/>
      <c r="X16" s="180"/>
      <c r="Y16" s="181"/>
      <c r="Z16" s="179"/>
      <c r="AA16" s="180"/>
      <c r="AB16" s="181"/>
      <c r="AC16" s="179"/>
      <c r="AD16" s="180"/>
      <c r="AE16" s="181"/>
      <c r="AF16" s="179"/>
      <c r="AG16" s="180"/>
      <c r="AH16" s="181"/>
      <c r="AI16" s="179"/>
      <c r="AJ16" s="180"/>
      <c r="AK16" s="181"/>
      <c r="AL16" s="179"/>
      <c r="AM16" s="180"/>
      <c r="AN16" s="181"/>
      <c r="AO16" s="182">
        <f>AQ27</f>
        <v>1007694.9400000001</v>
      </c>
      <c r="AP16" s="183"/>
      <c r="AQ16" s="184"/>
      <c r="AR16" s="185">
        <f>AT27</f>
        <v>5194144</v>
      </c>
      <c r="AS16" s="185"/>
      <c r="AT16" s="185"/>
    </row>
    <row r="17" spans="1:46" x14ac:dyDescent="0.25">
      <c r="A17" s="15" t="s">
        <v>21</v>
      </c>
      <c r="B17" s="173">
        <f>2036201.14</f>
        <v>2036201.14</v>
      </c>
      <c r="C17" s="174"/>
      <c r="D17" s="175"/>
      <c r="E17" s="176"/>
      <c r="F17" s="177"/>
      <c r="G17" s="178"/>
      <c r="H17" s="16"/>
      <c r="I17" s="17"/>
      <c r="J17" s="18"/>
      <c r="K17" s="17"/>
      <c r="L17" s="17"/>
      <c r="M17" s="17"/>
      <c r="N17" s="170"/>
      <c r="O17" s="171"/>
      <c r="P17" s="172"/>
      <c r="Q17" s="176"/>
      <c r="R17" s="177"/>
      <c r="S17" s="178"/>
      <c r="T17" s="176"/>
      <c r="U17" s="177"/>
      <c r="V17" s="178"/>
      <c r="W17" s="170"/>
      <c r="X17" s="171"/>
      <c r="Y17" s="172"/>
      <c r="Z17" s="170"/>
      <c r="AA17" s="171"/>
      <c r="AB17" s="172"/>
      <c r="AC17" s="170"/>
      <c r="AD17" s="171"/>
      <c r="AE17" s="172"/>
      <c r="AF17" s="170"/>
      <c r="AG17" s="171"/>
      <c r="AH17" s="172"/>
      <c r="AI17" s="170"/>
      <c r="AJ17" s="171"/>
      <c r="AK17" s="172"/>
      <c r="AL17" s="170"/>
      <c r="AM17" s="171"/>
      <c r="AN17" s="172"/>
      <c r="AO17" s="173">
        <f>AO103</f>
        <v>826802.78</v>
      </c>
      <c r="AP17" s="174"/>
      <c r="AQ17" s="175"/>
      <c r="AR17" s="169">
        <f>AS103</f>
        <v>2863003.92</v>
      </c>
      <c r="AS17" s="169"/>
      <c r="AT17" s="169"/>
    </row>
    <row r="18" spans="1:46" x14ac:dyDescent="0.25">
      <c r="A18" s="11" t="s">
        <v>22</v>
      </c>
      <c r="B18" s="161">
        <f>B16-B17+B12</f>
        <v>2159833.9499999997</v>
      </c>
      <c r="C18" s="162"/>
      <c r="D18" s="163"/>
      <c r="E18" s="155"/>
      <c r="F18" s="156"/>
      <c r="G18" s="157"/>
      <c r="H18" s="19"/>
      <c r="I18" s="20"/>
      <c r="J18" s="21"/>
      <c r="K18" s="20"/>
      <c r="L18" s="20"/>
      <c r="M18" s="20"/>
      <c r="N18" s="158"/>
      <c r="O18" s="159"/>
      <c r="P18" s="160"/>
      <c r="Q18" s="155"/>
      <c r="R18" s="156"/>
      <c r="S18" s="157"/>
      <c r="T18" s="155"/>
      <c r="U18" s="156"/>
      <c r="V18" s="157"/>
      <c r="W18" s="158"/>
      <c r="X18" s="159"/>
      <c r="Y18" s="160"/>
      <c r="Z18" s="158"/>
      <c r="AA18" s="159"/>
      <c r="AB18" s="160"/>
      <c r="AC18" s="158"/>
      <c r="AD18" s="159"/>
      <c r="AE18" s="160"/>
      <c r="AF18" s="158"/>
      <c r="AG18" s="159"/>
      <c r="AH18" s="160"/>
      <c r="AI18" s="155">
        <f>0.01+0.01+0.13+0.01+4+80+80</f>
        <v>164.16</v>
      </c>
      <c r="AJ18" s="156"/>
      <c r="AK18" s="157"/>
      <c r="AL18" s="158"/>
      <c r="AM18" s="159"/>
      <c r="AN18" s="160"/>
      <c r="AO18" s="161">
        <f>AO16-AO17</f>
        <v>180892.16000000003</v>
      </c>
      <c r="AP18" s="162"/>
      <c r="AQ18" s="163"/>
      <c r="AR18" s="164">
        <f>AR16-AR17+AR12</f>
        <v>2340726.11</v>
      </c>
      <c r="AS18" s="164"/>
      <c r="AT18" s="164"/>
    </row>
    <row r="19" spans="1:46" x14ac:dyDescent="0.2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</row>
    <row r="20" spans="1:46" x14ac:dyDescent="0.25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</row>
    <row r="21" spans="1:46" x14ac:dyDescent="0.25">
      <c r="A21" s="167" t="s">
        <v>23</v>
      </c>
      <c r="B21" s="143" t="s">
        <v>2</v>
      </c>
      <c r="C21" s="143"/>
      <c r="D21" s="143"/>
      <c r="E21" s="136" t="s">
        <v>3</v>
      </c>
      <c r="F21" s="137"/>
      <c r="G21" s="138"/>
      <c r="H21" s="136" t="s">
        <v>4</v>
      </c>
      <c r="I21" s="137"/>
      <c r="J21" s="138"/>
      <c r="K21" s="136" t="s">
        <v>5</v>
      </c>
      <c r="L21" s="137"/>
      <c r="M21" s="138"/>
      <c r="N21" s="136" t="s">
        <v>6</v>
      </c>
      <c r="O21" s="137"/>
      <c r="P21" s="138"/>
      <c r="Q21" s="136" t="s">
        <v>7</v>
      </c>
      <c r="R21" s="137"/>
      <c r="S21" s="138"/>
      <c r="T21" s="136" t="s">
        <v>8</v>
      </c>
      <c r="U21" s="137"/>
      <c r="V21" s="138"/>
      <c r="W21" s="136" t="s">
        <v>9</v>
      </c>
      <c r="X21" s="137"/>
      <c r="Y21" s="138"/>
      <c r="Z21" s="136" t="s">
        <v>10</v>
      </c>
      <c r="AA21" s="137"/>
      <c r="AB21" s="138"/>
      <c r="AC21" s="136" t="s">
        <v>11</v>
      </c>
      <c r="AD21" s="137"/>
      <c r="AE21" s="138"/>
      <c r="AF21" s="136" t="s">
        <v>12</v>
      </c>
      <c r="AG21" s="137"/>
      <c r="AH21" s="138"/>
      <c r="AI21" s="136" t="s">
        <v>24</v>
      </c>
      <c r="AJ21" s="137"/>
      <c r="AK21" s="138"/>
      <c r="AL21" s="136" t="s">
        <v>25</v>
      </c>
      <c r="AM21" s="137"/>
      <c r="AN21" s="138"/>
      <c r="AO21" s="136" t="s">
        <v>13</v>
      </c>
      <c r="AP21" s="137"/>
      <c r="AQ21" s="138"/>
      <c r="AR21" s="154" t="s">
        <v>26</v>
      </c>
      <c r="AS21" s="139" t="s">
        <v>14</v>
      </c>
      <c r="AT21" s="139"/>
    </row>
    <row r="22" spans="1:46" x14ac:dyDescent="0.25">
      <c r="A22" s="168"/>
      <c r="B22" s="150" t="s">
        <v>27</v>
      </c>
      <c r="C22" s="151"/>
      <c r="D22" s="22" t="s">
        <v>28</v>
      </c>
      <c r="E22" s="22" t="s">
        <v>29</v>
      </c>
      <c r="F22" s="22" t="s">
        <v>30</v>
      </c>
      <c r="G22" s="22" t="s">
        <v>28</v>
      </c>
      <c r="H22" s="22" t="s">
        <v>29</v>
      </c>
      <c r="I22" s="22" t="s">
        <v>30</v>
      </c>
      <c r="J22" s="22"/>
      <c r="K22" s="22" t="s">
        <v>29</v>
      </c>
      <c r="L22" s="22" t="s">
        <v>30</v>
      </c>
      <c r="M22" s="22"/>
      <c r="N22" s="22" t="s">
        <v>29</v>
      </c>
      <c r="O22" s="22" t="s">
        <v>30</v>
      </c>
      <c r="P22" s="22"/>
      <c r="Q22" s="22" t="s">
        <v>29</v>
      </c>
      <c r="R22" s="22" t="s">
        <v>30</v>
      </c>
      <c r="S22" s="22"/>
      <c r="T22" s="22" t="s">
        <v>29</v>
      </c>
      <c r="U22" s="22" t="s">
        <v>30</v>
      </c>
      <c r="V22" s="22"/>
      <c r="W22" s="22" t="s">
        <v>29</v>
      </c>
      <c r="X22" s="22" t="s">
        <v>30</v>
      </c>
      <c r="Y22" s="22"/>
      <c r="Z22" s="22" t="s">
        <v>29</v>
      </c>
      <c r="AA22" s="22" t="s">
        <v>30</v>
      </c>
      <c r="AB22" s="22"/>
      <c r="AC22" s="22" t="s">
        <v>29</v>
      </c>
      <c r="AD22" s="22" t="s">
        <v>30</v>
      </c>
      <c r="AE22" s="22"/>
      <c r="AF22" s="22" t="s">
        <v>29</v>
      </c>
      <c r="AG22" s="22" t="s">
        <v>30</v>
      </c>
      <c r="AH22" s="22"/>
      <c r="AI22" s="22" t="s">
        <v>29</v>
      </c>
      <c r="AJ22" s="22" t="s">
        <v>30</v>
      </c>
      <c r="AK22" s="22"/>
      <c r="AL22" s="22" t="s">
        <v>29</v>
      </c>
      <c r="AM22" s="22" t="s">
        <v>30</v>
      </c>
      <c r="AN22" s="22"/>
      <c r="AO22" s="22" t="s">
        <v>29</v>
      </c>
      <c r="AP22" s="22" t="s">
        <v>30</v>
      </c>
      <c r="AQ22" s="22" t="s">
        <v>28</v>
      </c>
      <c r="AR22" s="154"/>
      <c r="AS22" s="23" t="s">
        <v>27</v>
      </c>
      <c r="AT22" s="23" t="s">
        <v>28</v>
      </c>
    </row>
    <row r="23" spans="1:46" x14ac:dyDescent="0.25">
      <c r="A23" s="24" t="s">
        <v>31</v>
      </c>
      <c r="B23" s="152">
        <v>158</v>
      </c>
      <c r="C23" s="153"/>
      <c r="D23" s="25">
        <f>17760.02+186880+2455.53+1205.11</f>
        <v>208300.65999999997</v>
      </c>
      <c r="E23" s="26"/>
      <c r="F23" s="26"/>
      <c r="G23" s="25"/>
      <c r="H23" s="26"/>
      <c r="I23" s="27"/>
      <c r="J23" s="25"/>
      <c r="K23" s="26"/>
      <c r="L23" s="27"/>
      <c r="M23" s="25"/>
      <c r="N23" s="26"/>
      <c r="O23" s="26"/>
      <c r="P23" s="25"/>
      <c r="Q23" s="26"/>
      <c r="R23" s="27"/>
      <c r="S23" s="25"/>
      <c r="T23" s="26"/>
      <c r="U23" s="27"/>
      <c r="V23" s="25"/>
      <c r="W23" s="26"/>
      <c r="X23" s="26"/>
      <c r="Y23" s="25"/>
      <c r="Z23" s="26"/>
      <c r="AA23" s="26"/>
      <c r="AB23" s="25"/>
      <c r="AC23" s="26"/>
      <c r="AD23" s="27"/>
      <c r="AE23" s="25"/>
      <c r="AF23" s="26"/>
      <c r="AG23" s="27"/>
      <c r="AH23" s="25"/>
      <c r="AI23" s="26"/>
      <c r="AJ23" s="27"/>
      <c r="AK23" s="25"/>
      <c r="AL23" s="26"/>
      <c r="AM23" s="27"/>
      <c r="AN23" s="25"/>
      <c r="AO23" s="26"/>
      <c r="AP23" s="27"/>
      <c r="AQ23" s="28"/>
      <c r="AR23" s="29"/>
      <c r="AS23" s="30">
        <v>158</v>
      </c>
      <c r="AT23" s="31">
        <f>208300.66</f>
        <v>208300.66</v>
      </c>
    </row>
    <row r="24" spans="1:46" x14ac:dyDescent="0.25">
      <c r="A24" s="7" t="s">
        <v>32</v>
      </c>
      <c r="B24" s="152">
        <v>5872</v>
      </c>
      <c r="C24" s="153"/>
      <c r="D24" s="25">
        <f>3713342.03</f>
        <v>3713342.03</v>
      </c>
      <c r="E24" s="26">
        <f>-10</f>
        <v>-10</v>
      </c>
      <c r="F24" s="26">
        <v>9</v>
      </c>
      <c r="G24" s="32">
        <f>40+40+120+20+115920+40+127.33</f>
        <v>116307.33</v>
      </c>
      <c r="H24" s="26">
        <v>-8</v>
      </c>
      <c r="I24" s="27">
        <v>20</v>
      </c>
      <c r="J24" s="32">
        <f>20+60+80+80+80+80+180+114720+280</f>
        <v>115580</v>
      </c>
      <c r="K24" s="26">
        <v>-7</v>
      </c>
      <c r="L24" s="27">
        <v>17</v>
      </c>
      <c r="M24" s="32">
        <f>80+40+80+40+80+360+80+80+60+80+80+40+80+40+1700+20+80+80+80+80+80+80+80+80</f>
        <v>3580</v>
      </c>
      <c r="N24" s="26">
        <v>-16</v>
      </c>
      <c r="O24" s="26">
        <v>9</v>
      </c>
      <c r="P24" s="32">
        <f>520+120+400+80+20+30+80+20+116620+100+60+160</f>
        <v>118210</v>
      </c>
      <c r="Q24" s="26">
        <v>-16</v>
      </c>
      <c r="R24" s="27">
        <v>13</v>
      </c>
      <c r="S24" s="32">
        <f>100+140+100+100+80+160+80+80+20+60+40+100+140+40+220+620</f>
        <v>2080</v>
      </c>
      <c r="T24" s="26">
        <v>-21</v>
      </c>
      <c r="U24" s="27">
        <v>132</v>
      </c>
      <c r="V24" s="32">
        <f>20+80+20+20+100+115940+40+280+40+40</f>
        <v>116580</v>
      </c>
      <c r="W24" s="26">
        <v>-22</v>
      </c>
      <c r="X24" s="26">
        <v>347</v>
      </c>
      <c r="Y24" s="32">
        <f>240+140+120+80+65+90+20+280</f>
        <v>1035</v>
      </c>
      <c r="Z24" s="26">
        <v>-29</v>
      </c>
      <c r="AA24" s="26">
        <v>721</v>
      </c>
      <c r="AB24" s="32">
        <f>160+65+120+80+20+60+120+80+40+80+20+120+120+140+125200+20</f>
        <v>126445</v>
      </c>
      <c r="AC24" s="26">
        <v>-14</v>
      </c>
      <c r="AD24" s="33">
        <v>175</v>
      </c>
      <c r="AE24" s="32">
        <f>180+140+60+20+20+4680+1480</f>
        <v>6580</v>
      </c>
      <c r="AF24" s="26">
        <v>-13</v>
      </c>
      <c r="AG24" s="33">
        <v>60</v>
      </c>
      <c r="AH24" s="32">
        <f>20+4305+60+160+100+60+136+160+20+40+900+137200</f>
        <v>143161</v>
      </c>
      <c r="AI24" s="26">
        <v>-7</v>
      </c>
      <c r="AJ24" s="33">
        <v>94</v>
      </c>
      <c r="AK24" s="32">
        <f>4864.16</f>
        <v>4864.16</v>
      </c>
      <c r="AL24" s="26">
        <v>-3</v>
      </c>
      <c r="AM24" s="33">
        <v>33</v>
      </c>
      <c r="AN24" s="32">
        <f>1120+60+139200</f>
        <v>140380</v>
      </c>
      <c r="AO24" s="26">
        <f>-10-8-7-16-16-21-22-29-14-13-7-3</f>
        <v>-166</v>
      </c>
      <c r="AP24" s="33">
        <f>9+20+17+9+13+132+347+721+175+60+94+33</f>
        <v>1630</v>
      </c>
      <c r="AQ24" s="28">
        <f>0+G24+J24+M24+P24+S24+V24+Y24+AB24+AE24+AH24+AK24+AN24</f>
        <v>894802.49000000011</v>
      </c>
      <c r="AR24" s="34">
        <f>AQ24/AQ27</f>
        <v>0.88796961707478661</v>
      </c>
      <c r="AS24" s="35">
        <f>5872+AO24+AP24</f>
        <v>7336</v>
      </c>
      <c r="AT24" s="36">
        <f>3713342.03+AQ24</f>
        <v>4608144.5199999996</v>
      </c>
    </row>
    <row r="25" spans="1:46" x14ac:dyDescent="0.25">
      <c r="A25" s="37" t="s">
        <v>33</v>
      </c>
      <c r="B25" s="152"/>
      <c r="C25" s="153"/>
      <c r="D25" s="25">
        <f>263771.64</f>
        <v>263771.64</v>
      </c>
      <c r="E25" s="26"/>
      <c r="F25" s="26"/>
      <c r="G25" s="32">
        <f>3456.99+2528.85+1258.22+447.4</f>
        <v>7691.46</v>
      </c>
      <c r="H25" s="26"/>
      <c r="I25" s="27"/>
      <c r="J25" s="32">
        <f>2097.79+989.67+2306.35</f>
        <v>5393.8099999999995</v>
      </c>
      <c r="K25" s="26"/>
      <c r="L25" s="27"/>
      <c r="M25" s="32">
        <f>2670.71+1353.08+748.68</f>
        <v>4772.47</v>
      </c>
      <c r="N25" s="26"/>
      <c r="O25" s="26"/>
      <c r="P25" s="32">
        <f>994.9+25.38+2243.52</f>
        <v>3263.8</v>
      </c>
      <c r="Q25" s="26"/>
      <c r="R25" s="27"/>
      <c r="S25" s="32">
        <f>766.4+2494.19+209.71+1884.67</f>
        <v>5354.97</v>
      </c>
      <c r="T25" s="26"/>
      <c r="U25" s="27"/>
      <c r="V25" s="32">
        <f>573.82+1968.57+184.59+1703.34</f>
        <v>4430.32</v>
      </c>
      <c r="W25" s="26"/>
      <c r="X25" s="26"/>
      <c r="Y25" s="32">
        <f>397.83+2362.86+161.21+2538.73</f>
        <v>5460.63</v>
      </c>
      <c r="Z25" s="26"/>
      <c r="AA25" s="26"/>
      <c r="AB25" s="32">
        <f>282.95+1202.2+129.87+1317.95</f>
        <v>2932.9700000000003</v>
      </c>
      <c r="AC25" s="26"/>
      <c r="AD25" s="27"/>
      <c r="AE25" s="32">
        <f>94.92-256.33-73.63+1288</f>
        <v>1052.96</v>
      </c>
      <c r="AF25" s="26"/>
      <c r="AG25" s="27"/>
      <c r="AH25" s="32">
        <f>23.74+111.2+903.26+1289.93</f>
        <v>2328.13</v>
      </c>
      <c r="AI25" s="26"/>
      <c r="AJ25" s="27"/>
      <c r="AK25" s="32">
        <f>1230.29+61.05+1658.2+85.92</f>
        <v>3035.46</v>
      </c>
      <c r="AL25" s="26"/>
      <c r="AM25" s="27"/>
      <c r="AN25" s="32">
        <f>4697.79+1355.36+113.49+128.83</f>
        <v>6295.4699999999993</v>
      </c>
      <c r="AO25" s="26"/>
      <c r="AP25" s="27"/>
      <c r="AQ25" s="28">
        <f>0+G25+J25+M25+P25+S25+V25+Y25+AB25+AE25+AH25+AK25+AN25</f>
        <v>52012.45</v>
      </c>
      <c r="AR25" s="34">
        <f>AQ25/AQ27</f>
        <v>5.1615273566819733E-2</v>
      </c>
      <c r="AS25" s="27"/>
      <c r="AT25" s="36">
        <f>263771.64+AQ25</f>
        <v>315784.09000000003</v>
      </c>
    </row>
    <row r="26" spans="1:46" x14ac:dyDescent="0.25">
      <c r="A26" s="7" t="s">
        <v>129</v>
      </c>
      <c r="B26" s="152"/>
      <c r="C26" s="153"/>
      <c r="D26" s="25">
        <f>1034.73</f>
        <v>1034.73</v>
      </c>
      <c r="E26" s="26"/>
      <c r="F26" s="26"/>
      <c r="G26" s="25"/>
      <c r="H26" s="26"/>
      <c r="I26" s="27"/>
      <c r="J26" s="25"/>
      <c r="K26" s="26"/>
      <c r="L26" s="27"/>
      <c r="M26" s="25"/>
      <c r="N26" s="26"/>
      <c r="O26" s="26"/>
      <c r="P26" s="25"/>
      <c r="Q26" s="26"/>
      <c r="R26" s="27"/>
      <c r="S26" s="25"/>
      <c r="T26" s="26"/>
      <c r="U26" s="27"/>
      <c r="V26" s="25"/>
      <c r="W26" s="26"/>
      <c r="X26" s="26"/>
      <c r="Y26" s="25"/>
      <c r="Z26" s="26"/>
      <c r="AA26" s="26"/>
      <c r="AB26" s="25"/>
      <c r="AC26" s="26"/>
      <c r="AD26" s="27"/>
      <c r="AE26" s="25"/>
      <c r="AF26" s="26"/>
      <c r="AG26" s="27"/>
      <c r="AH26" s="25"/>
      <c r="AI26" s="26"/>
      <c r="AJ26" s="27"/>
      <c r="AK26" s="32">
        <f>52240</f>
        <v>52240</v>
      </c>
      <c r="AL26" s="26"/>
      <c r="AM26" s="27"/>
      <c r="AN26" s="32">
        <f>8640</f>
        <v>8640</v>
      </c>
      <c r="AO26" s="26"/>
      <c r="AP26" s="27"/>
      <c r="AQ26" s="28">
        <f>0+G26+AN26+AK26</f>
        <v>60880</v>
      </c>
      <c r="AR26" s="29">
        <f>AQ26/AQ27</f>
        <v>6.0415109358393719E-2</v>
      </c>
      <c r="AS26" s="38"/>
      <c r="AT26" s="31">
        <f>1034.73+AQ26</f>
        <v>61914.73</v>
      </c>
    </row>
    <row r="27" spans="1:46" x14ac:dyDescent="0.25">
      <c r="A27" s="39" t="s">
        <v>34</v>
      </c>
      <c r="B27" s="148">
        <f>SUM(B23:C26)</f>
        <v>6030</v>
      </c>
      <c r="C27" s="149"/>
      <c r="D27" s="40">
        <f>SUM(D23:D26)</f>
        <v>4186449.06</v>
      </c>
      <c r="E27" s="148">
        <f>B27+E24+F24</f>
        <v>6029</v>
      </c>
      <c r="F27" s="149"/>
      <c r="G27" s="40">
        <f>SUM(G23:G26)</f>
        <v>123998.79000000001</v>
      </c>
      <c r="H27" s="147">
        <f>E27+H24+I24</f>
        <v>6041</v>
      </c>
      <c r="I27" s="147"/>
      <c r="J27" s="40">
        <f>SUM(J24:J26)</f>
        <v>120973.81</v>
      </c>
      <c r="K27" s="147">
        <f>H27+K24+L24</f>
        <v>6051</v>
      </c>
      <c r="L27" s="147"/>
      <c r="M27" s="40">
        <f>SUM(M24:M26)</f>
        <v>8352.4700000000012</v>
      </c>
      <c r="N27" s="75">
        <f>K27+N24+O24</f>
        <v>6044</v>
      </c>
      <c r="O27" s="76"/>
      <c r="P27" s="40">
        <f>SUM(P24:P26)</f>
        <v>121473.8</v>
      </c>
      <c r="Q27" s="75">
        <f>N27+Q24+R24</f>
        <v>6041</v>
      </c>
      <c r="R27" s="76"/>
      <c r="S27" s="40">
        <f>SUM(S24:S26)</f>
        <v>7434.97</v>
      </c>
      <c r="T27" s="75">
        <f>Q27+T24+U24</f>
        <v>6152</v>
      </c>
      <c r="U27" s="76"/>
      <c r="V27" s="40">
        <f>SUM(V24:V26)</f>
        <v>121010.32</v>
      </c>
      <c r="W27" s="75">
        <f>T27+W24+X24</f>
        <v>6477</v>
      </c>
      <c r="X27" s="76"/>
      <c r="Y27" s="40">
        <f>SUM(Y24:Y26)</f>
        <v>6495.63</v>
      </c>
      <c r="Z27" s="75">
        <f>W27+Z24+AA24</f>
        <v>7169</v>
      </c>
      <c r="AA27" s="76"/>
      <c r="AB27" s="40">
        <f>SUM(AB23:AB26)</f>
        <v>129377.97</v>
      </c>
      <c r="AC27" s="147">
        <f>Z27+AC24+AD24</f>
        <v>7330</v>
      </c>
      <c r="AD27" s="147"/>
      <c r="AE27" s="40">
        <f>SUM(AE24:AE26)</f>
        <v>7632.96</v>
      </c>
      <c r="AF27" s="148">
        <f>AC27+AF24+AG24</f>
        <v>7377</v>
      </c>
      <c r="AG27" s="149"/>
      <c r="AH27" s="41">
        <f>SUM(AH24:AH26)</f>
        <v>145489.13</v>
      </c>
      <c r="AI27" s="75">
        <f>AF27+AI24+AJ24</f>
        <v>7464</v>
      </c>
      <c r="AJ27" s="76"/>
      <c r="AK27" s="41">
        <f>SUM(AK24:AK26)</f>
        <v>60139.62</v>
      </c>
      <c r="AL27" s="75">
        <f>AI27+AL24+AM24</f>
        <v>7494</v>
      </c>
      <c r="AM27" s="76"/>
      <c r="AN27" s="41">
        <f>SUM(AN24:AN26)</f>
        <v>155315.47</v>
      </c>
      <c r="AO27" s="148">
        <f>B27+AO24+AP24</f>
        <v>7494</v>
      </c>
      <c r="AP27" s="149"/>
      <c r="AQ27" s="40">
        <f>SUM(AQ23:AQ26)</f>
        <v>1007694.9400000001</v>
      </c>
      <c r="AR27" s="42">
        <f>AQ27/AQ27</f>
        <v>1</v>
      </c>
      <c r="AS27" s="43">
        <f>SUM(AS23:AS26)</f>
        <v>7494</v>
      </c>
      <c r="AT27" s="44">
        <f>SUM(AT23:AT26)</f>
        <v>5194144</v>
      </c>
    </row>
    <row r="28" spans="1:46" x14ac:dyDescent="0.25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</row>
    <row r="29" spans="1:46" x14ac:dyDescent="0.25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</row>
    <row r="30" spans="1:46" ht="15.75" x14ac:dyDescent="0.25">
      <c r="A30" s="141" t="s">
        <v>35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</row>
    <row r="31" spans="1:46" x14ac:dyDescent="0.2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</row>
    <row r="32" spans="1:46" x14ac:dyDescent="0.25">
      <c r="A32" s="45" t="s">
        <v>21</v>
      </c>
      <c r="B32" s="143" t="s">
        <v>2</v>
      </c>
      <c r="C32" s="143"/>
      <c r="D32" s="143"/>
      <c r="E32" s="144" t="s">
        <v>3</v>
      </c>
      <c r="F32" s="145"/>
      <c r="G32" s="145"/>
      <c r="H32" s="144" t="s">
        <v>4</v>
      </c>
      <c r="I32" s="145"/>
      <c r="J32" s="146"/>
      <c r="K32" s="144" t="s">
        <v>5</v>
      </c>
      <c r="L32" s="145"/>
      <c r="M32" s="146"/>
      <c r="N32" s="144" t="s">
        <v>6</v>
      </c>
      <c r="O32" s="145"/>
      <c r="P32" s="146"/>
      <c r="Q32" s="136" t="s">
        <v>7</v>
      </c>
      <c r="R32" s="137"/>
      <c r="S32" s="138"/>
      <c r="T32" s="136" t="s">
        <v>8</v>
      </c>
      <c r="U32" s="137"/>
      <c r="V32" s="138"/>
      <c r="W32" s="136" t="s">
        <v>9</v>
      </c>
      <c r="X32" s="137"/>
      <c r="Y32" s="138"/>
      <c r="Z32" s="136" t="s">
        <v>10</v>
      </c>
      <c r="AA32" s="137"/>
      <c r="AB32" s="138"/>
      <c r="AC32" s="136" t="s">
        <v>11</v>
      </c>
      <c r="AD32" s="137"/>
      <c r="AE32" s="138"/>
      <c r="AF32" s="136" t="s">
        <v>12</v>
      </c>
      <c r="AG32" s="137"/>
      <c r="AH32" s="138"/>
      <c r="AI32" s="136" t="s">
        <v>24</v>
      </c>
      <c r="AJ32" s="137"/>
      <c r="AK32" s="138"/>
      <c r="AL32" s="136" t="s">
        <v>25</v>
      </c>
      <c r="AM32" s="137"/>
      <c r="AN32" s="138"/>
      <c r="AO32" s="136" t="s">
        <v>13</v>
      </c>
      <c r="AP32" s="137"/>
      <c r="AQ32" s="138"/>
      <c r="AR32" s="46" t="s">
        <v>26</v>
      </c>
      <c r="AS32" s="139" t="s">
        <v>14</v>
      </c>
      <c r="AT32" s="139"/>
    </row>
    <row r="33" spans="1:46" x14ac:dyDescent="0.25">
      <c r="A33" s="47" t="s">
        <v>36</v>
      </c>
      <c r="B33" s="134">
        <f>SUM(B34:D41)</f>
        <v>291683.03000000003</v>
      </c>
      <c r="C33" s="134"/>
      <c r="D33" s="134"/>
      <c r="E33" s="126">
        <f>SUM(E34:G41)</f>
        <v>16540.830000000002</v>
      </c>
      <c r="F33" s="127"/>
      <c r="G33" s="128"/>
      <c r="H33" s="126">
        <f>SUM(H34:J41)</f>
        <v>9994.66</v>
      </c>
      <c r="I33" s="127"/>
      <c r="J33" s="128"/>
      <c r="K33" s="126">
        <f>SUM(K34:M41)</f>
        <v>22394.66</v>
      </c>
      <c r="L33" s="127"/>
      <c r="M33" s="128"/>
      <c r="N33" s="126">
        <f>SUM(N34:P41)</f>
        <v>20217.91</v>
      </c>
      <c r="O33" s="127"/>
      <c r="P33" s="128"/>
      <c r="Q33" s="126">
        <f>SUM(Q34:S41)</f>
        <v>11771.41</v>
      </c>
      <c r="R33" s="127"/>
      <c r="S33" s="128"/>
      <c r="T33" s="126">
        <f>SUM(T34:V41)</f>
        <v>15994.66</v>
      </c>
      <c r="U33" s="127"/>
      <c r="V33" s="128"/>
      <c r="W33" s="126">
        <f>SUM(W34:Y41)</f>
        <v>16187.58</v>
      </c>
      <c r="X33" s="127"/>
      <c r="Y33" s="128"/>
      <c r="Z33" s="126">
        <f>SUM(Z34:AB41)</f>
        <v>15994.66</v>
      </c>
      <c r="AA33" s="127"/>
      <c r="AB33" s="128"/>
      <c r="AC33" s="126">
        <f>SUM(AC34:AE41)</f>
        <v>16457.16</v>
      </c>
      <c r="AD33" s="127"/>
      <c r="AE33" s="128"/>
      <c r="AF33" s="126">
        <f>SUM(AF34:AH41)</f>
        <v>16457.16</v>
      </c>
      <c r="AG33" s="127"/>
      <c r="AH33" s="128"/>
      <c r="AI33" s="126">
        <f>SUM(AI34:AK41)</f>
        <v>16168.3</v>
      </c>
      <c r="AJ33" s="127"/>
      <c r="AK33" s="128"/>
      <c r="AL33" s="126">
        <f>SUM(AL34:AN41)</f>
        <v>10457.16</v>
      </c>
      <c r="AM33" s="127"/>
      <c r="AN33" s="128"/>
      <c r="AO33" s="129">
        <f>SUM(AO34:AQ41)</f>
        <v>188636.15000000002</v>
      </c>
      <c r="AP33" s="130"/>
      <c r="AQ33" s="131"/>
      <c r="AR33" s="48">
        <f>AO33/AO103</f>
        <v>0.22815132527735335</v>
      </c>
      <c r="AS33" s="132">
        <f>SUM(AS34:AT41)</f>
        <v>480319.18</v>
      </c>
      <c r="AT33" s="132"/>
    </row>
    <row r="34" spans="1:46" x14ac:dyDescent="0.25">
      <c r="A34" s="49" t="s">
        <v>37</v>
      </c>
      <c r="B34" s="133">
        <f>72200.64</f>
        <v>72200.639999999999</v>
      </c>
      <c r="C34" s="133"/>
      <c r="D34" s="133"/>
      <c r="E34" s="119">
        <v>0</v>
      </c>
      <c r="F34" s="120"/>
      <c r="G34" s="121"/>
      <c r="H34" s="119">
        <v>0</v>
      </c>
      <c r="I34" s="120"/>
      <c r="J34" s="121"/>
      <c r="K34" s="119">
        <v>0</v>
      </c>
      <c r="L34" s="120"/>
      <c r="M34" s="121"/>
      <c r="N34" s="119">
        <v>0</v>
      </c>
      <c r="O34" s="120"/>
      <c r="P34" s="121"/>
      <c r="Q34" s="119">
        <v>0</v>
      </c>
      <c r="R34" s="120"/>
      <c r="S34" s="121"/>
      <c r="T34" s="119">
        <v>0</v>
      </c>
      <c r="U34" s="120"/>
      <c r="V34" s="121"/>
      <c r="W34" s="119">
        <v>0</v>
      </c>
      <c r="X34" s="120"/>
      <c r="Y34" s="121"/>
      <c r="Z34" s="119">
        <v>0</v>
      </c>
      <c r="AA34" s="120"/>
      <c r="AB34" s="121"/>
      <c r="AC34" s="119">
        <v>0</v>
      </c>
      <c r="AD34" s="120"/>
      <c r="AE34" s="121"/>
      <c r="AF34" s="119">
        <v>0</v>
      </c>
      <c r="AG34" s="120"/>
      <c r="AH34" s="121"/>
      <c r="AI34" s="122">
        <v>0</v>
      </c>
      <c r="AJ34" s="122"/>
      <c r="AK34" s="122"/>
      <c r="AL34" s="119">
        <v>0</v>
      </c>
      <c r="AM34" s="120"/>
      <c r="AN34" s="121"/>
      <c r="AO34" s="123">
        <f>0+E34+H34+K34+N34+Q34+T34+W34+Z34+AC34+AF34+AI34+AL34</f>
        <v>0</v>
      </c>
      <c r="AP34" s="124"/>
      <c r="AQ34" s="125"/>
      <c r="AR34" s="50">
        <f>AO34/AO103</f>
        <v>0</v>
      </c>
      <c r="AS34" s="90">
        <f>72200.64+AO34</f>
        <v>72200.639999999999</v>
      </c>
      <c r="AT34" s="90"/>
    </row>
    <row r="35" spans="1:46" x14ac:dyDescent="0.25">
      <c r="A35" s="51" t="s">
        <v>38</v>
      </c>
      <c r="B35" s="133">
        <v>36000</v>
      </c>
      <c r="C35" s="133"/>
      <c r="D35" s="133"/>
      <c r="E35" s="87">
        <f>6000</f>
        <v>6000</v>
      </c>
      <c r="F35" s="88"/>
      <c r="G35" s="89"/>
      <c r="H35" s="119">
        <v>0</v>
      </c>
      <c r="I35" s="120"/>
      <c r="J35" s="121"/>
      <c r="K35" s="119">
        <f>6000+6000</f>
        <v>12000</v>
      </c>
      <c r="L35" s="120"/>
      <c r="M35" s="121"/>
      <c r="N35" s="119">
        <f>6000</f>
        <v>6000</v>
      </c>
      <c r="O35" s="120"/>
      <c r="P35" s="121"/>
      <c r="Q35" s="119">
        <f>6000</f>
        <v>6000</v>
      </c>
      <c r="R35" s="120"/>
      <c r="S35" s="121"/>
      <c r="T35" s="119">
        <f>6000</f>
        <v>6000</v>
      </c>
      <c r="U35" s="120"/>
      <c r="V35" s="121"/>
      <c r="W35" s="119">
        <f>6000</f>
        <v>6000</v>
      </c>
      <c r="X35" s="120"/>
      <c r="Y35" s="121"/>
      <c r="Z35" s="119">
        <f>6000</f>
        <v>6000</v>
      </c>
      <c r="AA35" s="120"/>
      <c r="AB35" s="121"/>
      <c r="AC35" s="119">
        <f>6000</f>
        <v>6000</v>
      </c>
      <c r="AD35" s="120"/>
      <c r="AE35" s="121"/>
      <c r="AF35" s="119">
        <f>6000</f>
        <v>6000</v>
      </c>
      <c r="AG35" s="120"/>
      <c r="AH35" s="121"/>
      <c r="AI35" s="122">
        <f>6000</f>
        <v>6000</v>
      </c>
      <c r="AJ35" s="122"/>
      <c r="AK35" s="122"/>
      <c r="AL35" s="119">
        <v>0</v>
      </c>
      <c r="AM35" s="120"/>
      <c r="AN35" s="121"/>
      <c r="AO35" s="123">
        <f t="shared" ref="AO35:AO41" si="0">0+E35+H35+K35+N35+Q35+T35+W35+Z35+AC35+AF35+AI35+AL35</f>
        <v>66000</v>
      </c>
      <c r="AP35" s="124"/>
      <c r="AQ35" s="125"/>
      <c r="AR35" s="50">
        <f>AO35/AO103</f>
        <v>7.9825566140452497E-2</v>
      </c>
      <c r="AS35" s="90">
        <f>36000+AO35</f>
        <v>102000</v>
      </c>
      <c r="AT35" s="90"/>
    </row>
    <row r="36" spans="1:46" x14ac:dyDescent="0.25">
      <c r="A36" s="49" t="s">
        <v>39</v>
      </c>
      <c r="B36" s="133">
        <v>41057.96</v>
      </c>
      <c r="C36" s="133"/>
      <c r="D36" s="133"/>
      <c r="E36" s="119">
        <f>1260</f>
        <v>1260</v>
      </c>
      <c r="F36" s="120"/>
      <c r="G36" s="121"/>
      <c r="H36" s="119">
        <f>925</f>
        <v>925</v>
      </c>
      <c r="I36" s="120"/>
      <c r="J36" s="121"/>
      <c r="K36" s="119">
        <f>1325</f>
        <v>1325</v>
      </c>
      <c r="L36" s="120"/>
      <c r="M36" s="121"/>
      <c r="N36" s="119">
        <f>925</f>
        <v>925</v>
      </c>
      <c r="O36" s="120"/>
      <c r="P36" s="121"/>
      <c r="Q36" s="119">
        <f>925</f>
        <v>925</v>
      </c>
      <c r="R36" s="120"/>
      <c r="S36" s="121"/>
      <c r="T36" s="119">
        <f>925</f>
        <v>925</v>
      </c>
      <c r="U36" s="120"/>
      <c r="V36" s="121"/>
      <c r="W36" s="119">
        <f>1117.92</f>
        <v>1117.92</v>
      </c>
      <c r="X36" s="120"/>
      <c r="Y36" s="121"/>
      <c r="Z36" s="119">
        <f>925</f>
        <v>925</v>
      </c>
      <c r="AA36" s="120"/>
      <c r="AB36" s="121"/>
      <c r="AC36" s="119">
        <f>1387.5</f>
        <v>1387.5</v>
      </c>
      <c r="AD36" s="120"/>
      <c r="AE36" s="121"/>
      <c r="AF36" s="119">
        <f>1387.5</f>
        <v>1387.5</v>
      </c>
      <c r="AG36" s="120"/>
      <c r="AH36" s="121"/>
      <c r="AI36" s="122">
        <f>1098.64</f>
        <v>1098.6400000000001</v>
      </c>
      <c r="AJ36" s="122"/>
      <c r="AK36" s="122"/>
      <c r="AL36" s="119">
        <f>1387.5</f>
        <v>1387.5</v>
      </c>
      <c r="AM36" s="120"/>
      <c r="AN36" s="121"/>
      <c r="AO36" s="123">
        <f t="shared" si="0"/>
        <v>13589.06</v>
      </c>
      <c r="AP36" s="124"/>
      <c r="AQ36" s="125"/>
      <c r="AR36" s="50">
        <f>AO36/AO103</f>
        <v>1.6435672845705719E-2</v>
      </c>
      <c r="AS36" s="90">
        <f>41057.96+AO36</f>
        <v>54647.02</v>
      </c>
      <c r="AT36" s="90"/>
    </row>
    <row r="37" spans="1:46" x14ac:dyDescent="0.25">
      <c r="A37" s="49" t="s">
        <v>40</v>
      </c>
      <c r="B37" s="133">
        <v>97597.28</v>
      </c>
      <c r="C37" s="133"/>
      <c r="D37" s="133"/>
      <c r="E37" s="119">
        <v>4846.41</v>
      </c>
      <c r="F37" s="120"/>
      <c r="G37" s="121"/>
      <c r="H37" s="119">
        <f>4846.41</f>
        <v>4846.41</v>
      </c>
      <c r="I37" s="120"/>
      <c r="J37" s="121"/>
      <c r="K37" s="119">
        <f>4846.41</f>
        <v>4846.41</v>
      </c>
      <c r="L37" s="120"/>
      <c r="M37" s="121"/>
      <c r="N37" s="119">
        <f>4846.41</f>
        <v>4846.41</v>
      </c>
      <c r="O37" s="120"/>
      <c r="P37" s="121"/>
      <c r="Q37" s="119">
        <f>4846.41</f>
        <v>4846.41</v>
      </c>
      <c r="R37" s="120"/>
      <c r="S37" s="121"/>
      <c r="T37" s="119">
        <f>4846.41</f>
        <v>4846.41</v>
      </c>
      <c r="U37" s="120"/>
      <c r="V37" s="121"/>
      <c r="W37" s="119">
        <f>4846.41</f>
        <v>4846.41</v>
      </c>
      <c r="X37" s="120"/>
      <c r="Y37" s="121"/>
      <c r="Z37" s="119">
        <f>4846.41</f>
        <v>4846.41</v>
      </c>
      <c r="AA37" s="120"/>
      <c r="AB37" s="121"/>
      <c r="AC37" s="119">
        <f>4846.41</f>
        <v>4846.41</v>
      </c>
      <c r="AD37" s="120"/>
      <c r="AE37" s="121"/>
      <c r="AF37" s="119">
        <f>4846.41</f>
        <v>4846.41</v>
      </c>
      <c r="AG37" s="120"/>
      <c r="AH37" s="121"/>
      <c r="AI37" s="122">
        <f>4846.41</f>
        <v>4846.41</v>
      </c>
      <c r="AJ37" s="122"/>
      <c r="AK37" s="122"/>
      <c r="AL37" s="119">
        <f>4846.41</f>
        <v>4846.41</v>
      </c>
      <c r="AM37" s="120"/>
      <c r="AN37" s="121"/>
      <c r="AO37" s="123">
        <f t="shared" si="0"/>
        <v>58156.920000000013</v>
      </c>
      <c r="AP37" s="124"/>
      <c r="AQ37" s="125"/>
      <c r="AR37" s="50">
        <f>AO37/AO103</f>
        <v>7.0339531272500089E-2</v>
      </c>
      <c r="AS37" s="90">
        <f>97597.28+AO37</f>
        <v>155754.20000000001</v>
      </c>
      <c r="AT37" s="90"/>
    </row>
    <row r="38" spans="1:46" x14ac:dyDescent="0.25">
      <c r="A38" s="49" t="s">
        <v>41</v>
      </c>
      <c r="B38" s="133">
        <v>26669.75</v>
      </c>
      <c r="C38" s="133"/>
      <c r="D38" s="133"/>
      <c r="E38" s="119">
        <v>4434.42</v>
      </c>
      <c r="F38" s="120"/>
      <c r="G38" s="121"/>
      <c r="H38" s="119">
        <f>4223.25</f>
        <v>4223.25</v>
      </c>
      <c r="I38" s="120"/>
      <c r="J38" s="121"/>
      <c r="K38" s="119">
        <f>4223.25</f>
        <v>4223.25</v>
      </c>
      <c r="L38" s="120"/>
      <c r="M38" s="121"/>
      <c r="N38" s="119">
        <f>4223.25+4223.25</f>
        <v>8446.5</v>
      </c>
      <c r="O38" s="120"/>
      <c r="P38" s="121"/>
      <c r="Q38" s="119">
        <v>0</v>
      </c>
      <c r="R38" s="120"/>
      <c r="S38" s="121"/>
      <c r="T38" s="119">
        <f>4223.25</f>
        <v>4223.25</v>
      </c>
      <c r="U38" s="120"/>
      <c r="V38" s="121"/>
      <c r="W38" s="119">
        <f>4223.25</f>
        <v>4223.25</v>
      </c>
      <c r="X38" s="120"/>
      <c r="Y38" s="121"/>
      <c r="Z38" s="119">
        <f>4223.25</f>
        <v>4223.25</v>
      </c>
      <c r="AA38" s="120"/>
      <c r="AB38" s="121"/>
      <c r="AC38" s="119">
        <f>4223.25</f>
        <v>4223.25</v>
      </c>
      <c r="AD38" s="120"/>
      <c r="AE38" s="121"/>
      <c r="AF38" s="119">
        <f>4223.25</f>
        <v>4223.25</v>
      </c>
      <c r="AG38" s="120"/>
      <c r="AH38" s="121"/>
      <c r="AI38" s="122">
        <f>4223.25</f>
        <v>4223.25</v>
      </c>
      <c r="AJ38" s="122"/>
      <c r="AK38" s="122"/>
      <c r="AL38" s="119">
        <f>4223.25</f>
        <v>4223.25</v>
      </c>
      <c r="AM38" s="120"/>
      <c r="AN38" s="121"/>
      <c r="AO38" s="123">
        <f t="shared" si="0"/>
        <v>50890.17</v>
      </c>
      <c r="AP38" s="124"/>
      <c r="AQ38" s="125"/>
      <c r="AR38" s="50">
        <f>AO38/AO103</f>
        <v>6.1550555018695025E-2</v>
      </c>
      <c r="AS38" s="90">
        <f>26669.75+AO38</f>
        <v>77559.92</v>
      </c>
      <c r="AT38" s="90"/>
    </row>
    <row r="39" spans="1:46" x14ac:dyDescent="0.25">
      <c r="A39" s="49" t="s">
        <v>42</v>
      </c>
      <c r="B39" s="133">
        <f>8289</f>
        <v>8289</v>
      </c>
      <c r="C39" s="133"/>
      <c r="D39" s="133"/>
      <c r="E39" s="119">
        <v>0</v>
      </c>
      <c r="F39" s="120"/>
      <c r="G39" s="121"/>
      <c r="H39" s="119">
        <v>0</v>
      </c>
      <c r="I39" s="120"/>
      <c r="J39" s="121"/>
      <c r="K39" s="119">
        <v>0</v>
      </c>
      <c r="L39" s="120"/>
      <c r="M39" s="121"/>
      <c r="N39" s="119">
        <v>0</v>
      </c>
      <c r="O39" s="120"/>
      <c r="P39" s="121"/>
      <c r="Q39" s="119">
        <v>0</v>
      </c>
      <c r="R39" s="120"/>
      <c r="S39" s="121"/>
      <c r="T39" s="119">
        <v>0</v>
      </c>
      <c r="U39" s="120"/>
      <c r="V39" s="121"/>
      <c r="W39" s="119">
        <v>0</v>
      </c>
      <c r="X39" s="120"/>
      <c r="Y39" s="121"/>
      <c r="Z39" s="119">
        <v>0</v>
      </c>
      <c r="AA39" s="120"/>
      <c r="AB39" s="121"/>
      <c r="AC39" s="119">
        <v>0</v>
      </c>
      <c r="AD39" s="120"/>
      <c r="AE39" s="121"/>
      <c r="AF39" s="119">
        <v>0</v>
      </c>
      <c r="AG39" s="120"/>
      <c r="AH39" s="121"/>
      <c r="AI39" s="122">
        <v>0</v>
      </c>
      <c r="AJ39" s="122"/>
      <c r="AK39" s="122"/>
      <c r="AL39" s="119">
        <v>0</v>
      </c>
      <c r="AM39" s="120"/>
      <c r="AN39" s="121"/>
      <c r="AO39" s="123">
        <f t="shared" si="0"/>
        <v>0</v>
      </c>
      <c r="AP39" s="124"/>
      <c r="AQ39" s="125"/>
      <c r="AR39" s="50">
        <f>AO39/AO103</f>
        <v>0</v>
      </c>
      <c r="AS39" s="90">
        <f>8289+AO39</f>
        <v>8289</v>
      </c>
      <c r="AT39" s="90"/>
    </row>
    <row r="40" spans="1:46" x14ac:dyDescent="0.25">
      <c r="A40" s="49" t="s">
        <v>43</v>
      </c>
      <c r="B40" s="133">
        <f>7863.4</f>
        <v>7863.4</v>
      </c>
      <c r="C40" s="133"/>
      <c r="D40" s="133"/>
      <c r="E40" s="119">
        <v>0</v>
      </c>
      <c r="F40" s="120"/>
      <c r="G40" s="121"/>
      <c r="H40" s="119">
        <v>0</v>
      </c>
      <c r="I40" s="120"/>
      <c r="J40" s="121"/>
      <c r="K40" s="119">
        <v>0</v>
      </c>
      <c r="L40" s="120"/>
      <c r="M40" s="121"/>
      <c r="N40" s="119">
        <v>0</v>
      </c>
      <c r="O40" s="120"/>
      <c r="P40" s="121"/>
      <c r="Q40" s="119">
        <v>0</v>
      </c>
      <c r="R40" s="120"/>
      <c r="S40" s="121"/>
      <c r="T40" s="119">
        <v>0</v>
      </c>
      <c r="U40" s="120"/>
      <c r="V40" s="121"/>
      <c r="W40" s="119">
        <v>0</v>
      </c>
      <c r="X40" s="120"/>
      <c r="Y40" s="121"/>
      <c r="Z40" s="119">
        <v>0</v>
      </c>
      <c r="AA40" s="120"/>
      <c r="AB40" s="121"/>
      <c r="AC40" s="119">
        <v>0</v>
      </c>
      <c r="AD40" s="120"/>
      <c r="AE40" s="121"/>
      <c r="AF40" s="119">
        <v>0</v>
      </c>
      <c r="AG40" s="120"/>
      <c r="AH40" s="121"/>
      <c r="AI40" s="122">
        <v>0</v>
      </c>
      <c r="AJ40" s="122"/>
      <c r="AK40" s="122"/>
      <c r="AL40" s="119">
        <v>0</v>
      </c>
      <c r="AM40" s="120"/>
      <c r="AN40" s="121"/>
      <c r="AO40" s="123">
        <f t="shared" si="0"/>
        <v>0</v>
      </c>
      <c r="AP40" s="124"/>
      <c r="AQ40" s="125"/>
      <c r="AR40" s="50">
        <f>AO40/AO103</f>
        <v>0</v>
      </c>
      <c r="AS40" s="90">
        <f>7863.4+AO40</f>
        <v>7863.4</v>
      </c>
      <c r="AT40" s="90"/>
    </row>
    <row r="41" spans="1:46" x14ac:dyDescent="0.25">
      <c r="A41" s="49" t="s">
        <v>44</v>
      </c>
      <c r="B41" s="133">
        <f>2005</f>
        <v>2005</v>
      </c>
      <c r="C41" s="133"/>
      <c r="D41" s="133"/>
      <c r="E41" s="119">
        <v>0</v>
      </c>
      <c r="F41" s="120"/>
      <c r="G41" s="121"/>
      <c r="H41" s="119">
        <v>0</v>
      </c>
      <c r="I41" s="120"/>
      <c r="J41" s="121"/>
      <c r="K41" s="119">
        <v>0</v>
      </c>
      <c r="L41" s="120"/>
      <c r="M41" s="121"/>
      <c r="N41" s="119">
        <v>0</v>
      </c>
      <c r="O41" s="120"/>
      <c r="P41" s="121"/>
      <c r="Q41" s="119">
        <v>0</v>
      </c>
      <c r="R41" s="120"/>
      <c r="S41" s="121"/>
      <c r="T41" s="119">
        <v>0</v>
      </c>
      <c r="U41" s="120"/>
      <c r="V41" s="121"/>
      <c r="W41" s="119">
        <v>0</v>
      </c>
      <c r="X41" s="120"/>
      <c r="Y41" s="121"/>
      <c r="Z41" s="119">
        <v>0</v>
      </c>
      <c r="AA41" s="120"/>
      <c r="AB41" s="121"/>
      <c r="AC41" s="119">
        <v>0</v>
      </c>
      <c r="AD41" s="120"/>
      <c r="AE41" s="121"/>
      <c r="AF41" s="119">
        <v>0</v>
      </c>
      <c r="AG41" s="120"/>
      <c r="AH41" s="121"/>
      <c r="AI41" s="122">
        <v>0</v>
      </c>
      <c r="AJ41" s="122"/>
      <c r="AK41" s="122"/>
      <c r="AL41" s="119">
        <v>0</v>
      </c>
      <c r="AM41" s="120"/>
      <c r="AN41" s="121"/>
      <c r="AO41" s="123">
        <f t="shared" si="0"/>
        <v>0</v>
      </c>
      <c r="AP41" s="124"/>
      <c r="AQ41" s="125"/>
      <c r="AR41" s="50">
        <f>AO41/AO103</f>
        <v>0</v>
      </c>
      <c r="AS41" s="90">
        <f>2005+AO41</f>
        <v>2005</v>
      </c>
      <c r="AT41" s="90"/>
    </row>
    <row r="42" spans="1:46" x14ac:dyDescent="0.25">
      <c r="A42" s="47" t="s">
        <v>45</v>
      </c>
      <c r="B42" s="134">
        <f>SUM(B43:D45)</f>
        <v>380413.85</v>
      </c>
      <c r="C42" s="134"/>
      <c r="D42" s="134"/>
      <c r="E42" s="134">
        <f>SUM(E43:G45)</f>
        <v>0</v>
      </c>
      <c r="F42" s="134"/>
      <c r="G42" s="134"/>
      <c r="H42" s="134">
        <f>SUM(H43:J45)</f>
        <v>0</v>
      </c>
      <c r="I42" s="134"/>
      <c r="J42" s="134"/>
      <c r="K42" s="134">
        <f>SUM(K43:M45)</f>
        <v>0</v>
      </c>
      <c r="L42" s="134"/>
      <c r="M42" s="134"/>
      <c r="N42" s="134">
        <f>SUM(N43:P45)</f>
        <v>25000</v>
      </c>
      <c r="O42" s="134"/>
      <c r="P42" s="134"/>
      <c r="Q42" s="134">
        <f>SUM(Q43:S45)</f>
        <v>25000</v>
      </c>
      <c r="R42" s="134"/>
      <c r="S42" s="134"/>
      <c r="T42" s="134">
        <f>SUM(T43:V45)</f>
        <v>40000</v>
      </c>
      <c r="U42" s="134"/>
      <c r="V42" s="134"/>
      <c r="W42" s="134">
        <f>SUM(W43:Y45)</f>
        <v>0</v>
      </c>
      <c r="X42" s="134"/>
      <c r="Y42" s="134"/>
      <c r="Z42" s="134">
        <f>SUM(Z43:AB45)</f>
        <v>0</v>
      </c>
      <c r="AA42" s="134"/>
      <c r="AB42" s="134"/>
      <c r="AC42" s="134">
        <f>SUM(AC43:AE45)</f>
        <v>0</v>
      </c>
      <c r="AD42" s="134"/>
      <c r="AE42" s="134"/>
      <c r="AF42" s="134">
        <f>SUM(AF43:AH45)</f>
        <v>70000</v>
      </c>
      <c r="AG42" s="134"/>
      <c r="AH42" s="134"/>
      <c r="AI42" s="134">
        <f>SUM(AI43:AK45)</f>
        <v>61002.5</v>
      </c>
      <c r="AJ42" s="134"/>
      <c r="AK42" s="134"/>
      <c r="AL42" s="134">
        <f>SUM(AL43:AN45)</f>
        <v>61002.5</v>
      </c>
      <c r="AM42" s="134"/>
      <c r="AN42" s="134"/>
      <c r="AO42" s="129">
        <f>SUM(AO43:AQ45)</f>
        <v>282005</v>
      </c>
      <c r="AP42" s="130"/>
      <c r="AQ42" s="131"/>
      <c r="AR42" s="48">
        <f>AO42/AO103</f>
        <v>0.3410789209005804</v>
      </c>
      <c r="AS42" s="132">
        <f>SUM(AS43:AT45)</f>
        <v>662418.85</v>
      </c>
      <c r="AT42" s="132"/>
    </row>
    <row r="43" spans="1:46" x14ac:dyDescent="0.25">
      <c r="A43" s="49" t="s">
        <v>46</v>
      </c>
      <c r="B43" s="133">
        <f>214077.5</f>
        <v>214077.5</v>
      </c>
      <c r="C43" s="133"/>
      <c r="D43" s="133"/>
      <c r="E43" s="119">
        <v>0</v>
      </c>
      <c r="F43" s="120"/>
      <c r="G43" s="121"/>
      <c r="H43" s="119">
        <v>0</v>
      </c>
      <c r="I43" s="120"/>
      <c r="J43" s="121"/>
      <c r="K43" s="119">
        <v>0</v>
      </c>
      <c r="L43" s="120"/>
      <c r="M43" s="121"/>
      <c r="N43" s="119">
        <f>25000</f>
        <v>25000</v>
      </c>
      <c r="O43" s="120"/>
      <c r="P43" s="121"/>
      <c r="Q43" s="119">
        <f>25000</f>
        <v>25000</v>
      </c>
      <c r="R43" s="120"/>
      <c r="S43" s="121"/>
      <c r="T43" s="119">
        <f>40000</f>
        <v>40000</v>
      </c>
      <c r="U43" s="120"/>
      <c r="V43" s="121"/>
      <c r="W43" s="119">
        <v>0</v>
      </c>
      <c r="X43" s="120"/>
      <c r="Y43" s="121"/>
      <c r="Z43" s="119">
        <v>0</v>
      </c>
      <c r="AA43" s="120"/>
      <c r="AB43" s="121"/>
      <c r="AC43" s="119">
        <v>0</v>
      </c>
      <c r="AD43" s="120"/>
      <c r="AE43" s="121"/>
      <c r="AF43" s="119">
        <f>70000</f>
        <v>70000</v>
      </c>
      <c r="AG43" s="120"/>
      <c r="AH43" s="121"/>
      <c r="AI43" s="122">
        <f>61002.5</f>
        <v>61002.5</v>
      </c>
      <c r="AJ43" s="122"/>
      <c r="AK43" s="122"/>
      <c r="AL43" s="119">
        <f>14077.5+46925</f>
        <v>61002.5</v>
      </c>
      <c r="AM43" s="120"/>
      <c r="AN43" s="121"/>
      <c r="AO43" s="123">
        <f>E43+H43+K43+N43+Q43+T43+W43+Z43+AC43+AF43+AI43+AL43</f>
        <v>282005</v>
      </c>
      <c r="AP43" s="124"/>
      <c r="AQ43" s="125"/>
      <c r="AR43" s="50">
        <f>AO43/AO103</f>
        <v>0.3410789209005804</v>
      </c>
      <c r="AS43" s="90">
        <f>214077.5+AO43</f>
        <v>496082.5</v>
      </c>
      <c r="AT43" s="90"/>
    </row>
    <row r="44" spans="1:46" x14ac:dyDescent="0.25">
      <c r="A44" s="49" t="s">
        <v>47</v>
      </c>
      <c r="B44" s="133">
        <f>151996.63</f>
        <v>151996.63</v>
      </c>
      <c r="C44" s="133"/>
      <c r="D44" s="133"/>
      <c r="E44" s="119">
        <v>0</v>
      </c>
      <c r="F44" s="120"/>
      <c r="G44" s="121"/>
      <c r="H44" s="119">
        <v>0</v>
      </c>
      <c r="I44" s="120"/>
      <c r="J44" s="121"/>
      <c r="K44" s="119">
        <v>0</v>
      </c>
      <c r="L44" s="120"/>
      <c r="M44" s="121"/>
      <c r="N44" s="119">
        <v>0</v>
      </c>
      <c r="O44" s="120"/>
      <c r="P44" s="121"/>
      <c r="Q44" s="119">
        <v>0</v>
      </c>
      <c r="R44" s="120"/>
      <c r="S44" s="121"/>
      <c r="T44" s="119">
        <v>0</v>
      </c>
      <c r="U44" s="120"/>
      <c r="V44" s="121"/>
      <c r="W44" s="119">
        <v>0</v>
      </c>
      <c r="X44" s="120"/>
      <c r="Y44" s="121"/>
      <c r="Z44" s="119">
        <v>0</v>
      </c>
      <c r="AA44" s="120"/>
      <c r="AB44" s="121"/>
      <c r="AC44" s="119">
        <v>0</v>
      </c>
      <c r="AD44" s="120"/>
      <c r="AE44" s="121"/>
      <c r="AF44" s="119">
        <v>0</v>
      </c>
      <c r="AG44" s="120"/>
      <c r="AH44" s="121"/>
      <c r="AI44" s="122">
        <v>0</v>
      </c>
      <c r="AJ44" s="122"/>
      <c r="AK44" s="122"/>
      <c r="AL44" s="119">
        <v>0</v>
      </c>
      <c r="AM44" s="120"/>
      <c r="AN44" s="121"/>
      <c r="AO44" s="123">
        <f t="shared" ref="AO44:AO45" si="1">E44+H44+K44+N44+Q44+T44+W44+Z44+AC44+AF44+AI44+AL44</f>
        <v>0</v>
      </c>
      <c r="AP44" s="124"/>
      <c r="AQ44" s="125"/>
      <c r="AR44" s="50">
        <f>AO44/AO103</f>
        <v>0</v>
      </c>
      <c r="AS44" s="90">
        <f>151996.63+AO44</f>
        <v>151996.63</v>
      </c>
      <c r="AT44" s="90"/>
    </row>
    <row r="45" spans="1:46" x14ac:dyDescent="0.25">
      <c r="A45" s="49" t="s">
        <v>48</v>
      </c>
      <c r="B45" s="123">
        <v>14339.72</v>
      </c>
      <c r="C45" s="124"/>
      <c r="D45" s="125"/>
      <c r="E45" s="87">
        <v>0</v>
      </c>
      <c r="F45" s="88"/>
      <c r="G45" s="89"/>
      <c r="H45" s="119">
        <v>0</v>
      </c>
      <c r="I45" s="120"/>
      <c r="J45" s="121"/>
      <c r="K45" s="119">
        <v>0</v>
      </c>
      <c r="L45" s="120"/>
      <c r="M45" s="121"/>
      <c r="N45" s="119">
        <v>0</v>
      </c>
      <c r="O45" s="120"/>
      <c r="P45" s="121"/>
      <c r="Q45" s="119">
        <v>0</v>
      </c>
      <c r="R45" s="120"/>
      <c r="S45" s="121"/>
      <c r="T45" s="119">
        <v>0</v>
      </c>
      <c r="U45" s="120"/>
      <c r="V45" s="121"/>
      <c r="W45" s="119">
        <v>0</v>
      </c>
      <c r="X45" s="120"/>
      <c r="Y45" s="121"/>
      <c r="Z45" s="119">
        <v>0</v>
      </c>
      <c r="AA45" s="120"/>
      <c r="AB45" s="121"/>
      <c r="AC45" s="119">
        <v>0</v>
      </c>
      <c r="AD45" s="120"/>
      <c r="AE45" s="121"/>
      <c r="AF45" s="119">
        <v>0</v>
      </c>
      <c r="AG45" s="120"/>
      <c r="AH45" s="121"/>
      <c r="AI45" s="122">
        <v>0</v>
      </c>
      <c r="AJ45" s="122"/>
      <c r="AK45" s="122"/>
      <c r="AL45" s="119">
        <v>0</v>
      </c>
      <c r="AM45" s="120"/>
      <c r="AN45" s="121"/>
      <c r="AO45" s="123">
        <f t="shared" si="1"/>
        <v>0</v>
      </c>
      <c r="AP45" s="124"/>
      <c r="AQ45" s="125"/>
      <c r="AR45" s="50">
        <f>AO45/AO104</f>
        <v>0</v>
      </c>
      <c r="AS45" s="90">
        <f>14339.72+AO45</f>
        <v>14339.72</v>
      </c>
      <c r="AT45" s="90"/>
    </row>
    <row r="46" spans="1:46" x14ac:dyDescent="0.25">
      <c r="A46" s="47" t="s">
        <v>49</v>
      </c>
      <c r="B46" s="134">
        <f>SUM(B47:D49)</f>
        <v>77211.740000000005</v>
      </c>
      <c r="C46" s="134"/>
      <c r="D46" s="134"/>
      <c r="E46" s="134">
        <f>SUM(E47:G49)</f>
        <v>0</v>
      </c>
      <c r="F46" s="134"/>
      <c r="G46" s="134"/>
      <c r="H46" s="134">
        <f>SUM(H47:J49)</f>
        <v>0</v>
      </c>
      <c r="I46" s="134"/>
      <c r="J46" s="134"/>
      <c r="K46" s="134">
        <f>SUM(K47:M49)</f>
        <v>0</v>
      </c>
      <c r="L46" s="134"/>
      <c r="M46" s="134"/>
      <c r="N46" s="134">
        <f>SUM(N47:P49)</f>
        <v>0</v>
      </c>
      <c r="O46" s="134"/>
      <c r="P46" s="134"/>
      <c r="Q46" s="134">
        <f>SUM(Q47:S49)</f>
        <v>0</v>
      </c>
      <c r="R46" s="134"/>
      <c r="S46" s="134"/>
      <c r="T46" s="134">
        <f>SUM(T47:V49)</f>
        <v>0</v>
      </c>
      <c r="U46" s="134"/>
      <c r="V46" s="134"/>
      <c r="W46" s="134">
        <f>SUM(W47:Y49)</f>
        <v>0</v>
      </c>
      <c r="X46" s="134"/>
      <c r="Y46" s="134"/>
      <c r="Z46" s="134">
        <f>SUM(Z47:AB49)</f>
        <v>19.350000000000001</v>
      </c>
      <c r="AA46" s="134"/>
      <c r="AB46" s="134"/>
      <c r="AC46" s="134">
        <f>SUM(AC47:AE49)</f>
        <v>585.52</v>
      </c>
      <c r="AD46" s="134"/>
      <c r="AE46" s="134"/>
      <c r="AF46" s="134">
        <f>SUM(AF47:AH49)</f>
        <v>1305.8499999999999</v>
      </c>
      <c r="AG46" s="134"/>
      <c r="AH46" s="134"/>
      <c r="AI46" s="134">
        <f>SUM(AI47:AK49)</f>
        <v>167.46</v>
      </c>
      <c r="AJ46" s="134"/>
      <c r="AK46" s="134"/>
      <c r="AL46" s="134">
        <f>SUM(AL47:AN49)</f>
        <v>0</v>
      </c>
      <c r="AM46" s="134"/>
      <c r="AN46" s="134"/>
      <c r="AO46" s="129">
        <f>SUM(AO47:AQ49)</f>
        <v>2078.1799999999998</v>
      </c>
      <c r="AP46" s="130"/>
      <c r="AQ46" s="131"/>
      <c r="AR46" s="48">
        <f>AO46/AO103</f>
        <v>2.513513561238872E-3</v>
      </c>
      <c r="AS46" s="132">
        <f>SUM(AS47:AT49)</f>
        <v>79289.919999999998</v>
      </c>
      <c r="AT46" s="132"/>
    </row>
    <row r="47" spans="1:46" x14ac:dyDescent="0.25">
      <c r="A47" s="49" t="s">
        <v>50</v>
      </c>
      <c r="B47" s="135">
        <v>3414.91</v>
      </c>
      <c r="C47" s="135"/>
      <c r="D47" s="135"/>
      <c r="E47" s="119">
        <v>0</v>
      </c>
      <c r="F47" s="120"/>
      <c r="G47" s="121"/>
      <c r="H47" s="119">
        <v>0</v>
      </c>
      <c r="I47" s="120"/>
      <c r="J47" s="121"/>
      <c r="K47" s="119">
        <v>0</v>
      </c>
      <c r="L47" s="120"/>
      <c r="M47" s="121"/>
      <c r="N47" s="119">
        <v>0</v>
      </c>
      <c r="O47" s="120"/>
      <c r="P47" s="121"/>
      <c r="Q47" s="119">
        <v>0</v>
      </c>
      <c r="R47" s="120"/>
      <c r="S47" s="121"/>
      <c r="T47" s="119">
        <v>0</v>
      </c>
      <c r="U47" s="120"/>
      <c r="V47" s="121"/>
      <c r="W47" s="119">
        <v>0</v>
      </c>
      <c r="X47" s="120"/>
      <c r="Y47" s="121"/>
      <c r="Z47" s="119">
        <v>0</v>
      </c>
      <c r="AA47" s="120"/>
      <c r="AB47" s="121"/>
      <c r="AC47" s="119">
        <f>585.52</f>
        <v>585.52</v>
      </c>
      <c r="AD47" s="120"/>
      <c r="AE47" s="121"/>
      <c r="AF47" s="119">
        <v>0</v>
      </c>
      <c r="AG47" s="120"/>
      <c r="AH47" s="121"/>
      <c r="AI47" s="122">
        <f>167.46</f>
        <v>167.46</v>
      </c>
      <c r="AJ47" s="122"/>
      <c r="AK47" s="122"/>
      <c r="AL47" s="119">
        <v>0</v>
      </c>
      <c r="AM47" s="120"/>
      <c r="AN47" s="121"/>
      <c r="AO47" s="123">
        <f>0+E47+H47+K47+N47+Q47+T47+W47+Z47+AC4+AC47+AF47+AI47+AL47</f>
        <v>752.98</v>
      </c>
      <c r="AP47" s="124"/>
      <c r="AQ47" s="125"/>
      <c r="AR47" s="50">
        <f>AO47/AO103</f>
        <v>9.1071295140057458E-4</v>
      </c>
      <c r="AS47" s="90">
        <f>3414.91+AO47</f>
        <v>4167.8899999999994</v>
      </c>
      <c r="AT47" s="90"/>
    </row>
    <row r="48" spans="1:46" x14ac:dyDescent="0.25">
      <c r="A48" s="49" t="s">
        <v>51</v>
      </c>
      <c r="B48" s="133">
        <v>11615.83</v>
      </c>
      <c r="C48" s="133"/>
      <c r="D48" s="133"/>
      <c r="E48" s="119">
        <v>0</v>
      </c>
      <c r="F48" s="120"/>
      <c r="G48" s="121"/>
      <c r="H48" s="119">
        <v>0</v>
      </c>
      <c r="I48" s="120"/>
      <c r="J48" s="121"/>
      <c r="K48" s="119">
        <v>0</v>
      </c>
      <c r="L48" s="120"/>
      <c r="M48" s="121"/>
      <c r="N48" s="119">
        <v>0</v>
      </c>
      <c r="O48" s="120"/>
      <c r="P48" s="121"/>
      <c r="Q48" s="119">
        <v>0</v>
      </c>
      <c r="R48" s="120"/>
      <c r="S48" s="121"/>
      <c r="T48" s="119">
        <v>0</v>
      </c>
      <c r="U48" s="120"/>
      <c r="V48" s="121"/>
      <c r="W48" s="119">
        <v>0</v>
      </c>
      <c r="X48" s="120"/>
      <c r="Y48" s="121"/>
      <c r="Z48" s="119">
        <f>19.35</f>
        <v>19.350000000000001</v>
      </c>
      <c r="AA48" s="120"/>
      <c r="AB48" s="121"/>
      <c r="AC48" s="119">
        <v>0</v>
      </c>
      <c r="AD48" s="120"/>
      <c r="AE48" s="121"/>
      <c r="AF48" s="119">
        <f>1305.85</f>
        <v>1305.8499999999999</v>
      </c>
      <c r="AG48" s="120"/>
      <c r="AH48" s="121"/>
      <c r="AI48" s="122">
        <v>0</v>
      </c>
      <c r="AJ48" s="122"/>
      <c r="AK48" s="122"/>
      <c r="AL48" s="119">
        <v>0</v>
      </c>
      <c r="AM48" s="120"/>
      <c r="AN48" s="121"/>
      <c r="AO48" s="123">
        <f t="shared" ref="AO48:AO49" si="2">0+E48+H48+K48+N48+Q48+T48+W48+Z48+AC5+AC48+AF48+AI48+AL48</f>
        <v>1325.1999999999998</v>
      </c>
      <c r="AP48" s="124"/>
      <c r="AQ48" s="125"/>
      <c r="AR48" s="50">
        <f>AO48/AO103</f>
        <v>1.6028006098382976E-3</v>
      </c>
      <c r="AS48" s="90">
        <f>11615.83+AO48</f>
        <v>12941.029999999999</v>
      </c>
      <c r="AT48" s="90"/>
    </row>
    <row r="49" spans="1:46" x14ac:dyDescent="0.25">
      <c r="A49" s="49" t="s">
        <v>52</v>
      </c>
      <c r="B49" s="133">
        <v>62181</v>
      </c>
      <c r="C49" s="133"/>
      <c r="D49" s="133"/>
      <c r="E49" s="119">
        <v>0</v>
      </c>
      <c r="F49" s="120"/>
      <c r="G49" s="121"/>
      <c r="H49" s="119">
        <v>0</v>
      </c>
      <c r="I49" s="120"/>
      <c r="J49" s="121"/>
      <c r="K49" s="119">
        <v>0</v>
      </c>
      <c r="L49" s="120"/>
      <c r="M49" s="121"/>
      <c r="N49" s="119">
        <v>0</v>
      </c>
      <c r="O49" s="120"/>
      <c r="P49" s="121"/>
      <c r="Q49" s="119">
        <v>0</v>
      </c>
      <c r="R49" s="120"/>
      <c r="S49" s="121"/>
      <c r="T49" s="119">
        <v>0</v>
      </c>
      <c r="U49" s="120"/>
      <c r="V49" s="121"/>
      <c r="W49" s="119">
        <v>0</v>
      </c>
      <c r="X49" s="120"/>
      <c r="Y49" s="121"/>
      <c r="Z49" s="119">
        <v>0</v>
      </c>
      <c r="AA49" s="120"/>
      <c r="AB49" s="121"/>
      <c r="AC49" s="119">
        <v>0</v>
      </c>
      <c r="AD49" s="120"/>
      <c r="AE49" s="121"/>
      <c r="AF49" s="119">
        <v>0</v>
      </c>
      <c r="AG49" s="120"/>
      <c r="AH49" s="121"/>
      <c r="AI49" s="122">
        <v>0</v>
      </c>
      <c r="AJ49" s="122"/>
      <c r="AK49" s="122"/>
      <c r="AL49" s="119">
        <v>0</v>
      </c>
      <c r="AM49" s="120"/>
      <c r="AN49" s="121"/>
      <c r="AO49" s="123">
        <f t="shared" si="2"/>
        <v>0</v>
      </c>
      <c r="AP49" s="124"/>
      <c r="AQ49" s="125"/>
      <c r="AR49" s="50">
        <f>AO49/AO103</f>
        <v>0</v>
      </c>
      <c r="AS49" s="90">
        <f>62181+AO49</f>
        <v>62181</v>
      </c>
      <c r="AT49" s="90"/>
    </row>
    <row r="50" spans="1:46" x14ac:dyDescent="0.25">
      <c r="A50" s="47" t="s">
        <v>53</v>
      </c>
      <c r="B50" s="134">
        <f>SUM(B51:D63)</f>
        <v>241215.44999999998</v>
      </c>
      <c r="C50" s="134"/>
      <c r="D50" s="134"/>
      <c r="E50" s="134">
        <f>SUM(E51:G63)</f>
        <v>3895.7200000000003</v>
      </c>
      <c r="F50" s="134"/>
      <c r="G50" s="134"/>
      <c r="H50" s="134">
        <f>SUM(H51:J63)</f>
        <v>3671.7200000000003</v>
      </c>
      <c r="I50" s="134"/>
      <c r="J50" s="134"/>
      <c r="K50" s="134">
        <f>SUM(K51:M63)</f>
        <v>3677.12</v>
      </c>
      <c r="L50" s="134"/>
      <c r="M50" s="134"/>
      <c r="N50" s="134">
        <f>SUM(N51:P63)</f>
        <v>3721.62</v>
      </c>
      <c r="O50" s="134"/>
      <c r="P50" s="134"/>
      <c r="Q50" s="134">
        <f>SUM(Q51:S63)</f>
        <v>4178.0200000000004</v>
      </c>
      <c r="R50" s="134"/>
      <c r="S50" s="134"/>
      <c r="T50" s="134">
        <f>SUM(T51:V63)</f>
        <v>3677.57</v>
      </c>
      <c r="U50" s="134"/>
      <c r="V50" s="134"/>
      <c r="W50" s="134">
        <f>SUM(W51:Y63)</f>
        <v>3766.07</v>
      </c>
      <c r="X50" s="134"/>
      <c r="Y50" s="134"/>
      <c r="Z50" s="134">
        <f>SUM(Z51:AB63)</f>
        <v>3913.67</v>
      </c>
      <c r="AA50" s="134"/>
      <c r="AB50" s="134"/>
      <c r="AC50" s="134">
        <f>SUM(AC51:AE63)</f>
        <v>4223.72</v>
      </c>
      <c r="AD50" s="134"/>
      <c r="AE50" s="134"/>
      <c r="AF50" s="134">
        <f>SUM(AF51:AH63)</f>
        <v>7796.62</v>
      </c>
      <c r="AG50" s="134"/>
      <c r="AH50" s="134"/>
      <c r="AI50" s="134">
        <f>SUM(AI51:AK63)</f>
        <v>4283.3</v>
      </c>
      <c r="AJ50" s="134"/>
      <c r="AK50" s="134"/>
      <c r="AL50" s="134">
        <f>SUM(AL51:AN63)</f>
        <v>4309.3999999999996</v>
      </c>
      <c r="AM50" s="134"/>
      <c r="AN50" s="134"/>
      <c r="AO50" s="129">
        <f>SUM(AO51:AQ63)</f>
        <v>51114.549999999996</v>
      </c>
      <c r="AP50" s="130"/>
      <c r="AQ50" s="131"/>
      <c r="AR50" s="48">
        <f>AO50/AO103</f>
        <v>6.1821937754007059E-2</v>
      </c>
      <c r="AS50" s="132">
        <f>SUM(AS51:AT63)</f>
        <v>292330</v>
      </c>
      <c r="AT50" s="132"/>
    </row>
    <row r="51" spans="1:46" x14ac:dyDescent="0.25">
      <c r="A51" s="52" t="s">
        <v>54</v>
      </c>
      <c r="B51" s="133">
        <v>28211.279999999999</v>
      </c>
      <c r="C51" s="133"/>
      <c r="D51" s="133"/>
      <c r="E51" s="119">
        <v>0</v>
      </c>
      <c r="F51" s="120"/>
      <c r="G51" s="121"/>
      <c r="H51" s="119">
        <v>0</v>
      </c>
      <c r="I51" s="120"/>
      <c r="J51" s="121"/>
      <c r="K51" s="119">
        <v>0</v>
      </c>
      <c r="L51" s="120"/>
      <c r="M51" s="121"/>
      <c r="N51" s="119">
        <v>0</v>
      </c>
      <c r="O51" s="120"/>
      <c r="P51" s="121"/>
      <c r="Q51" s="119">
        <v>0</v>
      </c>
      <c r="R51" s="120"/>
      <c r="S51" s="121"/>
      <c r="T51" s="119">
        <v>0</v>
      </c>
      <c r="U51" s="120"/>
      <c r="V51" s="121"/>
      <c r="W51" s="119">
        <v>0</v>
      </c>
      <c r="X51" s="120"/>
      <c r="Y51" s="121"/>
      <c r="Z51" s="119">
        <v>0</v>
      </c>
      <c r="AA51" s="120"/>
      <c r="AB51" s="121"/>
      <c r="AC51" s="119">
        <v>0</v>
      </c>
      <c r="AD51" s="120"/>
      <c r="AE51" s="121"/>
      <c r="AF51" s="119">
        <v>0</v>
      </c>
      <c r="AG51" s="120"/>
      <c r="AH51" s="121"/>
      <c r="AI51" s="122">
        <v>0</v>
      </c>
      <c r="AJ51" s="122"/>
      <c r="AK51" s="122"/>
      <c r="AL51" s="119">
        <v>0</v>
      </c>
      <c r="AM51" s="120"/>
      <c r="AN51" s="121"/>
      <c r="AO51" s="123">
        <f>0+E51+H51+K51+N51+Q51+T51+W51+Z51+AC51+AF51+AI51+AL51</f>
        <v>0</v>
      </c>
      <c r="AP51" s="124"/>
      <c r="AQ51" s="125"/>
      <c r="AR51" s="50">
        <f>AO51/AO103</f>
        <v>0</v>
      </c>
      <c r="AS51" s="90">
        <f>28211.28+AO51</f>
        <v>28211.279999999999</v>
      </c>
      <c r="AT51" s="90"/>
    </row>
    <row r="52" spans="1:46" x14ac:dyDescent="0.25">
      <c r="A52" s="49" t="s">
        <v>55</v>
      </c>
      <c r="B52" s="133">
        <v>9340</v>
      </c>
      <c r="C52" s="133"/>
      <c r="D52" s="133"/>
      <c r="E52" s="119">
        <v>0</v>
      </c>
      <c r="F52" s="120"/>
      <c r="G52" s="121"/>
      <c r="H52" s="119">
        <v>0</v>
      </c>
      <c r="I52" s="120"/>
      <c r="J52" s="121"/>
      <c r="K52" s="119">
        <v>0</v>
      </c>
      <c r="L52" s="120"/>
      <c r="M52" s="121"/>
      <c r="N52" s="119">
        <v>0</v>
      </c>
      <c r="O52" s="120"/>
      <c r="P52" s="121"/>
      <c r="Q52" s="119">
        <v>0</v>
      </c>
      <c r="R52" s="120"/>
      <c r="S52" s="121"/>
      <c r="T52" s="119">
        <v>0</v>
      </c>
      <c r="U52" s="120"/>
      <c r="V52" s="121"/>
      <c r="W52" s="119">
        <v>0</v>
      </c>
      <c r="X52" s="120"/>
      <c r="Y52" s="121"/>
      <c r="Z52" s="119">
        <v>0</v>
      </c>
      <c r="AA52" s="120"/>
      <c r="AB52" s="121"/>
      <c r="AC52" s="119">
        <v>0</v>
      </c>
      <c r="AD52" s="120"/>
      <c r="AE52" s="121"/>
      <c r="AF52" s="119">
        <v>0</v>
      </c>
      <c r="AG52" s="120"/>
      <c r="AH52" s="121"/>
      <c r="AI52" s="122">
        <v>0</v>
      </c>
      <c r="AJ52" s="122"/>
      <c r="AK52" s="122"/>
      <c r="AL52" s="119">
        <v>0</v>
      </c>
      <c r="AM52" s="120"/>
      <c r="AN52" s="121"/>
      <c r="AO52" s="123">
        <f t="shared" ref="AO52:AO63" si="3">0+E52+H52+K52+N52+Q52+T52+W52+Z52+AC52+AF52+AI52+AL52</f>
        <v>0</v>
      </c>
      <c r="AP52" s="124"/>
      <c r="AQ52" s="125"/>
      <c r="AR52" s="50">
        <f>AO52/AO103</f>
        <v>0</v>
      </c>
      <c r="AS52" s="90">
        <f>9340+AO52</f>
        <v>9340</v>
      </c>
      <c r="AT52" s="90"/>
    </row>
    <row r="53" spans="1:46" x14ac:dyDescent="0.25">
      <c r="A53" s="49" t="s">
        <v>56</v>
      </c>
      <c r="B53" s="133">
        <v>16890</v>
      </c>
      <c r="C53" s="133"/>
      <c r="D53" s="133"/>
      <c r="E53" s="119">
        <f>450</f>
        <v>450</v>
      </c>
      <c r="F53" s="120"/>
      <c r="G53" s="121"/>
      <c r="H53" s="119">
        <f>450</f>
        <v>450</v>
      </c>
      <c r="I53" s="120"/>
      <c r="J53" s="121"/>
      <c r="K53" s="119">
        <f>450</f>
        <v>450</v>
      </c>
      <c r="L53" s="120"/>
      <c r="M53" s="121"/>
      <c r="N53" s="119">
        <f>450</f>
        <v>450</v>
      </c>
      <c r="O53" s="120"/>
      <c r="P53" s="121"/>
      <c r="Q53" s="119">
        <f>450</f>
        <v>450</v>
      </c>
      <c r="R53" s="120"/>
      <c r="S53" s="121"/>
      <c r="T53" s="119">
        <f>450</f>
        <v>450</v>
      </c>
      <c r="U53" s="120"/>
      <c r="V53" s="121"/>
      <c r="W53" s="119">
        <f>450</f>
        <v>450</v>
      </c>
      <c r="X53" s="120"/>
      <c r="Y53" s="121"/>
      <c r="Z53" s="119">
        <f>450</f>
        <v>450</v>
      </c>
      <c r="AA53" s="120"/>
      <c r="AB53" s="121"/>
      <c r="AC53" s="119">
        <f>450</f>
        <v>450</v>
      </c>
      <c r="AD53" s="120"/>
      <c r="AE53" s="121"/>
      <c r="AF53" s="119">
        <f>450</f>
        <v>450</v>
      </c>
      <c r="AG53" s="120"/>
      <c r="AH53" s="121"/>
      <c r="AI53" s="122">
        <f>450</f>
        <v>450</v>
      </c>
      <c r="AJ53" s="122"/>
      <c r="AK53" s="122"/>
      <c r="AL53" s="119">
        <f>450</f>
        <v>450</v>
      </c>
      <c r="AM53" s="120"/>
      <c r="AN53" s="121"/>
      <c r="AO53" s="123">
        <f t="shared" si="3"/>
        <v>5400</v>
      </c>
      <c r="AP53" s="124"/>
      <c r="AQ53" s="125"/>
      <c r="AR53" s="50">
        <f>AO53/AO103</f>
        <v>6.5311826842188413E-3</v>
      </c>
      <c r="AS53" s="90">
        <f>16890+AO53</f>
        <v>22290</v>
      </c>
      <c r="AT53" s="90"/>
    </row>
    <row r="54" spans="1:46" x14ac:dyDescent="0.25">
      <c r="A54" s="49" t="s">
        <v>57</v>
      </c>
      <c r="B54" s="133">
        <v>43576.7</v>
      </c>
      <c r="C54" s="133"/>
      <c r="D54" s="133"/>
      <c r="E54" s="119">
        <v>0</v>
      </c>
      <c r="F54" s="120"/>
      <c r="G54" s="121"/>
      <c r="H54" s="119">
        <v>0</v>
      </c>
      <c r="I54" s="120"/>
      <c r="J54" s="121"/>
      <c r="K54" s="119">
        <v>0</v>
      </c>
      <c r="L54" s="120"/>
      <c r="M54" s="121"/>
      <c r="N54" s="119">
        <v>0</v>
      </c>
      <c r="O54" s="120"/>
      <c r="P54" s="121"/>
      <c r="Q54" s="119">
        <v>0</v>
      </c>
      <c r="R54" s="120"/>
      <c r="S54" s="121"/>
      <c r="T54" s="119">
        <v>0</v>
      </c>
      <c r="U54" s="120"/>
      <c r="V54" s="121"/>
      <c r="W54" s="119">
        <v>0</v>
      </c>
      <c r="X54" s="120"/>
      <c r="Y54" s="121"/>
      <c r="Z54" s="119">
        <v>0</v>
      </c>
      <c r="AA54" s="120"/>
      <c r="AB54" s="121"/>
      <c r="AC54" s="119">
        <v>0</v>
      </c>
      <c r="AD54" s="120"/>
      <c r="AE54" s="121"/>
      <c r="AF54" s="119">
        <f>3500</f>
        <v>3500</v>
      </c>
      <c r="AG54" s="120"/>
      <c r="AH54" s="121"/>
      <c r="AI54" s="122">
        <v>0</v>
      </c>
      <c r="AJ54" s="122"/>
      <c r="AK54" s="122"/>
      <c r="AL54" s="119">
        <v>0</v>
      </c>
      <c r="AM54" s="120"/>
      <c r="AN54" s="121"/>
      <c r="AO54" s="123">
        <f t="shared" si="3"/>
        <v>3500</v>
      </c>
      <c r="AP54" s="124"/>
      <c r="AQ54" s="125"/>
      <c r="AR54" s="50">
        <f>AO54/AO103</f>
        <v>4.2331739619936928E-3</v>
      </c>
      <c r="AS54" s="90">
        <f>43576.7+AO54</f>
        <v>47076.7</v>
      </c>
      <c r="AT54" s="90"/>
    </row>
    <row r="55" spans="1:46" x14ac:dyDescent="0.25">
      <c r="A55" s="49" t="s">
        <v>58</v>
      </c>
      <c r="B55" s="133">
        <v>96857.71</v>
      </c>
      <c r="C55" s="133"/>
      <c r="D55" s="133"/>
      <c r="E55" s="119">
        <f>2722.05</f>
        <v>2722.05</v>
      </c>
      <c r="F55" s="120"/>
      <c r="G55" s="121"/>
      <c r="H55" s="119">
        <f>2713.05</f>
        <v>2713.05</v>
      </c>
      <c r="I55" s="120"/>
      <c r="J55" s="121"/>
      <c r="K55" s="119">
        <f>2718.45</f>
        <v>2718.45</v>
      </c>
      <c r="L55" s="120"/>
      <c r="M55" s="121"/>
      <c r="N55" s="119">
        <f>2722.95</f>
        <v>2722.95</v>
      </c>
      <c r="O55" s="120"/>
      <c r="P55" s="121"/>
      <c r="Q55" s="119">
        <f>2719.35</f>
        <v>2719.35</v>
      </c>
      <c r="R55" s="120"/>
      <c r="S55" s="121"/>
      <c r="T55" s="119">
        <f>2718.9</f>
        <v>2718.9</v>
      </c>
      <c r="U55" s="120"/>
      <c r="V55" s="121"/>
      <c r="W55" s="119">
        <f>2768.4</f>
        <v>2768.4</v>
      </c>
      <c r="X55" s="120"/>
      <c r="Y55" s="121"/>
      <c r="Z55" s="119">
        <f>2916</f>
        <v>2916</v>
      </c>
      <c r="AA55" s="120"/>
      <c r="AB55" s="121"/>
      <c r="AC55" s="119">
        <f>3226.05</f>
        <v>3226.05</v>
      </c>
      <c r="AD55" s="120"/>
      <c r="AE55" s="121"/>
      <c r="AF55" s="119">
        <f>3298.95</f>
        <v>3298.95</v>
      </c>
      <c r="AG55" s="120"/>
      <c r="AH55" s="121"/>
      <c r="AI55" s="122">
        <f>3334.05</f>
        <v>3334.05</v>
      </c>
      <c r="AJ55" s="122"/>
      <c r="AK55" s="122"/>
      <c r="AL55" s="119">
        <f>3360.15</f>
        <v>3360.15</v>
      </c>
      <c r="AM55" s="120"/>
      <c r="AN55" s="121"/>
      <c r="AO55" s="123">
        <f t="shared" si="3"/>
        <v>35218.35</v>
      </c>
      <c r="AP55" s="124"/>
      <c r="AQ55" s="125"/>
      <c r="AR55" s="50">
        <f>AO55/AO103</f>
        <v>4.2595829201251593E-2</v>
      </c>
      <c r="AS55" s="90">
        <f>96857.71+AO55</f>
        <v>132076.06</v>
      </c>
      <c r="AT55" s="90"/>
    </row>
    <row r="56" spans="1:46" x14ac:dyDescent="0.25">
      <c r="A56" s="49" t="s">
        <v>59</v>
      </c>
      <c r="B56" s="133">
        <v>9150.25</v>
      </c>
      <c r="C56" s="133"/>
      <c r="D56" s="133"/>
      <c r="E56" s="119">
        <f>293.67</f>
        <v>293.67</v>
      </c>
      <c r="F56" s="120"/>
      <c r="G56" s="121"/>
      <c r="H56" s="119">
        <f>293.67</f>
        <v>293.67</v>
      </c>
      <c r="I56" s="120"/>
      <c r="J56" s="121"/>
      <c r="K56" s="119">
        <f>293.67</f>
        <v>293.67</v>
      </c>
      <c r="L56" s="120"/>
      <c r="M56" s="121"/>
      <c r="N56" s="119">
        <f>293.67</f>
        <v>293.67</v>
      </c>
      <c r="O56" s="120"/>
      <c r="P56" s="121"/>
      <c r="Q56" s="119">
        <f>293.67</f>
        <v>293.67</v>
      </c>
      <c r="R56" s="120"/>
      <c r="S56" s="121"/>
      <c r="T56" s="119">
        <f>293.67</f>
        <v>293.67</v>
      </c>
      <c r="U56" s="120"/>
      <c r="V56" s="121"/>
      <c r="W56" s="119">
        <f>293.67</f>
        <v>293.67</v>
      </c>
      <c r="X56" s="120"/>
      <c r="Y56" s="121"/>
      <c r="Z56" s="119">
        <f>293.67</f>
        <v>293.67</v>
      </c>
      <c r="AA56" s="120"/>
      <c r="AB56" s="121"/>
      <c r="AC56" s="119">
        <f>293.67</f>
        <v>293.67</v>
      </c>
      <c r="AD56" s="120"/>
      <c r="AE56" s="121"/>
      <c r="AF56" s="119">
        <f>293.67</f>
        <v>293.67</v>
      </c>
      <c r="AG56" s="120"/>
      <c r="AH56" s="121"/>
      <c r="AI56" s="122">
        <f>245.25</f>
        <v>245.25</v>
      </c>
      <c r="AJ56" s="122"/>
      <c r="AK56" s="122"/>
      <c r="AL56" s="119">
        <f>245.25</f>
        <v>245.25</v>
      </c>
      <c r="AM56" s="120"/>
      <c r="AN56" s="121"/>
      <c r="AO56" s="123">
        <f t="shared" si="3"/>
        <v>3427.2000000000003</v>
      </c>
      <c r="AP56" s="124"/>
      <c r="AQ56" s="125"/>
      <c r="AR56" s="50">
        <f>AO56/AO103</f>
        <v>4.1451239435842243E-3</v>
      </c>
      <c r="AS56" s="90">
        <f>9150.25+AO56</f>
        <v>12577.45</v>
      </c>
      <c r="AT56" s="90"/>
    </row>
    <row r="57" spans="1:46" x14ac:dyDescent="0.25">
      <c r="A57" s="49" t="s">
        <v>60</v>
      </c>
      <c r="B57" s="133">
        <v>2618.94</v>
      </c>
      <c r="C57" s="133"/>
      <c r="D57" s="133"/>
      <c r="E57" s="119">
        <f>215+215</f>
        <v>430</v>
      </c>
      <c r="F57" s="120"/>
      <c r="G57" s="121"/>
      <c r="H57" s="119">
        <f>215</f>
        <v>215</v>
      </c>
      <c r="I57" s="120"/>
      <c r="J57" s="121"/>
      <c r="K57" s="119">
        <f>215</f>
        <v>215</v>
      </c>
      <c r="L57" s="120"/>
      <c r="M57" s="121"/>
      <c r="N57" s="119">
        <f>215</f>
        <v>215</v>
      </c>
      <c r="O57" s="120"/>
      <c r="P57" s="121"/>
      <c r="Q57" s="119">
        <f>215</f>
        <v>215</v>
      </c>
      <c r="R57" s="120"/>
      <c r="S57" s="121"/>
      <c r="T57" s="119">
        <f>215</f>
        <v>215</v>
      </c>
      <c r="U57" s="120"/>
      <c r="V57" s="121"/>
      <c r="W57" s="119">
        <f>215</f>
        <v>215</v>
      </c>
      <c r="X57" s="120"/>
      <c r="Y57" s="121"/>
      <c r="Z57" s="119">
        <f>215</f>
        <v>215</v>
      </c>
      <c r="AA57" s="120"/>
      <c r="AB57" s="121"/>
      <c r="AC57" s="119">
        <f>215</f>
        <v>215</v>
      </c>
      <c r="AD57" s="120"/>
      <c r="AE57" s="121"/>
      <c r="AF57" s="119">
        <f>215</f>
        <v>215</v>
      </c>
      <c r="AG57" s="120"/>
      <c r="AH57" s="121"/>
      <c r="AI57" s="122">
        <f>215</f>
        <v>215</v>
      </c>
      <c r="AJ57" s="122"/>
      <c r="AK57" s="122"/>
      <c r="AL57" s="119">
        <f>215</f>
        <v>215</v>
      </c>
      <c r="AM57" s="120"/>
      <c r="AN57" s="121"/>
      <c r="AO57" s="123">
        <f t="shared" si="3"/>
        <v>2795</v>
      </c>
      <c r="AP57" s="124"/>
      <c r="AQ57" s="125"/>
      <c r="AR57" s="50">
        <f>AO57/AO103</f>
        <v>3.3804917782206778E-3</v>
      </c>
      <c r="AS57" s="90">
        <f>2618.94+AO57</f>
        <v>5413.9400000000005</v>
      </c>
      <c r="AT57" s="90"/>
    </row>
    <row r="58" spans="1:46" x14ac:dyDescent="0.25">
      <c r="A58" s="49" t="s">
        <v>61</v>
      </c>
      <c r="B58" s="123">
        <v>0</v>
      </c>
      <c r="C58" s="124"/>
      <c r="D58" s="125"/>
      <c r="E58" s="119">
        <v>0</v>
      </c>
      <c r="F58" s="120"/>
      <c r="G58" s="121"/>
      <c r="H58" s="119">
        <v>0</v>
      </c>
      <c r="I58" s="120"/>
      <c r="J58" s="121"/>
      <c r="K58" s="119">
        <v>0</v>
      </c>
      <c r="L58" s="120"/>
      <c r="M58" s="121"/>
      <c r="N58" s="119">
        <v>0</v>
      </c>
      <c r="O58" s="120"/>
      <c r="P58" s="121"/>
      <c r="Q58" s="119">
        <v>0</v>
      </c>
      <c r="R58" s="120"/>
      <c r="S58" s="121"/>
      <c r="T58" s="119">
        <v>0</v>
      </c>
      <c r="U58" s="120"/>
      <c r="V58" s="121"/>
      <c r="W58" s="119">
        <f>39</f>
        <v>39</v>
      </c>
      <c r="X58" s="120"/>
      <c r="Y58" s="121"/>
      <c r="Z58" s="119">
        <f>39</f>
        <v>39</v>
      </c>
      <c r="AA58" s="120"/>
      <c r="AB58" s="121"/>
      <c r="AC58" s="119">
        <f>39</f>
        <v>39</v>
      </c>
      <c r="AD58" s="120"/>
      <c r="AE58" s="121"/>
      <c r="AF58" s="119">
        <f>39</f>
        <v>39</v>
      </c>
      <c r="AG58" s="120"/>
      <c r="AH58" s="121"/>
      <c r="AI58" s="122">
        <f>39</f>
        <v>39</v>
      </c>
      <c r="AJ58" s="122"/>
      <c r="AK58" s="122"/>
      <c r="AL58" s="119">
        <f>39</f>
        <v>39</v>
      </c>
      <c r="AM58" s="120"/>
      <c r="AN58" s="121"/>
      <c r="AO58" s="123">
        <f t="shared" si="3"/>
        <v>234</v>
      </c>
      <c r="AP58" s="124"/>
      <c r="AQ58" s="125"/>
      <c r="AR58" s="50">
        <f>AO58/AO104</f>
        <v>1.2935884009566802E-3</v>
      </c>
      <c r="AS58" s="87">
        <f>0+AO58</f>
        <v>234</v>
      </c>
      <c r="AT58" s="89"/>
    </row>
    <row r="59" spans="1:46" x14ac:dyDescent="0.25">
      <c r="A59" s="49" t="s">
        <v>62</v>
      </c>
      <c r="B59" s="133">
        <v>25282.46</v>
      </c>
      <c r="C59" s="133"/>
      <c r="D59" s="133"/>
      <c r="E59" s="119">
        <v>0</v>
      </c>
      <c r="F59" s="120"/>
      <c r="G59" s="121"/>
      <c r="H59" s="119">
        <v>0</v>
      </c>
      <c r="I59" s="120"/>
      <c r="J59" s="121"/>
      <c r="K59" s="119">
        <v>0</v>
      </c>
      <c r="L59" s="120"/>
      <c r="M59" s="121"/>
      <c r="N59" s="119">
        <v>0</v>
      </c>
      <c r="O59" s="120"/>
      <c r="P59" s="121"/>
      <c r="Q59" s="119">
        <f>500</f>
        <v>500</v>
      </c>
      <c r="R59" s="120"/>
      <c r="S59" s="121"/>
      <c r="T59" s="119">
        <v>0</v>
      </c>
      <c r="U59" s="120"/>
      <c r="V59" s="121"/>
      <c r="W59" s="119">
        <v>0</v>
      </c>
      <c r="X59" s="120"/>
      <c r="Y59" s="121"/>
      <c r="Z59" s="119">
        <v>0</v>
      </c>
      <c r="AA59" s="120"/>
      <c r="AB59" s="121"/>
      <c r="AC59" s="119">
        <v>0</v>
      </c>
      <c r="AD59" s="120"/>
      <c r="AE59" s="121"/>
      <c r="AF59" s="119">
        <v>0</v>
      </c>
      <c r="AG59" s="120"/>
      <c r="AH59" s="121"/>
      <c r="AI59" s="122">
        <v>0</v>
      </c>
      <c r="AJ59" s="122"/>
      <c r="AK59" s="122"/>
      <c r="AL59" s="119">
        <v>0</v>
      </c>
      <c r="AM59" s="120"/>
      <c r="AN59" s="121"/>
      <c r="AO59" s="123">
        <f t="shared" si="3"/>
        <v>500</v>
      </c>
      <c r="AP59" s="124"/>
      <c r="AQ59" s="125"/>
      <c r="AR59" s="50">
        <f>AO59/AO103</f>
        <v>6.0473913742767045E-4</v>
      </c>
      <c r="AS59" s="90">
        <f>25282.46+AO59</f>
        <v>25782.46</v>
      </c>
      <c r="AT59" s="90"/>
    </row>
    <row r="60" spans="1:46" x14ac:dyDescent="0.25">
      <c r="A60" s="49" t="s">
        <v>63</v>
      </c>
      <c r="B60" s="133">
        <v>1500</v>
      </c>
      <c r="C60" s="133"/>
      <c r="D60" s="133"/>
      <c r="E60" s="119">
        <v>0</v>
      </c>
      <c r="F60" s="120"/>
      <c r="G60" s="121"/>
      <c r="H60" s="119">
        <v>0</v>
      </c>
      <c r="I60" s="120"/>
      <c r="J60" s="121"/>
      <c r="K60" s="119">
        <v>0</v>
      </c>
      <c r="L60" s="120"/>
      <c r="M60" s="121"/>
      <c r="N60" s="119">
        <v>0</v>
      </c>
      <c r="O60" s="120"/>
      <c r="P60" s="121"/>
      <c r="Q60" s="119">
        <v>0</v>
      </c>
      <c r="R60" s="120"/>
      <c r="S60" s="121"/>
      <c r="T60" s="119">
        <v>0</v>
      </c>
      <c r="U60" s="120"/>
      <c r="V60" s="121"/>
      <c r="W60" s="119">
        <v>0</v>
      </c>
      <c r="X60" s="120"/>
      <c r="Y60" s="121"/>
      <c r="Z60" s="119">
        <v>0</v>
      </c>
      <c r="AA60" s="120"/>
      <c r="AB60" s="121"/>
      <c r="AC60" s="119">
        <v>0</v>
      </c>
      <c r="AD60" s="120"/>
      <c r="AE60" s="121"/>
      <c r="AF60" s="119">
        <v>0</v>
      </c>
      <c r="AG60" s="120"/>
      <c r="AH60" s="121"/>
      <c r="AI60" s="122">
        <v>0</v>
      </c>
      <c r="AJ60" s="122"/>
      <c r="AK60" s="122"/>
      <c r="AL60" s="119">
        <v>0</v>
      </c>
      <c r="AM60" s="120"/>
      <c r="AN60" s="121"/>
      <c r="AO60" s="123">
        <f t="shared" si="3"/>
        <v>0</v>
      </c>
      <c r="AP60" s="124"/>
      <c r="AQ60" s="125"/>
      <c r="AR60" s="50">
        <f>AO60/AO103</f>
        <v>0</v>
      </c>
      <c r="AS60" s="90">
        <f>1500+AO60</f>
        <v>1500</v>
      </c>
      <c r="AT60" s="90"/>
    </row>
    <row r="61" spans="1:46" x14ac:dyDescent="0.25">
      <c r="A61" s="49" t="s">
        <v>64</v>
      </c>
      <c r="B61" s="133">
        <v>5618.11</v>
      </c>
      <c r="C61" s="133"/>
      <c r="D61" s="133"/>
      <c r="E61" s="119">
        <v>0</v>
      </c>
      <c r="F61" s="120"/>
      <c r="G61" s="121"/>
      <c r="H61" s="119">
        <v>0</v>
      </c>
      <c r="I61" s="120"/>
      <c r="J61" s="121"/>
      <c r="K61" s="119">
        <v>0</v>
      </c>
      <c r="L61" s="120"/>
      <c r="M61" s="121"/>
      <c r="N61" s="119">
        <v>0</v>
      </c>
      <c r="O61" s="120"/>
      <c r="P61" s="121"/>
      <c r="Q61" s="119">
        <v>0</v>
      </c>
      <c r="R61" s="120"/>
      <c r="S61" s="121"/>
      <c r="T61" s="119">
        <v>0</v>
      </c>
      <c r="U61" s="120"/>
      <c r="V61" s="121"/>
      <c r="W61" s="119">
        <v>0</v>
      </c>
      <c r="X61" s="120"/>
      <c r="Y61" s="121"/>
      <c r="Z61" s="119">
        <v>0</v>
      </c>
      <c r="AA61" s="120"/>
      <c r="AB61" s="121"/>
      <c r="AC61" s="119">
        <v>0</v>
      </c>
      <c r="AD61" s="120"/>
      <c r="AE61" s="121"/>
      <c r="AF61" s="119">
        <v>0</v>
      </c>
      <c r="AG61" s="120"/>
      <c r="AH61" s="121"/>
      <c r="AI61" s="122">
        <v>0</v>
      </c>
      <c r="AJ61" s="122"/>
      <c r="AK61" s="122"/>
      <c r="AL61" s="119">
        <v>0</v>
      </c>
      <c r="AM61" s="120"/>
      <c r="AN61" s="121"/>
      <c r="AO61" s="123">
        <f t="shared" si="3"/>
        <v>0</v>
      </c>
      <c r="AP61" s="124"/>
      <c r="AQ61" s="125"/>
      <c r="AR61" s="50">
        <f>AO61/AO103</f>
        <v>0</v>
      </c>
      <c r="AS61" s="90">
        <f>5618.11+AO61</f>
        <v>5618.11</v>
      </c>
      <c r="AT61" s="90"/>
    </row>
    <row r="62" spans="1:46" x14ac:dyDescent="0.25">
      <c r="A62" s="49" t="s">
        <v>65</v>
      </c>
      <c r="B62" s="133">
        <v>0</v>
      </c>
      <c r="C62" s="133"/>
      <c r="D62" s="133"/>
      <c r="E62" s="119">
        <v>0</v>
      </c>
      <c r="F62" s="120"/>
      <c r="G62" s="121"/>
      <c r="H62" s="119">
        <v>0</v>
      </c>
      <c r="I62" s="120"/>
      <c r="J62" s="121"/>
      <c r="K62" s="119">
        <v>0</v>
      </c>
      <c r="L62" s="120"/>
      <c r="M62" s="121"/>
      <c r="N62" s="119">
        <f>40</f>
        <v>40</v>
      </c>
      <c r="O62" s="120"/>
      <c r="P62" s="121"/>
      <c r="Q62" s="119">
        <v>0</v>
      </c>
      <c r="R62" s="120"/>
      <c r="S62" s="121"/>
      <c r="T62" s="119">
        <v>0</v>
      </c>
      <c r="U62" s="120"/>
      <c r="V62" s="121"/>
      <c r="W62" s="119">
        <v>0</v>
      </c>
      <c r="X62" s="120"/>
      <c r="Y62" s="121"/>
      <c r="Z62" s="119">
        <v>0</v>
      </c>
      <c r="AA62" s="120"/>
      <c r="AB62" s="121"/>
      <c r="AC62" s="119">
        <v>0</v>
      </c>
      <c r="AD62" s="120"/>
      <c r="AE62" s="121"/>
      <c r="AF62" s="119">
        <v>0</v>
      </c>
      <c r="AG62" s="120"/>
      <c r="AH62" s="121"/>
      <c r="AI62" s="122">
        <v>0</v>
      </c>
      <c r="AJ62" s="122"/>
      <c r="AK62" s="122"/>
      <c r="AL62" s="119">
        <v>0</v>
      </c>
      <c r="AM62" s="120"/>
      <c r="AN62" s="121"/>
      <c r="AO62" s="123">
        <f t="shared" si="3"/>
        <v>40</v>
      </c>
      <c r="AP62" s="124"/>
      <c r="AQ62" s="125"/>
      <c r="AR62" s="50">
        <f>AO62/AO103</f>
        <v>4.8379130994213637E-5</v>
      </c>
      <c r="AS62" s="90">
        <f>0+AO62</f>
        <v>40</v>
      </c>
      <c r="AT62" s="90"/>
    </row>
    <row r="63" spans="1:46" x14ac:dyDescent="0.25">
      <c r="A63" s="49" t="s">
        <v>66</v>
      </c>
      <c r="B63" s="133">
        <v>2170</v>
      </c>
      <c r="C63" s="133"/>
      <c r="D63" s="133"/>
      <c r="E63" s="119">
        <v>0</v>
      </c>
      <c r="F63" s="120"/>
      <c r="G63" s="121"/>
      <c r="H63" s="119">
        <v>0</v>
      </c>
      <c r="I63" s="120"/>
      <c r="J63" s="121"/>
      <c r="K63" s="119">
        <v>0</v>
      </c>
      <c r="L63" s="120"/>
      <c r="M63" s="121"/>
      <c r="N63" s="119">
        <v>0</v>
      </c>
      <c r="O63" s="120"/>
      <c r="P63" s="121"/>
      <c r="Q63" s="119">
        <v>0</v>
      </c>
      <c r="R63" s="120"/>
      <c r="S63" s="121"/>
      <c r="T63" s="119">
        <v>0</v>
      </c>
      <c r="U63" s="120"/>
      <c r="V63" s="121"/>
      <c r="W63" s="119">
        <v>0</v>
      </c>
      <c r="X63" s="120"/>
      <c r="Y63" s="121"/>
      <c r="Z63" s="119">
        <v>0</v>
      </c>
      <c r="AA63" s="120"/>
      <c r="AB63" s="121"/>
      <c r="AC63" s="119">
        <v>0</v>
      </c>
      <c r="AD63" s="120"/>
      <c r="AE63" s="121"/>
      <c r="AF63" s="119">
        <v>0</v>
      </c>
      <c r="AG63" s="120"/>
      <c r="AH63" s="121"/>
      <c r="AI63" s="122">
        <v>0</v>
      </c>
      <c r="AJ63" s="122"/>
      <c r="AK63" s="122"/>
      <c r="AL63" s="119">
        <v>0</v>
      </c>
      <c r="AM63" s="120"/>
      <c r="AN63" s="121"/>
      <c r="AO63" s="123">
        <f t="shared" si="3"/>
        <v>0</v>
      </c>
      <c r="AP63" s="124"/>
      <c r="AQ63" s="125"/>
      <c r="AR63" s="50">
        <f>AO63/AO103</f>
        <v>0</v>
      </c>
      <c r="AS63" s="90">
        <f>2170+AO63</f>
        <v>2170</v>
      </c>
      <c r="AT63" s="90"/>
    </row>
    <row r="64" spans="1:46" x14ac:dyDescent="0.25">
      <c r="A64" s="47" t="s">
        <v>67</v>
      </c>
      <c r="B64" s="134">
        <f>SUM(B65:D68)</f>
        <v>192764.56999999998</v>
      </c>
      <c r="C64" s="134"/>
      <c r="D64" s="134"/>
      <c r="E64" s="126">
        <f>SUM(E65:G68)</f>
        <v>13428.149999999998</v>
      </c>
      <c r="F64" s="127"/>
      <c r="G64" s="128"/>
      <c r="H64" s="126">
        <f>SUM(H65:J68)</f>
        <v>12011.390000000001</v>
      </c>
      <c r="I64" s="127"/>
      <c r="J64" s="128"/>
      <c r="K64" s="126">
        <f>SUM(K65:M68)</f>
        <v>1386.5400000000002</v>
      </c>
      <c r="L64" s="127"/>
      <c r="M64" s="128"/>
      <c r="N64" s="126">
        <f>SUM(N65:P68)</f>
        <v>13324.27</v>
      </c>
      <c r="O64" s="127"/>
      <c r="P64" s="128"/>
      <c r="Q64" s="126">
        <f>SUM(Q65:S68)</f>
        <v>3314.84</v>
      </c>
      <c r="R64" s="127"/>
      <c r="S64" s="128"/>
      <c r="T64" s="126">
        <f>SUM(T65:V68)</f>
        <v>12706.07</v>
      </c>
      <c r="U64" s="127"/>
      <c r="V64" s="128"/>
      <c r="W64" s="126">
        <f>SUM(W65:Y68)</f>
        <v>959.34999999999991</v>
      </c>
      <c r="X64" s="127"/>
      <c r="Y64" s="128"/>
      <c r="Z64" s="126">
        <f>SUM(Z65:AB68)</f>
        <v>13477.11</v>
      </c>
      <c r="AA64" s="127"/>
      <c r="AB64" s="128"/>
      <c r="AC64" s="126">
        <f>SUM(AC65:AE68)</f>
        <v>1015.9</v>
      </c>
      <c r="AD64" s="127"/>
      <c r="AE64" s="128"/>
      <c r="AF64" s="126">
        <f>SUM(AF65:AH68)</f>
        <v>15040.84</v>
      </c>
      <c r="AG64" s="127"/>
      <c r="AH64" s="128"/>
      <c r="AI64" s="126">
        <f>SUM(AI65:AK68)</f>
        <v>6816.07</v>
      </c>
      <c r="AJ64" s="127"/>
      <c r="AK64" s="128"/>
      <c r="AL64" s="126">
        <f>SUM(AL65:AN68)</f>
        <v>19227.96</v>
      </c>
      <c r="AM64" s="127"/>
      <c r="AN64" s="128"/>
      <c r="AO64" s="129">
        <f>SUM(AO65:AQ68)</f>
        <v>112708.49</v>
      </c>
      <c r="AP64" s="130"/>
      <c r="AQ64" s="131"/>
      <c r="AR64" s="48">
        <f>AO64/AO103</f>
        <v>0.13631847004675046</v>
      </c>
      <c r="AS64" s="132">
        <f>SUM(AS65:AT68)</f>
        <v>305473.06</v>
      </c>
      <c r="AT64" s="132"/>
    </row>
    <row r="65" spans="1:46" x14ac:dyDescent="0.25">
      <c r="A65" s="49" t="s">
        <v>68</v>
      </c>
      <c r="B65" s="133">
        <v>120948.56</v>
      </c>
      <c r="C65" s="133"/>
      <c r="D65" s="133"/>
      <c r="E65" s="119">
        <f>9.5+9.5+39.8+9.5+11623.59+3.98+42+1+1+9.5</f>
        <v>11749.369999999999</v>
      </c>
      <c r="F65" s="120"/>
      <c r="G65" s="121"/>
      <c r="H65" s="119">
        <f>89.55+9.5+9.5+45.77+42+11502.2+27.86</f>
        <v>11726.380000000001</v>
      </c>
      <c r="I65" s="120"/>
      <c r="J65" s="121"/>
      <c r="K65" s="119">
        <f>9.5+7.96+9.5+9.5+9.5+11.94+145.27+9.5+250.74+42+1.99+9.5</f>
        <v>516.90000000000009</v>
      </c>
      <c r="L65" s="120"/>
      <c r="M65" s="121"/>
      <c r="N65" s="119">
        <f>11851.69</f>
        <v>11851.69</v>
      </c>
      <c r="O65" s="120"/>
      <c r="P65" s="121"/>
      <c r="Q65" s="119">
        <f>9.95+10+10+15.92+36.5+10+13.93+69.65</f>
        <v>175.95000000000002</v>
      </c>
      <c r="R65" s="120"/>
      <c r="S65" s="121"/>
      <c r="T65" s="119">
        <f>1.99+7.96+10+1.99+10+1.99+1.99+10+10+11589.76+3.98</f>
        <v>11649.66</v>
      </c>
      <c r="U65" s="120"/>
      <c r="V65" s="121"/>
      <c r="W65" s="119">
        <f>35.82+11.94+10+1.99+10+27.86</f>
        <v>97.61</v>
      </c>
      <c r="X65" s="120"/>
      <c r="Y65" s="121"/>
      <c r="Z65" s="119">
        <f>10+7.96+5.97+12535.01+10</f>
        <v>12568.94</v>
      </c>
      <c r="AA65" s="120"/>
      <c r="AB65" s="121"/>
      <c r="AC65" s="119">
        <f>1.99+10+10+469.64+147.26+10+10</f>
        <v>658.89</v>
      </c>
      <c r="AD65" s="120"/>
      <c r="AE65" s="121"/>
      <c r="AF65" s="119">
        <f>10+10+89.55+10+5.97+13729.01+10</f>
        <v>13864.53</v>
      </c>
      <c r="AG65" s="120"/>
      <c r="AH65" s="121"/>
      <c r="AI65" s="122">
        <f>1.99+10+10+463.67+1.5+1.99+1.5+1.5</f>
        <v>492.15000000000003</v>
      </c>
      <c r="AJ65" s="122"/>
      <c r="AK65" s="122"/>
      <c r="AL65" s="119">
        <f>14017.71</f>
        <v>14017.71</v>
      </c>
      <c r="AM65" s="120"/>
      <c r="AN65" s="121"/>
      <c r="AO65" s="123">
        <f>0+E65+H65+K65+N65+Q65+T65+W65+Z65+AC65+AF65+AI65+AL65</f>
        <v>89369.78</v>
      </c>
      <c r="AP65" s="124"/>
      <c r="AQ65" s="125"/>
      <c r="AR65" s="50">
        <f>AO65/AO103</f>
        <v>0.10809080733860135</v>
      </c>
      <c r="AS65" s="90">
        <f>120948.56+AO65</f>
        <v>210318.34</v>
      </c>
      <c r="AT65" s="90"/>
    </row>
    <row r="66" spans="1:46" x14ac:dyDescent="0.25">
      <c r="A66" s="49" t="s">
        <v>69</v>
      </c>
      <c r="B66" s="133">
        <v>47642.8</v>
      </c>
      <c r="C66" s="133"/>
      <c r="D66" s="133"/>
      <c r="E66" s="119">
        <f>77.46+240.13+70.87+219.71+77.46+70.87+240.13+219.71+203.66+203.66</f>
        <v>1623.66</v>
      </c>
      <c r="F66" s="120"/>
      <c r="G66" s="121"/>
      <c r="H66" s="119">
        <f>113.42+94.16</f>
        <v>207.57999999999998</v>
      </c>
      <c r="I66" s="120"/>
      <c r="J66" s="121"/>
      <c r="K66" s="119">
        <f>67.5+77.46+209.25+159.05+252.91</f>
        <v>766.17</v>
      </c>
      <c r="L66" s="120"/>
      <c r="M66" s="121"/>
      <c r="N66" s="119">
        <f>240.13+209.25+77.46+67.5+252.91</f>
        <v>847.25</v>
      </c>
      <c r="O66" s="120"/>
      <c r="P66" s="121"/>
      <c r="Q66" s="119">
        <f>209.25+67.5+240.13+77.46+252.91</f>
        <v>847.25</v>
      </c>
      <c r="R66" s="120"/>
      <c r="S66" s="121"/>
      <c r="T66" s="119">
        <f>67.5+209.25+77.46+240.13+56.2+97.25+210.76</f>
        <v>958.55</v>
      </c>
      <c r="U66" s="120"/>
      <c r="V66" s="121"/>
      <c r="W66" s="119">
        <f>240.13+77.46+209.25+67.5+219.74</f>
        <v>814.07999999999993</v>
      </c>
      <c r="X66" s="120"/>
      <c r="Y66" s="121"/>
      <c r="Z66" s="119">
        <f>77.46+67.5+240.13+209.25+270.09</f>
        <v>864.42999999999984</v>
      </c>
      <c r="AA66" s="120"/>
      <c r="AB66" s="121"/>
      <c r="AC66" s="119">
        <f>240.13+77.46</f>
        <v>317.58999999999997</v>
      </c>
      <c r="AD66" s="120"/>
      <c r="AE66" s="121"/>
      <c r="AF66" s="119">
        <f>135+240.13+418.5+77.46+142.82+59.97</f>
        <v>1073.8800000000001</v>
      </c>
      <c r="AG66" s="120"/>
      <c r="AH66" s="121"/>
      <c r="AI66" s="122">
        <f>67.5+77.46+1050+209.25+3255.5+240.13</f>
        <v>4899.84</v>
      </c>
      <c r="AJ66" s="122"/>
      <c r="AK66" s="122"/>
      <c r="AL66" s="119">
        <f>3022.5+975+77.46+240.13+209.25+67.5+291.45+260.48</f>
        <v>5143.7700000000004</v>
      </c>
      <c r="AM66" s="120"/>
      <c r="AN66" s="121"/>
      <c r="AO66" s="123">
        <f t="shared" ref="AO66:AO68" si="4">0+E66+H66+K66+N66+Q66+T66+W66+Z66+AC66+AF66+AI66+AL66</f>
        <v>18364.05</v>
      </c>
      <c r="AP66" s="124"/>
      <c r="AQ66" s="125"/>
      <c r="AR66" s="50">
        <f>AO66/AO103</f>
        <v>2.2210919513357224E-2</v>
      </c>
      <c r="AS66" s="90">
        <f>47642.8+AO66</f>
        <v>66006.850000000006</v>
      </c>
      <c r="AT66" s="90"/>
    </row>
    <row r="67" spans="1:46" x14ac:dyDescent="0.25">
      <c r="A67" s="49" t="s">
        <v>70</v>
      </c>
      <c r="B67" s="133">
        <v>24147.84</v>
      </c>
      <c r="C67" s="133"/>
      <c r="D67" s="133"/>
      <c r="E67" s="119">
        <f>48.46</f>
        <v>48.46</v>
      </c>
      <c r="F67" s="120"/>
      <c r="G67" s="121"/>
      <c r="H67" s="119">
        <f>72.49</f>
        <v>72.489999999999995</v>
      </c>
      <c r="I67" s="120"/>
      <c r="J67" s="121"/>
      <c r="K67" s="119">
        <f>103.47</f>
        <v>103.47</v>
      </c>
      <c r="L67" s="120"/>
      <c r="M67" s="121"/>
      <c r="N67" s="119">
        <f>163</f>
        <v>163</v>
      </c>
      <c r="O67" s="120"/>
      <c r="P67" s="121"/>
      <c r="Q67" s="119">
        <f>808.1+1448.28+35.26</f>
        <v>2291.6400000000003</v>
      </c>
      <c r="R67" s="120"/>
      <c r="S67" s="121"/>
      <c r="T67" s="119">
        <f>97.86</f>
        <v>97.86</v>
      </c>
      <c r="U67" s="120"/>
      <c r="V67" s="121"/>
      <c r="W67" s="119">
        <f>46.61</f>
        <v>46.61</v>
      </c>
      <c r="X67" s="120"/>
      <c r="Y67" s="121"/>
      <c r="Z67" s="119">
        <f>43.74</f>
        <v>43.74</v>
      </c>
      <c r="AA67" s="120"/>
      <c r="AB67" s="121"/>
      <c r="AC67" s="119">
        <f>39.42</f>
        <v>39.42</v>
      </c>
      <c r="AD67" s="120"/>
      <c r="AE67" s="121"/>
      <c r="AF67" s="119">
        <f>102.43</f>
        <v>102.43</v>
      </c>
      <c r="AG67" s="120"/>
      <c r="AH67" s="121"/>
      <c r="AI67" s="122">
        <f>108+1226.21+89.87</f>
        <v>1424.08</v>
      </c>
      <c r="AJ67" s="122"/>
      <c r="AK67" s="122"/>
      <c r="AL67" s="119">
        <f>66.48</f>
        <v>66.48</v>
      </c>
      <c r="AM67" s="120"/>
      <c r="AN67" s="121"/>
      <c r="AO67" s="123">
        <f t="shared" si="4"/>
        <v>4499.68</v>
      </c>
      <c r="AP67" s="124"/>
      <c r="AQ67" s="125"/>
      <c r="AR67" s="50">
        <f>AO67/AO103</f>
        <v>5.442265203801081E-3</v>
      </c>
      <c r="AS67" s="90">
        <f>24147.84+AO67</f>
        <v>28647.52</v>
      </c>
      <c r="AT67" s="90"/>
    </row>
    <row r="68" spans="1:46" x14ac:dyDescent="0.25">
      <c r="A68" s="49" t="s">
        <v>71</v>
      </c>
      <c r="B68" s="133">
        <v>25.37</v>
      </c>
      <c r="C68" s="133"/>
      <c r="D68" s="133"/>
      <c r="E68" s="119">
        <f>6.66</f>
        <v>6.66</v>
      </c>
      <c r="F68" s="120"/>
      <c r="G68" s="121"/>
      <c r="H68" s="119">
        <f>1.37+1.09+2.48</f>
        <v>4.9399999999999995</v>
      </c>
      <c r="I68" s="120"/>
      <c r="J68" s="121"/>
      <c r="K68" s="119">
        <v>0</v>
      </c>
      <c r="L68" s="120"/>
      <c r="M68" s="121"/>
      <c r="N68" s="119">
        <f>462.33</f>
        <v>462.33</v>
      </c>
      <c r="O68" s="120"/>
      <c r="P68" s="121"/>
      <c r="Q68" s="119">
        <v>0</v>
      </c>
      <c r="R68" s="120"/>
      <c r="S68" s="121"/>
      <c r="T68" s="119">
        <v>0</v>
      </c>
      <c r="U68" s="120"/>
      <c r="V68" s="121"/>
      <c r="W68" s="119">
        <f>1.05</f>
        <v>1.05</v>
      </c>
      <c r="X68" s="120"/>
      <c r="Y68" s="121"/>
      <c r="Z68" s="119">
        <v>0</v>
      </c>
      <c r="AA68" s="120"/>
      <c r="AB68" s="121"/>
      <c r="AC68" s="119">
        <v>0</v>
      </c>
      <c r="AD68" s="120"/>
      <c r="AE68" s="121"/>
      <c r="AF68" s="119">
        <v>0</v>
      </c>
      <c r="AG68" s="120"/>
      <c r="AH68" s="121"/>
      <c r="AI68" s="122">
        <v>0</v>
      </c>
      <c r="AJ68" s="122"/>
      <c r="AK68" s="122"/>
      <c r="AL68" s="119">
        <v>0</v>
      </c>
      <c r="AM68" s="120"/>
      <c r="AN68" s="121"/>
      <c r="AO68" s="123">
        <f t="shared" si="4"/>
        <v>474.98</v>
      </c>
      <c r="AP68" s="124"/>
      <c r="AQ68" s="125"/>
      <c r="AR68" s="50">
        <f>AO68/AO103</f>
        <v>5.7447799099078986E-4</v>
      </c>
      <c r="AS68" s="90">
        <f>25.37+AO68</f>
        <v>500.35</v>
      </c>
      <c r="AT68" s="90"/>
    </row>
    <row r="69" spans="1:46" x14ac:dyDescent="0.25">
      <c r="A69" s="47" t="s">
        <v>72</v>
      </c>
      <c r="B69" s="134">
        <f>SUM(B70:D83)</f>
        <v>379800.62</v>
      </c>
      <c r="C69" s="134"/>
      <c r="D69" s="134"/>
      <c r="E69" s="126">
        <f>SUM(E70:G83)</f>
        <v>11747.81</v>
      </c>
      <c r="F69" s="127"/>
      <c r="G69" s="128"/>
      <c r="H69" s="126">
        <f>SUM(H70:J83)</f>
        <v>9765.11</v>
      </c>
      <c r="I69" s="127"/>
      <c r="J69" s="128"/>
      <c r="K69" s="126">
        <f>SUM(K70:M83)</f>
        <v>11378.32</v>
      </c>
      <c r="L69" s="127"/>
      <c r="M69" s="128"/>
      <c r="N69" s="126">
        <f>SUM(N70:P83)</f>
        <v>10209.619999999999</v>
      </c>
      <c r="O69" s="127"/>
      <c r="P69" s="128"/>
      <c r="Q69" s="126">
        <f>SUM(Q70:S83)</f>
        <v>10249.41</v>
      </c>
      <c r="R69" s="127"/>
      <c r="S69" s="128"/>
      <c r="T69" s="126">
        <f>SUM(T70:V83)</f>
        <v>10155.92</v>
      </c>
      <c r="U69" s="127"/>
      <c r="V69" s="128"/>
      <c r="W69" s="126">
        <f>SUM(W70:Y83)</f>
        <v>12112.19</v>
      </c>
      <c r="X69" s="127"/>
      <c r="Y69" s="128"/>
      <c r="Z69" s="126">
        <f>SUM(Z70:AB83)</f>
        <v>9880.83</v>
      </c>
      <c r="AA69" s="127"/>
      <c r="AB69" s="128"/>
      <c r="AC69" s="126">
        <f>SUM(AC70:AE83)</f>
        <v>11844.41</v>
      </c>
      <c r="AD69" s="127"/>
      <c r="AE69" s="128"/>
      <c r="AF69" s="126">
        <f>SUM(AF70:AH83)</f>
        <v>13633.25</v>
      </c>
      <c r="AG69" s="127"/>
      <c r="AH69" s="128"/>
      <c r="AI69" s="126">
        <f>SUM(AI70:AK83)</f>
        <v>18365.440000000002</v>
      </c>
      <c r="AJ69" s="127"/>
      <c r="AK69" s="128"/>
      <c r="AL69" s="126">
        <f>SUM(AL70:AN83)</f>
        <v>21607.86</v>
      </c>
      <c r="AM69" s="127"/>
      <c r="AN69" s="128"/>
      <c r="AO69" s="129">
        <f>SUM(AO70:AQ83)</f>
        <v>150950.16999999998</v>
      </c>
      <c r="AP69" s="130"/>
      <c r="AQ69" s="131"/>
      <c r="AR69" s="48">
        <f>AO69/AO103</f>
        <v>0.18257095120072042</v>
      </c>
      <c r="AS69" s="132">
        <f>SUM(AS70:AT83)</f>
        <v>530750.79</v>
      </c>
      <c r="AT69" s="132"/>
    </row>
    <row r="70" spans="1:46" x14ac:dyDescent="0.25">
      <c r="A70" s="52" t="s">
        <v>73</v>
      </c>
      <c r="B70" s="133">
        <v>9608.91</v>
      </c>
      <c r="C70" s="133"/>
      <c r="D70" s="133"/>
      <c r="E70" s="119">
        <v>0</v>
      </c>
      <c r="F70" s="120"/>
      <c r="G70" s="121"/>
      <c r="H70" s="119">
        <v>0</v>
      </c>
      <c r="I70" s="120"/>
      <c r="J70" s="121"/>
      <c r="K70" s="119">
        <v>0</v>
      </c>
      <c r="L70" s="120"/>
      <c r="M70" s="121"/>
      <c r="N70" s="119">
        <v>0</v>
      </c>
      <c r="O70" s="120"/>
      <c r="P70" s="121"/>
      <c r="Q70" s="119">
        <v>0</v>
      </c>
      <c r="R70" s="120"/>
      <c r="S70" s="121"/>
      <c r="T70" s="119">
        <v>0</v>
      </c>
      <c r="U70" s="120"/>
      <c r="V70" s="121"/>
      <c r="W70" s="119">
        <v>0</v>
      </c>
      <c r="X70" s="120"/>
      <c r="Y70" s="121"/>
      <c r="Z70" s="119">
        <v>0</v>
      </c>
      <c r="AA70" s="120"/>
      <c r="AB70" s="121"/>
      <c r="AC70" s="119">
        <v>0</v>
      </c>
      <c r="AD70" s="120"/>
      <c r="AE70" s="121"/>
      <c r="AF70" s="119">
        <v>0</v>
      </c>
      <c r="AG70" s="120"/>
      <c r="AH70" s="121"/>
      <c r="AI70" s="122">
        <v>0</v>
      </c>
      <c r="AJ70" s="122"/>
      <c r="AK70" s="122"/>
      <c r="AL70" s="119">
        <v>0</v>
      </c>
      <c r="AM70" s="120"/>
      <c r="AN70" s="121"/>
      <c r="AO70" s="123">
        <f>0+E70+H70+K70+N70+Q70+T70+W70+Z70+AC70+AF70+AI70+AL70</f>
        <v>0</v>
      </c>
      <c r="AP70" s="124"/>
      <c r="AQ70" s="125"/>
      <c r="AR70" s="50">
        <f>AO70/AO103</f>
        <v>0</v>
      </c>
      <c r="AS70" s="90">
        <f>9608.91+AO70</f>
        <v>9608.91</v>
      </c>
      <c r="AT70" s="90"/>
    </row>
    <row r="71" spans="1:46" x14ac:dyDescent="0.25">
      <c r="A71" s="52" t="s">
        <v>74</v>
      </c>
      <c r="B71" s="133">
        <v>9110</v>
      </c>
      <c r="C71" s="133"/>
      <c r="D71" s="133"/>
      <c r="E71" s="119">
        <v>0</v>
      </c>
      <c r="F71" s="120"/>
      <c r="G71" s="121"/>
      <c r="H71" s="119">
        <v>0</v>
      </c>
      <c r="I71" s="120"/>
      <c r="J71" s="121"/>
      <c r="K71" s="119">
        <v>0</v>
      </c>
      <c r="L71" s="120"/>
      <c r="M71" s="121"/>
      <c r="N71" s="119">
        <v>0</v>
      </c>
      <c r="O71" s="120"/>
      <c r="P71" s="121"/>
      <c r="Q71" s="119">
        <v>0</v>
      </c>
      <c r="R71" s="120"/>
      <c r="S71" s="121"/>
      <c r="T71" s="119">
        <v>0</v>
      </c>
      <c r="U71" s="120"/>
      <c r="V71" s="121"/>
      <c r="W71" s="119">
        <v>0</v>
      </c>
      <c r="X71" s="120"/>
      <c r="Y71" s="121"/>
      <c r="Z71" s="119">
        <v>0</v>
      </c>
      <c r="AA71" s="120"/>
      <c r="AB71" s="121"/>
      <c r="AC71" s="119">
        <v>0</v>
      </c>
      <c r="AD71" s="120"/>
      <c r="AE71" s="121"/>
      <c r="AF71" s="119">
        <f>1709.05</f>
        <v>1709.05</v>
      </c>
      <c r="AG71" s="120"/>
      <c r="AH71" s="121"/>
      <c r="AI71" s="122">
        <v>0</v>
      </c>
      <c r="AJ71" s="122"/>
      <c r="AK71" s="122"/>
      <c r="AL71" s="119">
        <v>0</v>
      </c>
      <c r="AM71" s="120"/>
      <c r="AN71" s="121"/>
      <c r="AO71" s="123">
        <f t="shared" ref="AO71:AO83" si="5">0+E71+H71+K71+N71+Q71+T71+W71+Z71+AC71+AF71+AI71+AL71</f>
        <v>1709.05</v>
      </c>
      <c r="AP71" s="124"/>
      <c r="AQ71" s="125"/>
      <c r="AR71" s="50">
        <f>AO71/AO103</f>
        <v>2.0670588456415204E-3</v>
      </c>
      <c r="AS71" s="90">
        <f>9110+AO71</f>
        <v>10819.05</v>
      </c>
      <c r="AT71" s="90"/>
    </row>
    <row r="72" spans="1:46" x14ac:dyDescent="0.25">
      <c r="A72" s="52" t="s">
        <v>75</v>
      </c>
      <c r="B72" s="133">
        <v>4130.22</v>
      </c>
      <c r="C72" s="133"/>
      <c r="D72" s="133"/>
      <c r="E72" s="119">
        <f>271.63</f>
        <v>271.63</v>
      </c>
      <c r="F72" s="120"/>
      <c r="G72" s="121"/>
      <c r="H72" s="119">
        <f>271.63+1285.2</f>
        <v>1556.83</v>
      </c>
      <c r="I72" s="120"/>
      <c r="J72" s="121"/>
      <c r="K72" s="119">
        <f>271.63</f>
        <v>271.63</v>
      </c>
      <c r="L72" s="120"/>
      <c r="M72" s="121"/>
      <c r="N72" s="119">
        <v>0</v>
      </c>
      <c r="O72" s="120"/>
      <c r="P72" s="121"/>
      <c r="Q72" s="119">
        <v>0</v>
      </c>
      <c r="R72" s="120"/>
      <c r="S72" s="121"/>
      <c r="T72" s="119">
        <v>0</v>
      </c>
      <c r="U72" s="120"/>
      <c r="V72" s="121"/>
      <c r="W72" s="119">
        <v>0</v>
      </c>
      <c r="X72" s="120"/>
      <c r="Y72" s="121"/>
      <c r="Z72" s="119">
        <v>0</v>
      </c>
      <c r="AA72" s="120"/>
      <c r="AB72" s="121"/>
      <c r="AC72" s="119">
        <v>0</v>
      </c>
      <c r="AD72" s="120"/>
      <c r="AE72" s="121"/>
      <c r="AF72" s="119">
        <v>0</v>
      </c>
      <c r="AG72" s="120"/>
      <c r="AH72" s="121"/>
      <c r="AI72" s="122">
        <v>0</v>
      </c>
      <c r="AJ72" s="122"/>
      <c r="AK72" s="122"/>
      <c r="AL72" s="119">
        <v>0</v>
      </c>
      <c r="AM72" s="120"/>
      <c r="AN72" s="121"/>
      <c r="AO72" s="123">
        <f t="shared" si="5"/>
        <v>2100.09</v>
      </c>
      <c r="AP72" s="124"/>
      <c r="AQ72" s="125"/>
      <c r="AR72" s="50">
        <f>AO72/AO103</f>
        <v>2.5400132302409533E-3</v>
      </c>
      <c r="AS72" s="90">
        <f>4130.22+AO72</f>
        <v>6230.31</v>
      </c>
      <c r="AT72" s="90"/>
    </row>
    <row r="73" spans="1:46" x14ac:dyDescent="0.25">
      <c r="A73" s="52" t="s">
        <v>76</v>
      </c>
      <c r="B73" s="123">
        <v>0</v>
      </c>
      <c r="C73" s="124"/>
      <c r="D73" s="125"/>
      <c r="E73" s="119">
        <v>0</v>
      </c>
      <c r="F73" s="120"/>
      <c r="G73" s="121"/>
      <c r="H73" s="119">
        <v>99</v>
      </c>
      <c r="I73" s="120"/>
      <c r="J73" s="121"/>
      <c r="K73" s="119">
        <v>0</v>
      </c>
      <c r="L73" s="120"/>
      <c r="M73" s="121"/>
      <c r="N73" s="119">
        <v>0</v>
      </c>
      <c r="O73" s="120"/>
      <c r="P73" s="121"/>
      <c r="Q73" s="119">
        <v>0</v>
      </c>
      <c r="R73" s="120"/>
      <c r="S73" s="121"/>
      <c r="T73" s="119">
        <v>0</v>
      </c>
      <c r="U73" s="120"/>
      <c r="V73" s="121"/>
      <c r="W73" s="119">
        <v>0</v>
      </c>
      <c r="X73" s="120"/>
      <c r="Y73" s="121"/>
      <c r="Z73" s="119">
        <v>0</v>
      </c>
      <c r="AA73" s="120"/>
      <c r="AB73" s="121"/>
      <c r="AC73" s="119">
        <v>0</v>
      </c>
      <c r="AD73" s="120"/>
      <c r="AE73" s="121"/>
      <c r="AF73" s="119">
        <v>0</v>
      </c>
      <c r="AG73" s="120"/>
      <c r="AH73" s="121"/>
      <c r="AI73" s="122">
        <f>160</f>
        <v>160</v>
      </c>
      <c r="AJ73" s="122"/>
      <c r="AK73" s="122"/>
      <c r="AL73" s="119">
        <v>0</v>
      </c>
      <c r="AM73" s="120"/>
      <c r="AN73" s="121"/>
      <c r="AO73" s="123">
        <f t="shared" si="5"/>
        <v>259</v>
      </c>
      <c r="AP73" s="124"/>
      <c r="AQ73" s="125"/>
      <c r="AR73" s="50">
        <f>AO73/AO103</f>
        <v>3.132548731875333E-4</v>
      </c>
      <c r="AS73" s="87">
        <f>0+AO73</f>
        <v>259</v>
      </c>
      <c r="AT73" s="89"/>
    </row>
    <row r="74" spans="1:46" x14ac:dyDescent="0.25">
      <c r="A74" s="49" t="s">
        <v>77</v>
      </c>
      <c r="B74" s="133">
        <v>6043.01</v>
      </c>
      <c r="C74" s="133"/>
      <c r="D74" s="133"/>
      <c r="E74" s="119">
        <f>191.6+35.42</f>
        <v>227.01999999999998</v>
      </c>
      <c r="F74" s="120"/>
      <c r="G74" s="121"/>
      <c r="H74" s="119">
        <f>51.3</f>
        <v>51.3</v>
      </c>
      <c r="I74" s="120"/>
      <c r="J74" s="121"/>
      <c r="K74" s="119">
        <v>0</v>
      </c>
      <c r="L74" s="120"/>
      <c r="M74" s="121"/>
      <c r="N74" s="119">
        <v>0</v>
      </c>
      <c r="O74" s="120"/>
      <c r="P74" s="121"/>
      <c r="Q74" s="119">
        <f>43.8</f>
        <v>43.8</v>
      </c>
      <c r="R74" s="120"/>
      <c r="S74" s="121"/>
      <c r="T74" s="119">
        <v>0</v>
      </c>
      <c r="U74" s="120"/>
      <c r="V74" s="121"/>
      <c r="W74" s="119">
        <f>47.8</f>
        <v>47.8</v>
      </c>
      <c r="X74" s="120"/>
      <c r="Y74" s="121"/>
      <c r="Z74" s="119">
        <f>48.3+179.8</f>
        <v>228.10000000000002</v>
      </c>
      <c r="AA74" s="120"/>
      <c r="AB74" s="121"/>
      <c r="AC74" s="119">
        <f>31.9</f>
        <v>31.9</v>
      </c>
      <c r="AD74" s="120"/>
      <c r="AE74" s="121"/>
      <c r="AF74" s="119">
        <v>0</v>
      </c>
      <c r="AG74" s="120"/>
      <c r="AH74" s="121"/>
      <c r="AI74" s="122">
        <f>107.9+49.8+82</f>
        <v>239.7</v>
      </c>
      <c r="AJ74" s="122"/>
      <c r="AK74" s="122"/>
      <c r="AL74" s="119">
        <v>0</v>
      </c>
      <c r="AM74" s="120"/>
      <c r="AN74" s="121"/>
      <c r="AO74" s="123">
        <f t="shared" si="5"/>
        <v>869.61999999999989</v>
      </c>
      <c r="AP74" s="124"/>
      <c r="AQ74" s="125"/>
      <c r="AR74" s="50">
        <f>AO74/AO103</f>
        <v>1.0517864973797015E-3</v>
      </c>
      <c r="AS74" s="90">
        <f>6043.01+AO74</f>
        <v>6912.63</v>
      </c>
      <c r="AT74" s="90"/>
    </row>
    <row r="75" spans="1:46" x14ac:dyDescent="0.25">
      <c r="A75" s="52" t="s">
        <v>78</v>
      </c>
      <c r="B75" s="133">
        <v>53374.36</v>
      </c>
      <c r="C75" s="133"/>
      <c r="D75" s="133"/>
      <c r="E75" s="119">
        <f>1263.86+290.51</f>
        <v>1554.37</v>
      </c>
      <c r="F75" s="120"/>
      <c r="G75" s="121"/>
      <c r="H75" s="119">
        <f>1413.96+54.44</f>
        <v>1468.4</v>
      </c>
      <c r="I75" s="120"/>
      <c r="J75" s="121"/>
      <c r="K75" s="119">
        <f>1413.96+54.26</f>
        <v>1468.22</v>
      </c>
      <c r="L75" s="120"/>
      <c r="M75" s="121"/>
      <c r="N75" s="119">
        <f>1414.91+54.37</f>
        <v>1469.28</v>
      </c>
      <c r="O75" s="120"/>
      <c r="P75" s="121"/>
      <c r="Q75" s="119">
        <f>1416.52+54.46</f>
        <v>1470.98</v>
      </c>
      <c r="R75" s="120"/>
      <c r="S75" s="121"/>
      <c r="T75" s="119">
        <f>1416.52+54.39</f>
        <v>1470.91</v>
      </c>
      <c r="U75" s="120"/>
      <c r="V75" s="121"/>
      <c r="W75" s="119">
        <f>54.38+1416.52</f>
        <v>1470.9</v>
      </c>
      <c r="X75" s="120"/>
      <c r="Y75" s="121"/>
      <c r="Z75" s="119">
        <f>1416.52+57.32</f>
        <v>1473.84</v>
      </c>
      <c r="AA75" s="120"/>
      <c r="AB75" s="121"/>
      <c r="AC75" s="119">
        <f>1490.55+60.27</f>
        <v>1550.82</v>
      </c>
      <c r="AD75" s="120"/>
      <c r="AE75" s="121"/>
      <c r="AF75" s="119">
        <f>1490.55+136.47</f>
        <v>1627.02</v>
      </c>
      <c r="AG75" s="120"/>
      <c r="AH75" s="121"/>
      <c r="AI75" s="122">
        <f>1490.55+3608.7</f>
        <v>5099.25</v>
      </c>
      <c r="AJ75" s="122"/>
      <c r="AK75" s="122"/>
      <c r="AL75" s="119">
        <f>1593.76+3343.68+158.99</f>
        <v>5096.4299999999994</v>
      </c>
      <c r="AM75" s="120"/>
      <c r="AN75" s="121"/>
      <c r="AO75" s="123">
        <f t="shared" si="5"/>
        <v>25220.42</v>
      </c>
      <c r="AP75" s="124"/>
      <c r="AQ75" s="125"/>
      <c r="AR75" s="50">
        <f>AO75/AO103</f>
        <v>3.0503550072727134E-2</v>
      </c>
      <c r="AS75" s="90">
        <f>53374.36+AO75</f>
        <v>78594.78</v>
      </c>
      <c r="AT75" s="90"/>
    </row>
    <row r="76" spans="1:46" x14ac:dyDescent="0.25">
      <c r="A76" s="52" t="s">
        <v>79</v>
      </c>
      <c r="B76" s="133">
        <v>13234.67</v>
      </c>
      <c r="C76" s="133"/>
      <c r="D76" s="133"/>
      <c r="E76" s="119">
        <f>114.99+49.99+154.41</f>
        <v>319.39</v>
      </c>
      <c r="F76" s="120"/>
      <c r="G76" s="121"/>
      <c r="H76" s="119">
        <f>114.99+49.99+155.27</f>
        <v>320.25</v>
      </c>
      <c r="I76" s="120"/>
      <c r="J76" s="121"/>
      <c r="K76" s="119">
        <f>49.99+114.99+149.34</f>
        <v>314.32</v>
      </c>
      <c r="L76" s="120"/>
      <c r="M76" s="121"/>
      <c r="N76" s="119">
        <f>52.23+114.99+116.06</f>
        <v>283.27999999999997</v>
      </c>
      <c r="O76" s="120"/>
      <c r="P76" s="121"/>
      <c r="Q76" s="119">
        <f>52.23+114.99</f>
        <v>167.22</v>
      </c>
      <c r="R76" s="120"/>
      <c r="S76" s="121"/>
      <c r="T76" s="119">
        <f>59.66+52.23+114.99</f>
        <v>226.88</v>
      </c>
      <c r="U76" s="120"/>
      <c r="V76" s="121"/>
      <c r="W76" s="119">
        <f>58.3+114.99+52.23+97.26</f>
        <v>322.77999999999997</v>
      </c>
      <c r="X76" s="120"/>
      <c r="Y76" s="121"/>
      <c r="Z76" s="119">
        <f>52.23+114.47</f>
        <v>166.7</v>
      </c>
      <c r="AA76" s="120"/>
      <c r="AB76" s="121"/>
      <c r="AC76" s="119">
        <f>52.23+59.58+114.99+74.9</f>
        <v>301.70000000000005</v>
      </c>
      <c r="AD76" s="120"/>
      <c r="AE76" s="121"/>
      <c r="AF76" s="119">
        <f>52.23+114.99+177.57</f>
        <v>344.78999999999996</v>
      </c>
      <c r="AG76" s="120"/>
      <c r="AH76" s="121"/>
      <c r="AI76" s="122">
        <f>52.23+127.71</f>
        <v>179.94</v>
      </c>
      <c r="AJ76" s="122"/>
      <c r="AK76" s="122"/>
      <c r="AL76" s="119">
        <f>60.53+53.33+127.71</f>
        <v>241.57</v>
      </c>
      <c r="AM76" s="120"/>
      <c r="AN76" s="121"/>
      <c r="AO76" s="123">
        <f t="shared" si="5"/>
        <v>3188.8200000000006</v>
      </c>
      <c r="AP76" s="124"/>
      <c r="AQ76" s="125"/>
      <c r="AR76" s="50">
        <f>AO76/AO103</f>
        <v>3.8568085124242092E-3</v>
      </c>
      <c r="AS76" s="90">
        <f>13234.67+AO76</f>
        <v>16423.490000000002</v>
      </c>
      <c r="AT76" s="90"/>
    </row>
    <row r="77" spans="1:46" x14ac:dyDescent="0.25">
      <c r="A77" s="52" t="s">
        <v>80</v>
      </c>
      <c r="B77" s="133">
        <v>7492.77</v>
      </c>
      <c r="C77" s="133"/>
      <c r="D77" s="133"/>
      <c r="E77" s="119">
        <f>23+11.39+23+23+11.39</f>
        <v>91.78</v>
      </c>
      <c r="F77" s="120"/>
      <c r="G77" s="121"/>
      <c r="H77" s="119">
        <f>10.8+23+23+26.9</f>
        <v>83.699999999999989</v>
      </c>
      <c r="I77" s="120"/>
      <c r="J77" s="121"/>
      <c r="K77" s="119">
        <f>23+23</f>
        <v>46</v>
      </c>
      <c r="L77" s="120"/>
      <c r="M77" s="121"/>
      <c r="N77" s="119">
        <v>0</v>
      </c>
      <c r="O77" s="120"/>
      <c r="P77" s="121"/>
      <c r="Q77" s="119">
        <v>0</v>
      </c>
      <c r="R77" s="120"/>
      <c r="S77" s="121"/>
      <c r="T77" s="119">
        <v>0</v>
      </c>
      <c r="U77" s="120"/>
      <c r="V77" s="121"/>
      <c r="W77" s="119">
        <f>14.99</f>
        <v>14.99</v>
      </c>
      <c r="X77" s="120"/>
      <c r="Y77" s="121"/>
      <c r="Z77" s="119">
        <f>23</f>
        <v>23</v>
      </c>
      <c r="AA77" s="120"/>
      <c r="AB77" s="121"/>
      <c r="AC77" s="119">
        <f>23+23</f>
        <v>46</v>
      </c>
      <c r="AD77" s="120"/>
      <c r="AE77" s="121"/>
      <c r="AF77" s="119">
        <f>22+23</f>
        <v>45</v>
      </c>
      <c r="AG77" s="120"/>
      <c r="AH77" s="121"/>
      <c r="AI77" s="122">
        <f>23+23</f>
        <v>46</v>
      </c>
      <c r="AJ77" s="122"/>
      <c r="AK77" s="122"/>
      <c r="AL77" s="119">
        <f>23+23</f>
        <v>46</v>
      </c>
      <c r="AM77" s="120"/>
      <c r="AN77" s="121"/>
      <c r="AO77" s="123">
        <f t="shared" si="5"/>
        <v>442.47</v>
      </c>
      <c r="AP77" s="124"/>
      <c r="AQ77" s="125"/>
      <c r="AR77" s="50">
        <f>AO77/AO103</f>
        <v>5.3515785227524276E-4</v>
      </c>
      <c r="AS77" s="90">
        <f>7492.77+AO77</f>
        <v>7935.2400000000007</v>
      </c>
      <c r="AT77" s="90"/>
    </row>
    <row r="78" spans="1:46" x14ac:dyDescent="0.25">
      <c r="A78" s="52" t="s">
        <v>81</v>
      </c>
      <c r="B78" s="133">
        <v>4171.6000000000004</v>
      </c>
      <c r="C78" s="133"/>
      <c r="D78" s="133"/>
      <c r="E78" s="119">
        <v>0</v>
      </c>
      <c r="F78" s="120"/>
      <c r="G78" s="121"/>
      <c r="H78" s="119">
        <v>0</v>
      </c>
      <c r="I78" s="120"/>
      <c r="J78" s="121"/>
      <c r="K78" s="119">
        <v>0</v>
      </c>
      <c r="L78" s="120"/>
      <c r="M78" s="121"/>
      <c r="N78" s="119">
        <v>0</v>
      </c>
      <c r="O78" s="120"/>
      <c r="P78" s="121"/>
      <c r="Q78" s="119">
        <v>0</v>
      </c>
      <c r="R78" s="120"/>
      <c r="S78" s="121"/>
      <c r="T78" s="119">
        <v>0</v>
      </c>
      <c r="U78" s="120"/>
      <c r="V78" s="121"/>
      <c r="W78" s="119">
        <v>0</v>
      </c>
      <c r="X78" s="120"/>
      <c r="Y78" s="121"/>
      <c r="Z78" s="119">
        <v>0</v>
      </c>
      <c r="AA78" s="120"/>
      <c r="AB78" s="121"/>
      <c r="AC78" s="119">
        <v>0</v>
      </c>
      <c r="AD78" s="120"/>
      <c r="AE78" s="121"/>
      <c r="AF78" s="119">
        <v>0</v>
      </c>
      <c r="AG78" s="120"/>
      <c r="AH78" s="121"/>
      <c r="AI78" s="122">
        <v>0</v>
      </c>
      <c r="AJ78" s="122"/>
      <c r="AK78" s="122"/>
      <c r="AL78" s="119">
        <v>0</v>
      </c>
      <c r="AM78" s="120"/>
      <c r="AN78" s="121"/>
      <c r="AO78" s="123">
        <f t="shared" si="5"/>
        <v>0</v>
      </c>
      <c r="AP78" s="124"/>
      <c r="AQ78" s="125"/>
      <c r="AR78" s="50">
        <f>AO78/AO103</f>
        <v>0</v>
      </c>
      <c r="AS78" s="90">
        <f>4171.6+AO78</f>
        <v>4171.6000000000004</v>
      </c>
      <c r="AT78" s="90"/>
    </row>
    <row r="79" spans="1:46" x14ac:dyDescent="0.25">
      <c r="A79" s="52" t="s">
        <v>82</v>
      </c>
      <c r="B79" s="133">
        <v>3563.88</v>
      </c>
      <c r="C79" s="133"/>
      <c r="D79" s="133"/>
      <c r="E79" s="119">
        <f>4.99+32.58+19.77+100</f>
        <v>157.34</v>
      </c>
      <c r="F79" s="120"/>
      <c r="G79" s="121"/>
      <c r="H79" s="119">
        <f>27.9</f>
        <v>27.9</v>
      </c>
      <c r="I79" s="120"/>
      <c r="J79" s="121"/>
      <c r="K79" s="119">
        <v>0</v>
      </c>
      <c r="L79" s="120"/>
      <c r="M79" s="121"/>
      <c r="N79" s="119">
        <v>0</v>
      </c>
      <c r="O79" s="120"/>
      <c r="P79" s="121"/>
      <c r="Q79" s="119">
        <v>0</v>
      </c>
      <c r="R79" s="120"/>
      <c r="S79" s="121"/>
      <c r="T79" s="119">
        <v>0</v>
      </c>
      <c r="U79" s="120"/>
      <c r="V79" s="121"/>
      <c r="W79" s="119">
        <v>0</v>
      </c>
      <c r="X79" s="120"/>
      <c r="Y79" s="121"/>
      <c r="Z79" s="119">
        <v>0</v>
      </c>
      <c r="AA79" s="120"/>
      <c r="AB79" s="121"/>
      <c r="AC79" s="119">
        <f>100</f>
        <v>100</v>
      </c>
      <c r="AD79" s="120"/>
      <c r="AE79" s="121"/>
      <c r="AF79" s="119">
        <v>0</v>
      </c>
      <c r="AG79" s="120"/>
      <c r="AH79" s="121"/>
      <c r="AI79" s="122">
        <v>0</v>
      </c>
      <c r="AJ79" s="122"/>
      <c r="AK79" s="122"/>
      <c r="AL79" s="119">
        <v>0</v>
      </c>
      <c r="AM79" s="120"/>
      <c r="AN79" s="121"/>
      <c r="AO79" s="123">
        <f t="shared" si="5"/>
        <v>285.24</v>
      </c>
      <c r="AP79" s="124"/>
      <c r="AQ79" s="125"/>
      <c r="AR79" s="50">
        <f>AO79/AO103</f>
        <v>3.4499158311973745E-4</v>
      </c>
      <c r="AS79" s="90">
        <f>3563.88+AO79</f>
        <v>3849.12</v>
      </c>
      <c r="AT79" s="90"/>
    </row>
    <row r="80" spans="1:46" x14ac:dyDescent="0.25">
      <c r="A80" s="52" t="s">
        <v>83</v>
      </c>
      <c r="B80" s="123">
        <v>0</v>
      </c>
      <c r="C80" s="124"/>
      <c r="D80" s="125"/>
      <c r="E80" s="119">
        <f>2359.55</f>
        <v>2359.5500000000002</v>
      </c>
      <c r="F80" s="120"/>
      <c r="G80" s="121"/>
      <c r="H80" s="119">
        <v>0</v>
      </c>
      <c r="I80" s="120"/>
      <c r="J80" s="121"/>
      <c r="K80" s="119">
        <v>0</v>
      </c>
      <c r="L80" s="120"/>
      <c r="M80" s="121"/>
      <c r="N80" s="119">
        <v>0</v>
      </c>
      <c r="O80" s="120"/>
      <c r="P80" s="121"/>
      <c r="Q80" s="119">
        <v>0</v>
      </c>
      <c r="R80" s="120"/>
      <c r="S80" s="121"/>
      <c r="T80" s="119">
        <v>0</v>
      </c>
      <c r="U80" s="120"/>
      <c r="V80" s="121"/>
      <c r="W80" s="119">
        <v>0</v>
      </c>
      <c r="X80" s="120"/>
      <c r="Y80" s="121"/>
      <c r="Z80" s="119">
        <v>0</v>
      </c>
      <c r="AA80" s="120"/>
      <c r="AB80" s="121"/>
      <c r="AC80" s="119">
        <v>0</v>
      </c>
      <c r="AD80" s="120"/>
      <c r="AE80" s="121"/>
      <c r="AF80" s="119">
        <v>0</v>
      </c>
      <c r="AG80" s="120"/>
      <c r="AH80" s="121"/>
      <c r="AI80" s="122">
        <v>0</v>
      </c>
      <c r="AJ80" s="122"/>
      <c r="AK80" s="122"/>
      <c r="AL80" s="119">
        <v>0</v>
      </c>
      <c r="AM80" s="120"/>
      <c r="AN80" s="121"/>
      <c r="AO80" s="123">
        <f t="shared" si="5"/>
        <v>2359.5500000000002</v>
      </c>
      <c r="AP80" s="124"/>
      <c r="AQ80" s="125"/>
      <c r="AR80" s="50">
        <f>AO80/AO103</f>
        <v>2.8538244634349198E-3</v>
      </c>
      <c r="AS80" s="90">
        <f>0+AO80</f>
        <v>2359.5500000000002</v>
      </c>
      <c r="AT80" s="90"/>
    </row>
    <row r="81" spans="1:46" x14ac:dyDescent="0.25">
      <c r="A81" s="52" t="s">
        <v>84</v>
      </c>
      <c r="B81" s="133">
        <v>2056.7600000000002</v>
      </c>
      <c r="C81" s="133"/>
      <c r="D81" s="133"/>
      <c r="E81" s="119">
        <v>0</v>
      </c>
      <c r="F81" s="120"/>
      <c r="G81" s="121"/>
      <c r="H81" s="119">
        <v>0</v>
      </c>
      <c r="I81" s="120"/>
      <c r="J81" s="121"/>
      <c r="K81" s="119">
        <v>0</v>
      </c>
      <c r="L81" s="120"/>
      <c r="M81" s="121"/>
      <c r="N81" s="119">
        <v>0</v>
      </c>
      <c r="O81" s="120"/>
      <c r="P81" s="121"/>
      <c r="Q81" s="119">
        <v>0</v>
      </c>
      <c r="R81" s="120"/>
      <c r="S81" s="121"/>
      <c r="T81" s="119">
        <v>0</v>
      </c>
      <c r="U81" s="120"/>
      <c r="V81" s="121"/>
      <c r="W81" s="119">
        <v>0</v>
      </c>
      <c r="X81" s="120"/>
      <c r="Y81" s="121"/>
      <c r="Z81" s="119">
        <v>0</v>
      </c>
      <c r="AA81" s="120"/>
      <c r="AB81" s="121"/>
      <c r="AC81" s="119">
        <v>0</v>
      </c>
      <c r="AD81" s="120"/>
      <c r="AE81" s="121"/>
      <c r="AF81" s="119">
        <v>0</v>
      </c>
      <c r="AG81" s="120"/>
      <c r="AH81" s="121"/>
      <c r="AI81" s="122">
        <v>0</v>
      </c>
      <c r="AJ81" s="122"/>
      <c r="AK81" s="122"/>
      <c r="AL81" s="119">
        <v>0</v>
      </c>
      <c r="AM81" s="120"/>
      <c r="AN81" s="121"/>
      <c r="AO81" s="123">
        <f t="shared" si="5"/>
        <v>0</v>
      </c>
      <c r="AP81" s="124"/>
      <c r="AQ81" s="125"/>
      <c r="AR81" s="50">
        <f>AO81/AO103</f>
        <v>0</v>
      </c>
      <c r="AS81" s="90">
        <f>2056.76+AO81</f>
        <v>2056.7600000000002</v>
      </c>
      <c r="AT81" s="90"/>
    </row>
    <row r="82" spans="1:46" x14ac:dyDescent="0.25">
      <c r="A82" s="52" t="s">
        <v>85</v>
      </c>
      <c r="B82" s="133">
        <v>147202.01999999999</v>
      </c>
      <c r="C82" s="133"/>
      <c r="D82" s="133"/>
      <c r="E82" s="119">
        <f>1386.11+400</f>
        <v>1786.11</v>
      </c>
      <c r="F82" s="120"/>
      <c r="G82" s="121"/>
      <c r="H82" s="119">
        <f>600+1904.25+2113.13</f>
        <v>4617.38</v>
      </c>
      <c r="I82" s="120"/>
      <c r="J82" s="121"/>
      <c r="K82" s="119">
        <f>600+2242.97+2528.19</f>
        <v>5371.16</v>
      </c>
      <c r="L82" s="120"/>
      <c r="M82" s="121"/>
      <c r="N82" s="119">
        <f>600+2571.62+2246.21</f>
        <v>5417.83</v>
      </c>
      <c r="O82" s="120"/>
      <c r="P82" s="121"/>
      <c r="Q82" s="119">
        <f>600+2654.97+2246.21</f>
        <v>5501.18</v>
      </c>
      <c r="R82" s="120"/>
      <c r="S82" s="121"/>
      <c r="T82" s="119">
        <f>600+2759.14+2246.23</f>
        <v>5605.37</v>
      </c>
      <c r="U82" s="120"/>
      <c r="V82" s="121"/>
      <c r="W82" s="119">
        <f>2759.14+2441.19+600+1280.38</f>
        <v>7080.71</v>
      </c>
      <c r="X82" s="120"/>
      <c r="Y82" s="121"/>
      <c r="Z82" s="119">
        <f>600+1876.62+2246.23</f>
        <v>4722.8500000000004</v>
      </c>
      <c r="AA82" s="120"/>
      <c r="AB82" s="121"/>
      <c r="AC82" s="119">
        <f>600+2759.14+2246.23</f>
        <v>5605.37</v>
      </c>
      <c r="AD82" s="120"/>
      <c r="AE82" s="121"/>
      <c r="AF82" s="119">
        <f>600+2999.19+2285.84</f>
        <v>5885.0300000000007</v>
      </c>
      <c r="AG82" s="120"/>
      <c r="AH82" s="121"/>
      <c r="AI82" s="122">
        <f>600+2839.26+2259.43+521.01+1617.35+1267.33</f>
        <v>9104.380000000001</v>
      </c>
      <c r="AJ82" s="122"/>
      <c r="AK82" s="122"/>
      <c r="AL82" s="119">
        <f>600+2370.27+2645.18+1026.79+1221.91+2557.05</f>
        <v>10421.200000000001</v>
      </c>
      <c r="AM82" s="120"/>
      <c r="AN82" s="121"/>
      <c r="AO82" s="123">
        <f t="shared" si="5"/>
        <v>71118.569999999992</v>
      </c>
      <c r="AP82" s="124"/>
      <c r="AQ82" s="125"/>
      <c r="AR82" s="50">
        <f>AO82/AO103</f>
        <v>8.6016365353778795E-2</v>
      </c>
      <c r="AS82" s="90">
        <f>147202.02+AO82</f>
        <v>218320.58999999997</v>
      </c>
      <c r="AT82" s="90"/>
    </row>
    <row r="83" spans="1:46" x14ac:dyDescent="0.25">
      <c r="A83" s="52" t="s">
        <v>86</v>
      </c>
      <c r="B83" s="133">
        <v>119812.42</v>
      </c>
      <c r="C83" s="133"/>
      <c r="D83" s="133"/>
      <c r="E83" s="119">
        <f>35+47+47+14.1+94+488.27+380.7+503+47.63+66.81+66.81+31.4+45.25+47.63+1493.53+1493.53+78.96</f>
        <v>4980.62</v>
      </c>
      <c r="F83" s="120"/>
      <c r="G83" s="121"/>
      <c r="H83" s="119">
        <f>183.3+201.63+528+606.3+21.12</f>
        <v>1540.35</v>
      </c>
      <c r="I83" s="120"/>
      <c r="J83" s="121"/>
      <c r="K83" s="119">
        <f>184.98+532+449.62+93.29+61.2+371.3+677+1537.6</f>
        <v>3906.99</v>
      </c>
      <c r="L83" s="120"/>
      <c r="M83" s="121"/>
      <c r="N83" s="119">
        <f>449.62+97.24+1754.17+61.2+677</f>
        <v>3039.23</v>
      </c>
      <c r="O83" s="120"/>
      <c r="P83" s="121"/>
      <c r="Q83" s="119">
        <f>449.62+97.24+56.2+1754.17+709</f>
        <v>3066.23</v>
      </c>
      <c r="R83" s="120"/>
      <c r="S83" s="121"/>
      <c r="T83" s="119">
        <f>449.62+1854.14+549</f>
        <v>2852.76</v>
      </c>
      <c r="U83" s="120"/>
      <c r="V83" s="121"/>
      <c r="W83" s="119">
        <f>58.59+113.06+449.62+19.16+1835.58+699</f>
        <v>3175.0099999999998</v>
      </c>
      <c r="X83" s="120"/>
      <c r="Y83" s="121"/>
      <c r="Z83" s="119">
        <f>480.15+27.75+60.01+1891.33+108.1+699</f>
        <v>3266.3399999999997</v>
      </c>
      <c r="AA83" s="120"/>
      <c r="AB83" s="121"/>
      <c r="AC83" s="119">
        <f>449.62+500+97.25+2007.05+699+399.5+56.2</f>
        <v>4208.62</v>
      </c>
      <c r="AD83" s="120"/>
      <c r="AE83" s="121"/>
      <c r="AF83" s="119">
        <f>479.76+2158.5+815.4+568.7</f>
        <v>4022.3600000000006</v>
      </c>
      <c r="AG83" s="120"/>
      <c r="AH83" s="121"/>
      <c r="AI83" s="122">
        <f>459.67+142.82+57.45+2057.42+317.75+501.06</f>
        <v>3536.17</v>
      </c>
      <c r="AJ83" s="122"/>
      <c r="AK83" s="122"/>
      <c r="AL83" s="119">
        <f>748.9+2049.42+131.95+1813.33+304.85+568+121.45+64.76</f>
        <v>5802.6600000000008</v>
      </c>
      <c r="AM83" s="120"/>
      <c r="AN83" s="121"/>
      <c r="AO83" s="123">
        <f t="shared" si="5"/>
        <v>43397.34</v>
      </c>
      <c r="AP83" s="124"/>
      <c r="AQ83" s="125"/>
      <c r="AR83" s="50">
        <f>AO83/AO103</f>
        <v>5.2488139916510676E-2</v>
      </c>
      <c r="AS83" s="90">
        <f>119812.42+AO83</f>
        <v>163209.76</v>
      </c>
      <c r="AT83" s="90"/>
    </row>
    <row r="84" spans="1:46" x14ac:dyDescent="0.25">
      <c r="A84" s="47" t="s">
        <v>87</v>
      </c>
      <c r="B84" s="134">
        <f>SUM(B85:D89)</f>
        <v>21260.080000000002</v>
      </c>
      <c r="C84" s="134"/>
      <c r="D84" s="134"/>
      <c r="E84" s="126">
        <f>SUM(E85:G89)</f>
        <v>189.5</v>
      </c>
      <c r="F84" s="127"/>
      <c r="G84" s="128"/>
      <c r="H84" s="126">
        <f>SUM(H85:J89)</f>
        <v>34</v>
      </c>
      <c r="I84" s="127"/>
      <c r="J84" s="128"/>
      <c r="K84" s="126">
        <f>SUM(K85:M89)</f>
        <v>165.2</v>
      </c>
      <c r="L84" s="127"/>
      <c r="M84" s="128"/>
      <c r="N84" s="126">
        <f>SUM(N85:P89)</f>
        <v>0</v>
      </c>
      <c r="O84" s="127"/>
      <c r="P84" s="128"/>
      <c r="Q84" s="126">
        <f>SUM(Q85:S89)</f>
        <v>174.45999999999998</v>
      </c>
      <c r="R84" s="127"/>
      <c r="S84" s="128"/>
      <c r="T84" s="126">
        <f>SUM(T85:V89)</f>
        <v>237.11</v>
      </c>
      <c r="U84" s="127"/>
      <c r="V84" s="128"/>
      <c r="W84" s="126">
        <f>SUM(W85:Y89)</f>
        <v>116.2</v>
      </c>
      <c r="X84" s="127"/>
      <c r="Y84" s="128"/>
      <c r="Z84" s="126">
        <f>SUM(Z85:AB89)</f>
        <v>285.23</v>
      </c>
      <c r="AA84" s="127"/>
      <c r="AB84" s="128"/>
      <c r="AC84" s="126">
        <f>SUM(AC85:AE89)</f>
        <v>67.099999999999994</v>
      </c>
      <c r="AD84" s="127"/>
      <c r="AE84" s="128"/>
      <c r="AF84" s="126">
        <f>SUM(AF85:AH89)</f>
        <v>17</v>
      </c>
      <c r="AG84" s="127"/>
      <c r="AH84" s="128"/>
      <c r="AI84" s="126">
        <f>SUM(AI85:AK89)</f>
        <v>131.54</v>
      </c>
      <c r="AJ84" s="127"/>
      <c r="AK84" s="128"/>
      <c r="AL84" s="126">
        <f>SUM(AL85:AN89)</f>
        <v>17</v>
      </c>
      <c r="AM84" s="127"/>
      <c r="AN84" s="128"/>
      <c r="AO84" s="129">
        <f>SUM(AO85:AQ89)</f>
        <v>1434.3400000000001</v>
      </c>
      <c r="AP84" s="130"/>
      <c r="AQ84" s="131"/>
      <c r="AR84" s="48">
        <f>AO84/AO103</f>
        <v>1.7348030687560098E-3</v>
      </c>
      <c r="AS84" s="132">
        <f>SUM(AS85:AT89)</f>
        <v>22694.420000000002</v>
      </c>
      <c r="AT84" s="132"/>
    </row>
    <row r="85" spans="1:46" x14ac:dyDescent="0.25">
      <c r="A85" s="49" t="s">
        <v>88</v>
      </c>
      <c r="B85" s="133">
        <v>4832.0600000000004</v>
      </c>
      <c r="C85" s="133"/>
      <c r="D85" s="133"/>
      <c r="E85" s="119">
        <v>0</v>
      </c>
      <c r="F85" s="120"/>
      <c r="G85" s="121"/>
      <c r="H85" s="119">
        <v>0</v>
      </c>
      <c r="I85" s="120"/>
      <c r="J85" s="121"/>
      <c r="K85" s="119">
        <v>0</v>
      </c>
      <c r="L85" s="120"/>
      <c r="M85" s="121"/>
      <c r="N85" s="119">
        <v>0</v>
      </c>
      <c r="O85" s="120"/>
      <c r="P85" s="121"/>
      <c r="Q85" s="119">
        <v>0</v>
      </c>
      <c r="R85" s="120"/>
      <c r="S85" s="121"/>
      <c r="T85" s="119">
        <v>0</v>
      </c>
      <c r="U85" s="120"/>
      <c r="V85" s="121"/>
      <c r="W85" s="119">
        <v>0</v>
      </c>
      <c r="X85" s="120"/>
      <c r="Y85" s="121"/>
      <c r="Z85" s="119">
        <v>0</v>
      </c>
      <c r="AA85" s="120"/>
      <c r="AB85" s="121"/>
      <c r="AC85" s="119">
        <v>0</v>
      </c>
      <c r="AD85" s="120"/>
      <c r="AE85" s="121"/>
      <c r="AF85" s="119">
        <v>0</v>
      </c>
      <c r="AG85" s="120"/>
      <c r="AH85" s="121"/>
      <c r="AI85" s="122">
        <v>0</v>
      </c>
      <c r="AJ85" s="122"/>
      <c r="AK85" s="122"/>
      <c r="AL85" s="119">
        <v>0</v>
      </c>
      <c r="AM85" s="120"/>
      <c r="AN85" s="121"/>
      <c r="AO85" s="123">
        <f>0+E85+H85+K85+N85+Q85+T85+W85+Z85+AC85+AF85+AI85+AL85</f>
        <v>0</v>
      </c>
      <c r="AP85" s="124"/>
      <c r="AQ85" s="125"/>
      <c r="AR85" s="50">
        <f>AO85/AO103</f>
        <v>0</v>
      </c>
      <c r="AS85" s="90">
        <f>4832.06+AO85</f>
        <v>4832.0600000000004</v>
      </c>
      <c r="AT85" s="90"/>
    </row>
    <row r="86" spans="1:46" x14ac:dyDescent="0.25">
      <c r="A86" s="49" t="s">
        <v>89</v>
      </c>
      <c r="B86" s="123">
        <v>0</v>
      </c>
      <c r="C86" s="124"/>
      <c r="D86" s="125"/>
      <c r="E86" s="119">
        <v>0</v>
      </c>
      <c r="F86" s="120"/>
      <c r="G86" s="121"/>
      <c r="H86" s="119">
        <v>0</v>
      </c>
      <c r="I86" s="120"/>
      <c r="J86" s="121"/>
      <c r="K86" s="119">
        <v>0</v>
      </c>
      <c r="L86" s="120"/>
      <c r="M86" s="121"/>
      <c r="N86" s="119">
        <v>0</v>
      </c>
      <c r="O86" s="120"/>
      <c r="P86" s="121"/>
      <c r="Q86" s="119">
        <v>0</v>
      </c>
      <c r="R86" s="120"/>
      <c r="S86" s="121"/>
      <c r="T86" s="119">
        <v>0</v>
      </c>
      <c r="U86" s="120"/>
      <c r="V86" s="121"/>
      <c r="W86" s="119">
        <v>0</v>
      </c>
      <c r="X86" s="120"/>
      <c r="Y86" s="121"/>
      <c r="Z86" s="119">
        <v>0</v>
      </c>
      <c r="AA86" s="120"/>
      <c r="AB86" s="121"/>
      <c r="AC86" s="119">
        <v>0</v>
      </c>
      <c r="AD86" s="120"/>
      <c r="AE86" s="121"/>
      <c r="AF86" s="119">
        <v>0</v>
      </c>
      <c r="AG86" s="120"/>
      <c r="AH86" s="121"/>
      <c r="AI86" s="122">
        <v>0</v>
      </c>
      <c r="AJ86" s="122"/>
      <c r="AK86" s="122"/>
      <c r="AL86" s="119">
        <v>0</v>
      </c>
      <c r="AM86" s="120"/>
      <c r="AN86" s="121"/>
      <c r="AO86" s="123">
        <f t="shared" ref="AO86:AO89" si="6">0+E86+H86+K86+N86+Q86+T86+W86+Z86+AC86+AF86+AI86+AL86</f>
        <v>0</v>
      </c>
      <c r="AP86" s="124"/>
      <c r="AQ86" s="125"/>
      <c r="AR86" s="50">
        <f>AO86/AO103</f>
        <v>0</v>
      </c>
      <c r="AS86" s="90">
        <f>0+AO86</f>
        <v>0</v>
      </c>
      <c r="AT86" s="90"/>
    </row>
    <row r="87" spans="1:46" x14ac:dyDescent="0.25">
      <c r="A87" s="49" t="s">
        <v>90</v>
      </c>
      <c r="B87" s="123">
        <v>1100</v>
      </c>
      <c r="C87" s="124"/>
      <c r="D87" s="125"/>
      <c r="E87" s="119">
        <f>17</f>
        <v>17</v>
      </c>
      <c r="F87" s="120"/>
      <c r="G87" s="121"/>
      <c r="H87" s="119">
        <f>17+17</f>
        <v>34</v>
      </c>
      <c r="I87" s="120"/>
      <c r="J87" s="121"/>
      <c r="K87" s="119">
        <f>17+27</f>
        <v>44</v>
      </c>
      <c r="L87" s="120"/>
      <c r="M87" s="121"/>
      <c r="N87" s="119">
        <v>0</v>
      </c>
      <c r="O87" s="120"/>
      <c r="P87" s="121"/>
      <c r="Q87" s="119">
        <f>17+15</f>
        <v>32</v>
      </c>
      <c r="R87" s="120"/>
      <c r="S87" s="121"/>
      <c r="T87" s="119">
        <f>17+15+31.04+29.71+17.66</f>
        <v>110.41</v>
      </c>
      <c r="U87" s="120"/>
      <c r="V87" s="121"/>
      <c r="W87" s="119">
        <f>15+17</f>
        <v>32</v>
      </c>
      <c r="X87" s="120"/>
      <c r="Y87" s="121"/>
      <c r="Z87" s="119">
        <f>17+14</f>
        <v>31</v>
      </c>
      <c r="AA87" s="120"/>
      <c r="AB87" s="121"/>
      <c r="AC87" s="119">
        <f>17+15</f>
        <v>32</v>
      </c>
      <c r="AD87" s="120"/>
      <c r="AE87" s="121"/>
      <c r="AF87" s="119">
        <f>17</f>
        <v>17</v>
      </c>
      <c r="AG87" s="120"/>
      <c r="AH87" s="121"/>
      <c r="AI87" s="122">
        <f>22.54+17</f>
        <v>39.54</v>
      </c>
      <c r="AJ87" s="122"/>
      <c r="AK87" s="122"/>
      <c r="AL87" s="119">
        <f>17</f>
        <v>17</v>
      </c>
      <c r="AM87" s="120"/>
      <c r="AN87" s="121"/>
      <c r="AO87" s="123">
        <f t="shared" si="6"/>
        <v>405.95</v>
      </c>
      <c r="AP87" s="124"/>
      <c r="AQ87" s="125"/>
      <c r="AR87" s="50">
        <f>AO87/AO103</f>
        <v>4.9098770567752566E-4</v>
      </c>
      <c r="AS87" s="90">
        <f>1100+AO87</f>
        <v>1505.95</v>
      </c>
      <c r="AT87" s="90"/>
    </row>
    <row r="88" spans="1:46" x14ac:dyDescent="0.25">
      <c r="A88" s="49" t="s">
        <v>91</v>
      </c>
      <c r="B88" s="123">
        <v>14793.96</v>
      </c>
      <c r="C88" s="124"/>
      <c r="D88" s="125"/>
      <c r="E88" s="119">
        <f>35.1+107.4</f>
        <v>142.5</v>
      </c>
      <c r="F88" s="120"/>
      <c r="G88" s="121"/>
      <c r="H88" s="119">
        <v>0</v>
      </c>
      <c r="I88" s="120"/>
      <c r="J88" s="121"/>
      <c r="K88" s="119">
        <f>44.3+35.1</f>
        <v>79.400000000000006</v>
      </c>
      <c r="L88" s="120"/>
      <c r="M88" s="121"/>
      <c r="N88" s="119">
        <v>0</v>
      </c>
      <c r="O88" s="120"/>
      <c r="P88" s="121"/>
      <c r="Q88" s="119">
        <f>9.2+35.1+38.2</f>
        <v>82.5</v>
      </c>
      <c r="R88" s="120"/>
      <c r="S88" s="121"/>
      <c r="T88" s="119">
        <f>45.8+80.9</f>
        <v>126.7</v>
      </c>
      <c r="U88" s="120"/>
      <c r="V88" s="121"/>
      <c r="W88" s="119">
        <f>49.1+35.1</f>
        <v>84.2</v>
      </c>
      <c r="X88" s="120"/>
      <c r="Y88" s="121"/>
      <c r="Z88" s="119">
        <f>74.1+35.1+12.85+70.2+20.35</f>
        <v>212.6</v>
      </c>
      <c r="AA88" s="120"/>
      <c r="AB88" s="121"/>
      <c r="AC88" s="119">
        <f>35.1</f>
        <v>35.1</v>
      </c>
      <c r="AD88" s="120"/>
      <c r="AE88" s="121"/>
      <c r="AF88" s="119">
        <v>0</v>
      </c>
      <c r="AG88" s="120"/>
      <c r="AH88" s="121"/>
      <c r="AI88" s="122">
        <f>79</f>
        <v>79</v>
      </c>
      <c r="AJ88" s="122"/>
      <c r="AK88" s="122"/>
      <c r="AL88" s="119">
        <v>0</v>
      </c>
      <c r="AM88" s="120"/>
      <c r="AN88" s="121"/>
      <c r="AO88" s="123">
        <f t="shared" si="6"/>
        <v>842</v>
      </c>
      <c r="AP88" s="124"/>
      <c r="AQ88" s="125"/>
      <c r="AR88" s="50">
        <f>AO88/AO103</f>
        <v>1.0183807074281971E-3</v>
      </c>
      <c r="AS88" s="90">
        <f>14793.96+AO88</f>
        <v>15635.96</v>
      </c>
      <c r="AT88" s="90"/>
    </row>
    <row r="89" spans="1:46" x14ac:dyDescent="0.25">
      <c r="A89" s="49" t="s">
        <v>92</v>
      </c>
      <c r="B89" s="123">
        <v>534.05999999999995</v>
      </c>
      <c r="C89" s="124"/>
      <c r="D89" s="125"/>
      <c r="E89" s="119">
        <f>16+14</f>
        <v>30</v>
      </c>
      <c r="F89" s="120"/>
      <c r="G89" s="121"/>
      <c r="H89" s="119">
        <v>0</v>
      </c>
      <c r="I89" s="120"/>
      <c r="J89" s="121"/>
      <c r="K89" s="119">
        <f>11.6+15.2+15</f>
        <v>41.8</v>
      </c>
      <c r="L89" s="120"/>
      <c r="M89" s="121"/>
      <c r="N89" s="119">
        <v>0</v>
      </c>
      <c r="O89" s="120"/>
      <c r="P89" s="121"/>
      <c r="Q89" s="119">
        <f>11+15.3+33.66</f>
        <v>59.959999999999994</v>
      </c>
      <c r="R89" s="120"/>
      <c r="S89" s="121"/>
      <c r="T89" s="119">
        <v>0</v>
      </c>
      <c r="U89" s="120"/>
      <c r="V89" s="121"/>
      <c r="W89" s="119">
        <v>0</v>
      </c>
      <c r="X89" s="120"/>
      <c r="Y89" s="121"/>
      <c r="Z89" s="119">
        <f>33.23+8.4</f>
        <v>41.629999999999995</v>
      </c>
      <c r="AA89" s="120"/>
      <c r="AB89" s="121"/>
      <c r="AC89" s="119">
        <v>0</v>
      </c>
      <c r="AD89" s="120"/>
      <c r="AE89" s="121"/>
      <c r="AF89" s="119">
        <v>0</v>
      </c>
      <c r="AG89" s="120"/>
      <c r="AH89" s="121"/>
      <c r="AI89" s="122">
        <f>7.28+5.72</f>
        <v>13</v>
      </c>
      <c r="AJ89" s="122"/>
      <c r="AK89" s="122"/>
      <c r="AL89" s="119">
        <v>0</v>
      </c>
      <c r="AM89" s="120"/>
      <c r="AN89" s="121"/>
      <c r="AO89" s="123">
        <f t="shared" si="6"/>
        <v>186.39</v>
      </c>
      <c r="AP89" s="124"/>
      <c r="AQ89" s="125"/>
      <c r="AR89" s="50">
        <f>AO89/AO103</f>
        <v>2.2543465565028699E-4</v>
      </c>
      <c r="AS89" s="90">
        <f>534.06+AO89</f>
        <v>720.44999999999993</v>
      </c>
      <c r="AT89" s="90"/>
    </row>
    <row r="90" spans="1:46" x14ac:dyDescent="0.25">
      <c r="A90" s="47" t="s">
        <v>93</v>
      </c>
      <c r="B90" s="129">
        <f>SUM(B91:D94)</f>
        <v>273602.88</v>
      </c>
      <c r="C90" s="130"/>
      <c r="D90" s="131"/>
      <c r="E90" s="126">
        <f>SUM(E91:G94)</f>
        <v>10089.06</v>
      </c>
      <c r="F90" s="127"/>
      <c r="G90" s="128"/>
      <c r="H90" s="126">
        <f t="shared" ref="H90" si="7">SUM(H91:J94)</f>
        <v>200</v>
      </c>
      <c r="I90" s="127"/>
      <c r="J90" s="128"/>
      <c r="K90" s="126">
        <f t="shared" ref="K90" si="8">SUM(K91:M94)</f>
        <v>300</v>
      </c>
      <c r="L90" s="127"/>
      <c r="M90" s="128"/>
      <c r="N90" s="126">
        <f t="shared" ref="N90" si="9">SUM(N91:P94)</f>
        <v>0</v>
      </c>
      <c r="O90" s="127"/>
      <c r="P90" s="128"/>
      <c r="Q90" s="126">
        <f t="shared" ref="Q90" si="10">SUM(Q91:S94)</f>
        <v>5783.0499999999993</v>
      </c>
      <c r="R90" s="127"/>
      <c r="S90" s="128"/>
      <c r="T90" s="126">
        <f t="shared" ref="T90" si="11">SUM(T91:V94)</f>
        <v>0</v>
      </c>
      <c r="U90" s="127"/>
      <c r="V90" s="128"/>
      <c r="W90" s="126">
        <f t="shared" ref="W90" si="12">SUM(W91:Y94)</f>
        <v>0</v>
      </c>
      <c r="X90" s="127"/>
      <c r="Y90" s="128"/>
      <c r="Z90" s="126">
        <f t="shared" ref="Z90" si="13">SUM(Z91:AB94)</f>
        <v>461</v>
      </c>
      <c r="AA90" s="127"/>
      <c r="AB90" s="128"/>
      <c r="AC90" s="126">
        <f t="shared" ref="AC90" si="14">SUM(AC91:AE94)</f>
        <v>0</v>
      </c>
      <c r="AD90" s="127"/>
      <c r="AE90" s="128"/>
      <c r="AF90" s="126">
        <f t="shared" ref="AF90" si="15">SUM(AF91:AH94)</f>
        <v>0</v>
      </c>
      <c r="AG90" s="127"/>
      <c r="AH90" s="128"/>
      <c r="AI90" s="126">
        <f t="shared" ref="AI90" si="16">SUM(AI91:AK94)</f>
        <v>0</v>
      </c>
      <c r="AJ90" s="127"/>
      <c r="AK90" s="128"/>
      <c r="AL90" s="126">
        <f t="shared" ref="AL90" si="17">SUM(AL91:AN94)</f>
        <v>1280</v>
      </c>
      <c r="AM90" s="127"/>
      <c r="AN90" s="128"/>
      <c r="AO90" s="129">
        <f>SUM(AO91:AQ94)</f>
        <v>18113.11</v>
      </c>
      <c r="AP90" s="130"/>
      <c r="AQ90" s="131"/>
      <c r="AR90" s="48">
        <f>AO90/AO103</f>
        <v>2.1907413035065024E-2</v>
      </c>
      <c r="AS90" s="132">
        <f>SUM(AS91:AT94)</f>
        <v>291715.99</v>
      </c>
      <c r="AT90" s="132"/>
    </row>
    <row r="91" spans="1:46" x14ac:dyDescent="0.25">
      <c r="A91" s="49" t="s">
        <v>94</v>
      </c>
      <c r="B91" s="123">
        <f>93359.5</f>
        <v>93359.5</v>
      </c>
      <c r="C91" s="124"/>
      <c r="D91" s="125"/>
      <c r="E91" s="119">
        <f>9027.03+667.8</f>
        <v>9694.83</v>
      </c>
      <c r="F91" s="120"/>
      <c r="G91" s="121"/>
      <c r="H91" s="119">
        <v>0</v>
      </c>
      <c r="I91" s="120"/>
      <c r="J91" s="121"/>
      <c r="K91" s="119">
        <v>0</v>
      </c>
      <c r="L91" s="120"/>
      <c r="M91" s="121"/>
      <c r="N91" s="119">
        <v>0</v>
      </c>
      <c r="O91" s="120"/>
      <c r="P91" s="121"/>
      <c r="Q91" s="119">
        <f>4279.9+1503.15</f>
        <v>5783.0499999999993</v>
      </c>
      <c r="R91" s="120"/>
      <c r="S91" s="121"/>
      <c r="T91" s="119">
        <v>0</v>
      </c>
      <c r="U91" s="120"/>
      <c r="V91" s="121"/>
      <c r="W91" s="119">
        <v>0</v>
      </c>
      <c r="X91" s="120"/>
      <c r="Y91" s="121"/>
      <c r="Z91" s="119">
        <f>200+201</f>
        <v>401</v>
      </c>
      <c r="AA91" s="120"/>
      <c r="AB91" s="121"/>
      <c r="AC91" s="119">
        <v>0</v>
      </c>
      <c r="AD91" s="120"/>
      <c r="AE91" s="121"/>
      <c r="AF91" s="119">
        <v>0</v>
      </c>
      <c r="AG91" s="120"/>
      <c r="AH91" s="121"/>
      <c r="AI91" s="122">
        <v>0</v>
      </c>
      <c r="AJ91" s="122"/>
      <c r="AK91" s="122"/>
      <c r="AL91" s="119">
        <v>0</v>
      </c>
      <c r="AM91" s="120"/>
      <c r="AN91" s="121"/>
      <c r="AO91" s="123">
        <f>0+E91+H91+K91+N91+Q91+T91+W91+Z91+AC91+AF91+AI91+AL91</f>
        <v>15878.88</v>
      </c>
      <c r="AP91" s="124"/>
      <c r="AQ91" s="125"/>
      <c r="AR91" s="50">
        <f>AO91/AO103</f>
        <v>1.9205160389034973E-2</v>
      </c>
      <c r="AS91" s="90">
        <f>93359.5+AO91</f>
        <v>109238.38</v>
      </c>
      <c r="AT91" s="90"/>
    </row>
    <row r="92" spans="1:46" x14ac:dyDescent="0.25">
      <c r="A92" s="49" t="s">
        <v>95</v>
      </c>
      <c r="B92" s="123">
        <v>1000</v>
      </c>
      <c r="C92" s="124"/>
      <c r="D92" s="125"/>
      <c r="E92" s="119">
        <v>0</v>
      </c>
      <c r="F92" s="120"/>
      <c r="G92" s="121"/>
      <c r="H92" s="119">
        <f>200</f>
        <v>200</v>
      </c>
      <c r="I92" s="120"/>
      <c r="J92" s="121"/>
      <c r="K92" s="119">
        <v>0</v>
      </c>
      <c r="L92" s="120"/>
      <c r="M92" s="121"/>
      <c r="N92" s="119">
        <v>0</v>
      </c>
      <c r="O92" s="120"/>
      <c r="P92" s="121"/>
      <c r="Q92" s="119">
        <v>0</v>
      </c>
      <c r="R92" s="120"/>
      <c r="S92" s="121"/>
      <c r="T92" s="119">
        <v>0</v>
      </c>
      <c r="U92" s="120"/>
      <c r="V92" s="121"/>
      <c r="W92" s="119">
        <v>0</v>
      </c>
      <c r="X92" s="120"/>
      <c r="Y92" s="121"/>
      <c r="Z92" s="119">
        <v>0</v>
      </c>
      <c r="AA92" s="120"/>
      <c r="AB92" s="121"/>
      <c r="AC92" s="119">
        <v>0</v>
      </c>
      <c r="AD92" s="120"/>
      <c r="AE92" s="121"/>
      <c r="AF92" s="119">
        <v>0</v>
      </c>
      <c r="AG92" s="120"/>
      <c r="AH92" s="121"/>
      <c r="AI92" s="122">
        <v>0</v>
      </c>
      <c r="AJ92" s="122"/>
      <c r="AK92" s="122"/>
      <c r="AL92" s="119">
        <v>0</v>
      </c>
      <c r="AM92" s="120"/>
      <c r="AN92" s="121"/>
      <c r="AO92" s="123">
        <f t="shared" ref="AO92:AO94" si="18">0+E92+H92+K92+N92+Q92+T92+W92+Z92+AC92+AF92+AI92+AL92</f>
        <v>200</v>
      </c>
      <c r="AP92" s="124"/>
      <c r="AQ92" s="125"/>
      <c r="AR92" s="50">
        <f>AO92/AO103</f>
        <v>2.4189565497106819E-4</v>
      </c>
      <c r="AS92" s="90">
        <f>1000+AO92</f>
        <v>1200</v>
      </c>
      <c r="AT92" s="90"/>
    </row>
    <row r="93" spans="1:46" x14ac:dyDescent="0.25">
      <c r="A93" s="49" t="s">
        <v>96</v>
      </c>
      <c r="B93" s="123">
        <v>179183.38</v>
      </c>
      <c r="C93" s="124"/>
      <c r="D93" s="125"/>
      <c r="E93" s="119">
        <f>20+20+20+20+20+20+100+174.23</f>
        <v>394.23</v>
      </c>
      <c r="F93" s="120"/>
      <c r="G93" s="121"/>
      <c r="H93" s="119">
        <v>0</v>
      </c>
      <c r="I93" s="120"/>
      <c r="J93" s="121"/>
      <c r="K93" s="119">
        <f>120+180</f>
        <v>300</v>
      </c>
      <c r="L93" s="120"/>
      <c r="M93" s="121"/>
      <c r="N93" s="119">
        <v>0</v>
      </c>
      <c r="O93" s="120"/>
      <c r="P93" s="121"/>
      <c r="Q93" s="119">
        <v>0</v>
      </c>
      <c r="R93" s="120"/>
      <c r="S93" s="121"/>
      <c r="T93" s="119">
        <v>0</v>
      </c>
      <c r="U93" s="120"/>
      <c r="V93" s="121"/>
      <c r="W93" s="119">
        <v>0</v>
      </c>
      <c r="X93" s="120"/>
      <c r="Y93" s="121"/>
      <c r="Z93" s="119">
        <v>0</v>
      </c>
      <c r="AA93" s="120"/>
      <c r="AB93" s="121"/>
      <c r="AC93" s="119">
        <v>0</v>
      </c>
      <c r="AD93" s="120"/>
      <c r="AE93" s="121"/>
      <c r="AF93" s="119">
        <v>0</v>
      </c>
      <c r="AG93" s="120"/>
      <c r="AH93" s="121"/>
      <c r="AI93" s="122">
        <v>0</v>
      </c>
      <c r="AJ93" s="122"/>
      <c r="AK93" s="122"/>
      <c r="AL93" s="119">
        <f>80+80+80+80+80+80+80+80+480+80+80</f>
        <v>1280</v>
      </c>
      <c r="AM93" s="120"/>
      <c r="AN93" s="121"/>
      <c r="AO93" s="123">
        <f t="shared" si="18"/>
        <v>1974.23</v>
      </c>
      <c r="AP93" s="124"/>
      <c r="AQ93" s="125"/>
      <c r="AR93" s="50">
        <f>AO93/AO103</f>
        <v>2.3877882945676598E-3</v>
      </c>
      <c r="AS93" s="90">
        <f>179183.38+AO93</f>
        <v>181157.61000000002</v>
      </c>
      <c r="AT93" s="90"/>
    </row>
    <row r="94" spans="1:46" x14ac:dyDescent="0.25">
      <c r="A94" s="49" t="s">
        <v>97</v>
      </c>
      <c r="B94" s="123">
        <v>60</v>
      </c>
      <c r="C94" s="124"/>
      <c r="D94" s="125"/>
      <c r="E94" s="119">
        <v>0</v>
      </c>
      <c r="F94" s="120"/>
      <c r="G94" s="121"/>
      <c r="H94" s="119">
        <v>0</v>
      </c>
      <c r="I94" s="120"/>
      <c r="J94" s="121"/>
      <c r="K94" s="119">
        <v>0</v>
      </c>
      <c r="L94" s="120"/>
      <c r="M94" s="121"/>
      <c r="N94" s="119">
        <v>0</v>
      </c>
      <c r="O94" s="120"/>
      <c r="P94" s="121"/>
      <c r="Q94" s="119">
        <v>0</v>
      </c>
      <c r="R94" s="120"/>
      <c r="S94" s="121"/>
      <c r="T94" s="119">
        <v>0</v>
      </c>
      <c r="U94" s="120"/>
      <c r="V94" s="121"/>
      <c r="W94" s="119">
        <v>0</v>
      </c>
      <c r="X94" s="120"/>
      <c r="Y94" s="121"/>
      <c r="Z94" s="119">
        <f>60</f>
        <v>60</v>
      </c>
      <c r="AA94" s="120"/>
      <c r="AB94" s="121"/>
      <c r="AC94" s="119">
        <v>0</v>
      </c>
      <c r="AD94" s="120"/>
      <c r="AE94" s="121"/>
      <c r="AF94" s="119">
        <v>0</v>
      </c>
      <c r="AG94" s="120"/>
      <c r="AH94" s="121"/>
      <c r="AI94" s="122">
        <v>0</v>
      </c>
      <c r="AJ94" s="122"/>
      <c r="AK94" s="122"/>
      <c r="AL94" s="119">
        <v>0</v>
      </c>
      <c r="AM94" s="120"/>
      <c r="AN94" s="121"/>
      <c r="AO94" s="123">
        <f t="shared" si="18"/>
        <v>60</v>
      </c>
      <c r="AP94" s="124"/>
      <c r="AQ94" s="125"/>
      <c r="AR94" s="50">
        <f>AO94/AO103</f>
        <v>7.2568696491320456E-5</v>
      </c>
      <c r="AS94" s="90">
        <f>60+AO94</f>
        <v>120</v>
      </c>
      <c r="AT94" s="90"/>
    </row>
    <row r="95" spans="1:46" x14ac:dyDescent="0.25">
      <c r="A95" s="47" t="s">
        <v>98</v>
      </c>
      <c r="B95" s="129">
        <f>SUM(B96:D102)</f>
        <v>178248.91999999998</v>
      </c>
      <c r="C95" s="130"/>
      <c r="D95" s="131"/>
      <c r="E95" s="126">
        <f>SUM(E96:G102)</f>
        <v>4770.4400000000005</v>
      </c>
      <c r="F95" s="127"/>
      <c r="G95" s="128"/>
      <c r="H95" s="126">
        <f t="shared" ref="H95" si="19">SUM(H96:J102)</f>
        <v>6178.1900000000005</v>
      </c>
      <c r="I95" s="127"/>
      <c r="J95" s="128"/>
      <c r="K95" s="126">
        <f t="shared" ref="K95" si="20">SUM(K96:M102)</f>
        <v>8814.16</v>
      </c>
      <c r="L95" s="127"/>
      <c r="M95" s="128"/>
      <c r="N95" s="126">
        <f t="shared" ref="N95" si="21">SUM(N96:P102)</f>
        <v>0</v>
      </c>
      <c r="O95" s="127"/>
      <c r="P95" s="128"/>
      <c r="Q95" s="126">
        <f t="shared" ref="Q95" si="22">SUM(Q96:S102)</f>
        <v>0</v>
      </c>
      <c r="R95" s="127"/>
      <c r="S95" s="128"/>
      <c r="T95" s="126">
        <f t="shared" ref="T95" si="23">SUM(T96:V102)</f>
        <v>0</v>
      </c>
      <c r="U95" s="127"/>
      <c r="V95" s="128"/>
      <c r="W95" s="126">
        <f t="shared" ref="W95" si="24">SUM(W96:Y102)</f>
        <v>0</v>
      </c>
      <c r="X95" s="127"/>
      <c r="Y95" s="128"/>
      <c r="Z95" s="126">
        <f t="shared" ref="Z95" si="25">SUM(Z96:AB102)</f>
        <v>0</v>
      </c>
      <c r="AA95" s="127"/>
      <c r="AB95" s="128"/>
      <c r="AC95" s="126">
        <f t="shared" ref="AC95" si="26">SUM(AC96:AE102)</f>
        <v>0</v>
      </c>
      <c r="AD95" s="127"/>
      <c r="AE95" s="128"/>
      <c r="AF95" s="126">
        <f t="shared" ref="AF95" si="27">SUM(AF96:AH102)</f>
        <v>0</v>
      </c>
      <c r="AG95" s="127"/>
      <c r="AH95" s="128"/>
      <c r="AI95" s="126">
        <f t="shared" ref="AI95" si="28">SUM(AI96:AK102)</f>
        <v>0</v>
      </c>
      <c r="AJ95" s="127"/>
      <c r="AK95" s="128"/>
      <c r="AL95" s="126">
        <f t="shared" ref="AL95" si="29">SUM(AL96:AN102)</f>
        <v>0</v>
      </c>
      <c r="AM95" s="127"/>
      <c r="AN95" s="128"/>
      <c r="AO95" s="129">
        <f>SUM(AO96:AQ102)</f>
        <v>19762.79</v>
      </c>
      <c r="AP95" s="130"/>
      <c r="AQ95" s="131"/>
      <c r="AR95" s="48">
        <f>AO95/AO103</f>
        <v>2.3902665155528385E-2</v>
      </c>
      <c r="AS95" s="132">
        <f>SUM(AS96:AT102)</f>
        <v>198011.71000000002</v>
      </c>
      <c r="AT95" s="132"/>
    </row>
    <row r="96" spans="1:46" x14ac:dyDescent="0.25">
      <c r="A96" s="52" t="s">
        <v>99</v>
      </c>
      <c r="B96" s="123">
        <v>74980.759999999995</v>
      </c>
      <c r="C96" s="124"/>
      <c r="D96" s="125"/>
      <c r="E96" s="119">
        <v>2616.9499999999998</v>
      </c>
      <c r="F96" s="120"/>
      <c r="G96" s="121"/>
      <c r="H96" s="119">
        <f>1710.68+355.51+1760.11</f>
        <v>3826.3</v>
      </c>
      <c r="I96" s="120"/>
      <c r="J96" s="121"/>
      <c r="K96" s="119">
        <f>1556.68+1195.41</f>
        <v>2752.09</v>
      </c>
      <c r="L96" s="120"/>
      <c r="M96" s="121"/>
      <c r="N96" s="119">
        <v>0</v>
      </c>
      <c r="O96" s="120"/>
      <c r="P96" s="121"/>
      <c r="Q96" s="119">
        <v>0</v>
      </c>
      <c r="R96" s="120"/>
      <c r="S96" s="121"/>
      <c r="T96" s="119">
        <v>0</v>
      </c>
      <c r="U96" s="120"/>
      <c r="V96" s="121"/>
      <c r="W96" s="119">
        <v>0</v>
      </c>
      <c r="X96" s="120"/>
      <c r="Y96" s="121"/>
      <c r="Z96" s="119">
        <v>0</v>
      </c>
      <c r="AA96" s="120"/>
      <c r="AB96" s="121"/>
      <c r="AC96" s="119">
        <v>0</v>
      </c>
      <c r="AD96" s="120"/>
      <c r="AE96" s="121"/>
      <c r="AF96" s="119">
        <v>0</v>
      </c>
      <c r="AG96" s="120"/>
      <c r="AH96" s="121"/>
      <c r="AI96" s="122">
        <v>0</v>
      </c>
      <c r="AJ96" s="122"/>
      <c r="AK96" s="122"/>
      <c r="AL96" s="119">
        <v>0</v>
      </c>
      <c r="AM96" s="120"/>
      <c r="AN96" s="121"/>
      <c r="AO96" s="123">
        <f>0+E96+H96+K96+N96+Q96+T96+W96+Z96+AC96+AF96+AI96+AL96</f>
        <v>9195.34</v>
      </c>
      <c r="AP96" s="124"/>
      <c r="AQ96" s="125"/>
      <c r="AR96" s="50">
        <f>AO96/AO103</f>
        <v>1.112156395990831E-2</v>
      </c>
      <c r="AS96" s="90">
        <f>74980.76+AO96</f>
        <v>84176.099999999991</v>
      </c>
      <c r="AT96" s="90"/>
    </row>
    <row r="97" spans="1:47" x14ac:dyDescent="0.25">
      <c r="A97" s="52" t="s">
        <v>100</v>
      </c>
      <c r="B97" s="123">
        <v>19327.43</v>
      </c>
      <c r="C97" s="124"/>
      <c r="D97" s="125"/>
      <c r="E97" s="119">
        <v>0</v>
      </c>
      <c r="F97" s="120"/>
      <c r="G97" s="121"/>
      <c r="H97" s="119">
        <f>1034</f>
        <v>1034</v>
      </c>
      <c r="I97" s="120"/>
      <c r="J97" s="121"/>
      <c r="K97" s="119">
        <v>0</v>
      </c>
      <c r="L97" s="120"/>
      <c r="M97" s="121"/>
      <c r="N97" s="119">
        <v>0</v>
      </c>
      <c r="O97" s="120"/>
      <c r="P97" s="121"/>
      <c r="Q97" s="119">
        <v>0</v>
      </c>
      <c r="R97" s="120"/>
      <c r="S97" s="121"/>
      <c r="T97" s="119">
        <v>0</v>
      </c>
      <c r="U97" s="120"/>
      <c r="V97" s="121"/>
      <c r="W97" s="119">
        <v>0</v>
      </c>
      <c r="X97" s="120"/>
      <c r="Y97" s="121"/>
      <c r="Z97" s="119">
        <v>0</v>
      </c>
      <c r="AA97" s="120"/>
      <c r="AB97" s="121"/>
      <c r="AC97" s="119">
        <v>0</v>
      </c>
      <c r="AD97" s="120"/>
      <c r="AE97" s="121"/>
      <c r="AF97" s="119">
        <v>0</v>
      </c>
      <c r="AG97" s="120"/>
      <c r="AH97" s="121"/>
      <c r="AI97" s="122">
        <v>0</v>
      </c>
      <c r="AJ97" s="122"/>
      <c r="AK97" s="122"/>
      <c r="AL97" s="119">
        <v>0</v>
      </c>
      <c r="AM97" s="120"/>
      <c r="AN97" s="121"/>
      <c r="AO97" s="123">
        <f t="shared" ref="AO97:AO102" si="30">0+E97+H97+K97+N97+Q97+T97+W97+Z97+AC97+AF97+AI97+AL97</f>
        <v>1034</v>
      </c>
      <c r="AP97" s="124"/>
      <c r="AQ97" s="125"/>
      <c r="AR97" s="50">
        <f>AO97/AO103</f>
        <v>1.2506005362004225E-3</v>
      </c>
      <c r="AS97" s="90">
        <f>19327.43+AO97</f>
        <v>20361.43</v>
      </c>
      <c r="AT97" s="90"/>
    </row>
    <row r="98" spans="1:47" x14ac:dyDescent="0.25">
      <c r="A98" s="52" t="s">
        <v>101</v>
      </c>
      <c r="B98" s="123">
        <v>24884.52</v>
      </c>
      <c r="C98" s="124"/>
      <c r="D98" s="125"/>
      <c r="E98" s="119">
        <f>751.76</f>
        <v>751.76</v>
      </c>
      <c r="F98" s="120"/>
      <c r="G98" s="121"/>
      <c r="H98" s="119">
        <f>1317.89</f>
        <v>1317.89</v>
      </c>
      <c r="I98" s="120"/>
      <c r="J98" s="121"/>
      <c r="K98" s="119">
        <f>858</f>
        <v>858</v>
      </c>
      <c r="L98" s="120"/>
      <c r="M98" s="121"/>
      <c r="N98" s="119">
        <v>0</v>
      </c>
      <c r="O98" s="120"/>
      <c r="P98" s="121"/>
      <c r="Q98" s="119">
        <v>0</v>
      </c>
      <c r="R98" s="120"/>
      <c r="S98" s="121"/>
      <c r="T98" s="119">
        <v>0</v>
      </c>
      <c r="U98" s="120"/>
      <c r="V98" s="121"/>
      <c r="W98" s="119">
        <v>0</v>
      </c>
      <c r="X98" s="120"/>
      <c r="Y98" s="121"/>
      <c r="Z98" s="119">
        <v>0</v>
      </c>
      <c r="AA98" s="120"/>
      <c r="AB98" s="121"/>
      <c r="AC98" s="119">
        <v>0</v>
      </c>
      <c r="AD98" s="120"/>
      <c r="AE98" s="121"/>
      <c r="AF98" s="119">
        <v>0</v>
      </c>
      <c r="AG98" s="120"/>
      <c r="AH98" s="121"/>
      <c r="AI98" s="122">
        <v>0</v>
      </c>
      <c r="AJ98" s="122"/>
      <c r="AK98" s="122"/>
      <c r="AL98" s="119">
        <v>0</v>
      </c>
      <c r="AM98" s="120"/>
      <c r="AN98" s="121"/>
      <c r="AO98" s="123">
        <f t="shared" si="30"/>
        <v>2927.65</v>
      </c>
      <c r="AP98" s="124"/>
      <c r="AQ98" s="125"/>
      <c r="AR98" s="50">
        <f>AO98/AO103</f>
        <v>3.5409290713802389E-3</v>
      </c>
      <c r="AS98" s="90">
        <f>24884.52+AO98</f>
        <v>27812.170000000002</v>
      </c>
      <c r="AT98" s="90"/>
    </row>
    <row r="99" spans="1:47" x14ac:dyDescent="0.25">
      <c r="A99" s="52" t="s">
        <v>102</v>
      </c>
      <c r="B99" s="123">
        <v>6131.04</v>
      </c>
      <c r="C99" s="124"/>
      <c r="D99" s="125"/>
      <c r="E99" s="119">
        <v>0</v>
      </c>
      <c r="F99" s="120"/>
      <c r="G99" s="121"/>
      <c r="H99" s="119">
        <v>0</v>
      </c>
      <c r="I99" s="120"/>
      <c r="J99" s="121"/>
      <c r="K99" s="119">
        <f>1527.85</f>
        <v>1527.85</v>
      </c>
      <c r="L99" s="120"/>
      <c r="M99" s="121"/>
      <c r="N99" s="119">
        <v>0</v>
      </c>
      <c r="O99" s="120"/>
      <c r="P99" s="121"/>
      <c r="Q99" s="119">
        <v>0</v>
      </c>
      <c r="R99" s="120"/>
      <c r="S99" s="121"/>
      <c r="T99" s="119">
        <v>0</v>
      </c>
      <c r="U99" s="120"/>
      <c r="V99" s="121"/>
      <c r="W99" s="119">
        <v>0</v>
      </c>
      <c r="X99" s="120"/>
      <c r="Y99" s="121"/>
      <c r="Z99" s="119">
        <v>0</v>
      </c>
      <c r="AA99" s="120"/>
      <c r="AB99" s="121"/>
      <c r="AC99" s="119">
        <v>0</v>
      </c>
      <c r="AD99" s="120"/>
      <c r="AE99" s="121"/>
      <c r="AF99" s="119">
        <v>0</v>
      </c>
      <c r="AG99" s="120"/>
      <c r="AH99" s="121"/>
      <c r="AI99" s="122">
        <v>0</v>
      </c>
      <c r="AJ99" s="122"/>
      <c r="AK99" s="122"/>
      <c r="AL99" s="119">
        <v>0</v>
      </c>
      <c r="AM99" s="120"/>
      <c r="AN99" s="121"/>
      <c r="AO99" s="123">
        <f t="shared" si="30"/>
        <v>1527.85</v>
      </c>
      <c r="AP99" s="124"/>
      <c r="AQ99" s="125"/>
      <c r="AR99" s="53">
        <f>AO99/AO103</f>
        <v>1.8479013822377325E-3</v>
      </c>
      <c r="AS99" s="90">
        <f>6131.04+AO99</f>
        <v>7658.8899999999994</v>
      </c>
      <c r="AT99" s="90"/>
    </row>
    <row r="100" spans="1:47" x14ac:dyDescent="0.25">
      <c r="A100" s="52" t="s">
        <v>103</v>
      </c>
      <c r="B100" s="123">
        <v>8096.72</v>
      </c>
      <c r="C100" s="124"/>
      <c r="D100" s="125"/>
      <c r="E100" s="119">
        <v>0</v>
      </c>
      <c r="F100" s="120"/>
      <c r="G100" s="121"/>
      <c r="H100" s="119">
        <v>0</v>
      </c>
      <c r="I100" s="120"/>
      <c r="J100" s="121"/>
      <c r="K100" s="119">
        <f>774.85</f>
        <v>774.85</v>
      </c>
      <c r="L100" s="120"/>
      <c r="M100" s="121"/>
      <c r="N100" s="119">
        <v>0</v>
      </c>
      <c r="O100" s="120"/>
      <c r="P100" s="121"/>
      <c r="Q100" s="119">
        <v>0</v>
      </c>
      <c r="R100" s="120"/>
      <c r="S100" s="121"/>
      <c r="T100" s="119">
        <v>0</v>
      </c>
      <c r="U100" s="120"/>
      <c r="V100" s="121"/>
      <c r="W100" s="119">
        <v>0</v>
      </c>
      <c r="X100" s="120"/>
      <c r="Y100" s="121"/>
      <c r="Z100" s="119">
        <v>0</v>
      </c>
      <c r="AA100" s="120"/>
      <c r="AB100" s="121"/>
      <c r="AC100" s="119">
        <v>0</v>
      </c>
      <c r="AD100" s="120"/>
      <c r="AE100" s="121"/>
      <c r="AF100" s="119">
        <v>0</v>
      </c>
      <c r="AG100" s="120"/>
      <c r="AH100" s="121"/>
      <c r="AI100" s="122">
        <v>0</v>
      </c>
      <c r="AJ100" s="122"/>
      <c r="AK100" s="122"/>
      <c r="AL100" s="119">
        <v>0</v>
      </c>
      <c r="AM100" s="120"/>
      <c r="AN100" s="121"/>
      <c r="AO100" s="123">
        <f t="shared" si="30"/>
        <v>774.85</v>
      </c>
      <c r="AP100" s="124"/>
      <c r="AQ100" s="125"/>
      <c r="AR100" s="50">
        <f>AO100/AO103</f>
        <v>9.3716424127166095E-4</v>
      </c>
      <c r="AS100" s="90">
        <f>8096.72+AO100</f>
        <v>8871.57</v>
      </c>
      <c r="AT100" s="90"/>
    </row>
    <row r="101" spans="1:47" x14ac:dyDescent="0.25">
      <c r="A101" s="52" t="s">
        <v>104</v>
      </c>
      <c r="B101" s="123">
        <v>14414.08</v>
      </c>
      <c r="C101" s="124"/>
      <c r="D101" s="125"/>
      <c r="E101" s="119">
        <v>0</v>
      </c>
      <c r="F101" s="120"/>
      <c r="G101" s="121"/>
      <c r="H101" s="119">
        <v>0</v>
      </c>
      <c r="I101" s="120"/>
      <c r="J101" s="121"/>
      <c r="K101" s="119">
        <v>0</v>
      </c>
      <c r="L101" s="120"/>
      <c r="M101" s="121"/>
      <c r="N101" s="119">
        <v>0</v>
      </c>
      <c r="O101" s="120"/>
      <c r="P101" s="121"/>
      <c r="Q101" s="119">
        <v>0</v>
      </c>
      <c r="R101" s="120"/>
      <c r="S101" s="121"/>
      <c r="T101" s="119">
        <v>0</v>
      </c>
      <c r="U101" s="120"/>
      <c r="V101" s="121"/>
      <c r="W101" s="119">
        <v>0</v>
      </c>
      <c r="X101" s="120"/>
      <c r="Y101" s="121"/>
      <c r="Z101" s="119">
        <v>0</v>
      </c>
      <c r="AA101" s="120"/>
      <c r="AB101" s="121"/>
      <c r="AC101" s="119">
        <v>0</v>
      </c>
      <c r="AD101" s="120"/>
      <c r="AE101" s="121"/>
      <c r="AF101" s="119">
        <v>0</v>
      </c>
      <c r="AG101" s="120"/>
      <c r="AH101" s="121"/>
      <c r="AI101" s="122">
        <v>0</v>
      </c>
      <c r="AJ101" s="122"/>
      <c r="AK101" s="122"/>
      <c r="AL101" s="119">
        <v>0</v>
      </c>
      <c r="AM101" s="120"/>
      <c r="AN101" s="121"/>
      <c r="AO101" s="123">
        <f t="shared" si="30"/>
        <v>0</v>
      </c>
      <c r="AP101" s="124"/>
      <c r="AQ101" s="125"/>
      <c r="AR101" s="50">
        <f>AO101/AO103</f>
        <v>0</v>
      </c>
      <c r="AS101" s="90">
        <f>14414.08+AO101</f>
        <v>14414.08</v>
      </c>
      <c r="AT101" s="90"/>
    </row>
    <row r="102" spans="1:47" x14ac:dyDescent="0.25">
      <c r="A102" s="52" t="s">
        <v>105</v>
      </c>
      <c r="B102" s="123">
        <v>30414.37</v>
      </c>
      <c r="C102" s="124"/>
      <c r="D102" s="125"/>
      <c r="E102" s="119">
        <f>1045.9+241.2+12.73+21.9+30+50</f>
        <v>1401.7300000000002</v>
      </c>
      <c r="F102" s="120"/>
      <c r="G102" s="121"/>
      <c r="H102" s="119">
        <v>0</v>
      </c>
      <c r="I102" s="120"/>
      <c r="J102" s="121"/>
      <c r="K102" s="119">
        <f>2901.37</f>
        <v>2901.37</v>
      </c>
      <c r="L102" s="120"/>
      <c r="M102" s="121"/>
      <c r="N102" s="119">
        <v>0</v>
      </c>
      <c r="O102" s="120"/>
      <c r="P102" s="121"/>
      <c r="Q102" s="119">
        <v>0</v>
      </c>
      <c r="R102" s="120"/>
      <c r="S102" s="121"/>
      <c r="T102" s="119">
        <v>0</v>
      </c>
      <c r="U102" s="120"/>
      <c r="V102" s="121"/>
      <c r="W102" s="119">
        <v>0</v>
      </c>
      <c r="X102" s="120"/>
      <c r="Y102" s="121"/>
      <c r="Z102" s="119">
        <v>0</v>
      </c>
      <c r="AA102" s="120"/>
      <c r="AB102" s="121"/>
      <c r="AC102" s="119">
        <v>0</v>
      </c>
      <c r="AD102" s="120"/>
      <c r="AE102" s="121"/>
      <c r="AF102" s="119">
        <v>0</v>
      </c>
      <c r="AG102" s="120"/>
      <c r="AH102" s="121"/>
      <c r="AI102" s="122">
        <v>0</v>
      </c>
      <c r="AJ102" s="122"/>
      <c r="AK102" s="122"/>
      <c r="AL102" s="119">
        <v>0</v>
      </c>
      <c r="AM102" s="120"/>
      <c r="AN102" s="121"/>
      <c r="AO102" s="123">
        <f t="shared" si="30"/>
        <v>4303.1000000000004</v>
      </c>
      <c r="AP102" s="124"/>
      <c r="AQ102" s="125"/>
      <c r="AR102" s="50">
        <f>AO102/AO103</f>
        <v>5.2045059645300182E-3</v>
      </c>
      <c r="AS102" s="90">
        <f>30414.37+AO102</f>
        <v>34717.47</v>
      </c>
      <c r="AT102" s="90"/>
    </row>
    <row r="103" spans="1:47" x14ac:dyDescent="0.25">
      <c r="A103" s="54" t="s">
        <v>106</v>
      </c>
      <c r="B103" s="115">
        <v>665976.37</v>
      </c>
      <c r="C103" s="116"/>
      <c r="D103" s="117"/>
      <c r="E103" s="115">
        <f>E33+E42+E46+E50+E64+E69+E84+E90+E95</f>
        <v>60661.509999999995</v>
      </c>
      <c r="F103" s="116"/>
      <c r="G103" s="117"/>
      <c r="H103" s="115">
        <f>H33+H42+H46+H50+H64+H69+H84+H90+H95</f>
        <v>41855.070000000007</v>
      </c>
      <c r="I103" s="116"/>
      <c r="J103" s="117"/>
      <c r="K103" s="115">
        <f>K33+K42+K46+K50+K64+K69+K84+K90+K95</f>
        <v>48116</v>
      </c>
      <c r="L103" s="116"/>
      <c r="M103" s="117"/>
      <c r="N103" s="115">
        <f>N33+N42+N46+N50+N64+N69+N84+N90+N95</f>
        <v>72473.42</v>
      </c>
      <c r="O103" s="116"/>
      <c r="P103" s="117"/>
      <c r="Q103" s="115">
        <f>Q33+Q42+Q46+Q50+Q64+Q69+Q84+Q90+Q95</f>
        <v>60471.19</v>
      </c>
      <c r="R103" s="116"/>
      <c r="S103" s="117"/>
      <c r="T103" s="115">
        <f>T33+T42+T46+T50+T64+T69+T84+T90+T95</f>
        <v>82771.33</v>
      </c>
      <c r="U103" s="116"/>
      <c r="V103" s="117"/>
      <c r="W103" s="115">
        <f>W33+W42+W46+W50+W64+W69+W84+W90+W95</f>
        <v>33141.39</v>
      </c>
      <c r="X103" s="116"/>
      <c r="Y103" s="117"/>
      <c r="Z103" s="115">
        <f>Z33+Z42+Z46+Z50+Z64+Z69+Z84+Z90+Z95</f>
        <v>44031.850000000006</v>
      </c>
      <c r="AA103" s="116"/>
      <c r="AB103" s="117"/>
      <c r="AC103" s="115">
        <f>AC33+AC42+AC46+AC50+AC64+AC69+AC84+AC90+AC95</f>
        <v>34193.810000000005</v>
      </c>
      <c r="AD103" s="116"/>
      <c r="AE103" s="117"/>
      <c r="AF103" s="115">
        <f>AF33+AF42+AF46+AF50+AF64+AF69+AF84+AF90+AF95</f>
        <v>124250.72</v>
      </c>
      <c r="AG103" s="116"/>
      <c r="AH103" s="117"/>
      <c r="AI103" s="115">
        <f>AI33+AI42+AI46+AI50+AI64+AI69+AI84+AI90+AI95</f>
        <v>106934.61</v>
      </c>
      <c r="AJ103" s="116"/>
      <c r="AK103" s="117"/>
      <c r="AL103" s="115">
        <f>AL33+AL42+AL46+AL50+AL64+AL69+AL84+AL90+AL95</f>
        <v>117901.87999999999</v>
      </c>
      <c r="AM103" s="116"/>
      <c r="AN103" s="117"/>
      <c r="AO103" s="115">
        <f>SUM(AO33+AO42+AO46+AO50+AO64+AO69+AO84+AO90+AO95)</f>
        <v>826802.78</v>
      </c>
      <c r="AP103" s="116"/>
      <c r="AQ103" s="117"/>
      <c r="AR103" s="55">
        <f>AO103/AO103</f>
        <v>1</v>
      </c>
      <c r="AS103" s="118">
        <f>SUM(AS33+AS42+AS46+AS50+AS64+AS69+AS84+AS90+AS95)</f>
        <v>2863003.92</v>
      </c>
      <c r="AT103" s="118"/>
    </row>
    <row r="104" spans="1:47" x14ac:dyDescent="0.25">
      <c r="A104" s="56" t="s">
        <v>107</v>
      </c>
      <c r="B104" s="100">
        <f>D27-B105</f>
        <v>2150247.92</v>
      </c>
      <c r="C104" s="101"/>
      <c r="D104" s="102"/>
      <c r="E104" s="114">
        <f>G27-E103</f>
        <v>63337.280000000013</v>
      </c>
      <c r="F104" s="114"/>
      <c r="G104" s="114"/>
      <c r="H104" s="114">
        <f>J27-H103</f>
        <v>79118.739999999991</v>
      </c>
      <c r="I104" s="114"/>
      <c r="J104" s="114"/>
      <c r="K104" s="114">
        <f>M27-K103</f>
        <v>-39763.53</v>
      </c>
      <c r="L104" s="114"/>
      <c r="M104" s="114"/>
      <c r="N104" s="114">
        <f>P27-N103</f>
        <v>49000.380000000005</v>
      </c>
      <c r="O104" s="114"/>
      <c r="P104" s="114"/>
      <c r="Q104" s="114">
        <f>S27-Q103</f>
        <v>-53036.22</v>
      </c>
      <c r="R104" s="114"/>
      <c r="S104" s="114"/>
      <c r="T104" s="114">
        <f>V27-T103</f>
        <v>38238.990000000005</v>
      </c>
      <c r="U104" s="114"/>
      <c r="V104" s="114"/>
      <c r="W104" s="114">
        <f>Y27-W103</f>
        <v>-26645.759999999998</v>
      </c>
      <c r="X104" s="114"/>
      <c r="Y104" s="114"/>
      <c r="Z104" s="114">
        <f>AB27-Z103</f>
        <v>85346.12</v>
      </c>
      <c r="AA104" s="114"/>
      <c r="AB104" s="114"/>
      <c r="AC104" s="114">
        <f>AE27-AC103</f>
        <v>-26560.850000000006</v>
      </c>
      <c r="AD104" s="114"/>
      <c r="AE104" s="114"/>
      <c r="AF104" s="114">
        <f>AH27-AF103</f>
        <v>21238.410000000003</v>
      </c>
      <c r="AG104" s="114"/>
      <c r="AH104" s="114"/>
      <c r="AI104" s="114">
        <f>AK27-AI103</f>
        <v>-46794.99</v>
      </c>
      <c r="AJ104" s="114"/>
      <c r="AK104" s="114"/>
      <c r="AL104" s="114">
        <f>AN27-AL103</f>
        <v>37413.590000000011</v>
      </c>
      <c r="AM104" s="114"/>
      <c r="AN104" s="114"/>
      <c r="AO104" s="100">
        <f>AQ27-AO103</f>
        <v>180892.16000000003</v>
      </c>
      <c r="AP104" s="101"/>
      <c r="AQ104" s="102"/>
      <c r="AR104" s="103">
        <f>AT27-AS103</f>
        <v>2331140.08</v>
      </c>
      <c r="AS104" s="103"/>
      <c r="AT104" s="103"/>
    </row>
    <row r="105" spans="1:47" x14ac:dyDescent="0.25">
      <c r="A105" s="57" t="s">
        <v>108</v>
      </c>
      <c r="B105" s="104">
        <v>2036201.14</v>
      </c>
      <c r="C105" s="104"/>
      <c r="D105" s="104"/>
      <c r="E105" s="58"/>
      <c r="F105" s="58"/>
      <c r="G105" s="58"/>
      <c r="H105" s="59"/>
      <c r="I105" s="59"/>
      <c r="J105" s="58"/>
      <c r="K105" s="59"/>
      <c r="L105" s="59"/>
      <c r="M105" s="58"/>
      <c r="N105" s="59"/>
      <c r="O105" s="59"/>
      <c r="P105" s="58"/>
      <c r="Q105" s="59"/>
      <c r="R105" s="59"/>
      <c r="S105" s="58"/>
      <c r="T105" s="59"/>
      <c r="U105" s="59"/>
      <c r="V105" s="58"/>
      <c r="W105" s="59"/>
      <c r="X105" s="59"/>
      <c r="Y105" s="58"/>
      <c r="Z105" s="59"/>
      <c r="AA105" s="59"/>
      <c r="AB105" s="58"/>
      <c r="AC105" s="59"/>
      <c r="AD105" s="59"/>
      <c r="AE105" s="58"/>
      <c r="AF105" s="59"/>
      <c r="AG105" s="59"/>
      <c r="AH105" s="58"/>
      <c r="AI105" s="59"/>
      <c r="AJ105" s="59"/>
      <c r="AK105" s="58"/>
      <c r="AL105" s="59"/>
      <c r="AM105" s="59"/>
      <c r="AN105" s="58"/>
      <c r="AO105" s="59"/>
      <c r="AP105" s="59"/>
      <c r="AQ105" s="59"/>
      <c r="AR105" s="105"/>
      <c r="AS105" s="105"/>
      <c r="AT105" s="105"/>
    </row>
    <row r="106" spans="1:47" x14ac:dyDescent="0.25">
      <c r="A106" s="106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</row>
    <row r="107" spans="1:47" x14ac:dyDescent="0.25">
      <c r="A107" s="108"/>
      <c r="B107" s="108"/>
      <c r="C107" s="108"/>
      <c r="D107" s="108"/>
      <c r="E107" s="108"/>
      <c r="F107" s="108"/>
      <c r="G107" s="108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</row>
    <row r="108" spans="1:47" x14ac:dyDescent="0.25">
      <c r="A108" s="60" t="s">
        <v>109</v>
      </c>
      <c r="B108" s="109" t="s">
        <v>110</v>
      </c>
      <c r="C108" s="110"/>
      <c r="D108" s="110"/>
      <c r="E108" s="111" t="s">
        <v>3</v>
      </c>
      <c r="F108" s="112"/>
      <c r="G108" s="113"/>
      <c r="H108" s="99" t="s">
        <v>4</v>
      </c>
      <c r="I108" s="99"/>
      <c r="J108" s="99"/>
      <c r="K108" s="99" t="s">
        <v>5</v>
      </c>
      <c r="L108" s="99"/>
      <c r="M108" s="99"/>
      <c r="N108" s="99" t="s">
        <v>6</v>
      </c>
      <c r="O108" s="99"/>
      <c r="P108" s="99"/>
      <c r="Q108" s="99" t="s">
        <v>7</v>
      </c>
      <c r="R108" s="99"/>
      <c r="S108" s="99"/>
      <c r="T108" s="98" t="s">
        <v>8</v>
      </c>
      <c r="U108" s="98"/>
      <c r="V108" s="98"/>
      <c r="W108" s="98" t="s">
        <v>9</v>
      </c>
      <c r="X108" s="98"/>
      <c r="Y108" s="98"/>
      <c r="Z108" s="98" t="s">
        <v>10</v>
      </c>
      <c r="AA108" s="98"/>
      <c r="AB108" s="98"/>
      <c r="AC108" s="98" t="s">
        <v>11</v>
      </c>
      <c r="AD108" s="98"/>
      <c r="AE108" s="98"/>
      <c r="AF108" s="98" t="s">
        <v>12</v>
      </c>
      <c r="AG108" s="98"/>
      <c r="AH108" s="98"/>
      <c r="AI108" s="98" t="s">
        <v>24</v>
      </c>
      <c r="AJ108" s="98"/>
      <c r="AK108" s="98"/>
      <c r="AL108" s="98" t="s">
        <v>25</v>
      </c>
      <c r="AM108" s="98"/>
      <c r="AN108" s="98"/>
      <c r="AO108" s="61"/>
      <c r="AP108" s="61"/>
      <c r="AQ108" s="61"/>
      <c r="AR108" s="61"/>
      <c r="AS108" s="61"/>
      <c r="AT108" s="61"/>
    </row>
    <row r="109" spans="1:47" x14ac:dyDescent="0.25">
      <c r="A109" s="62" t="s">
        <v>111</v>
      </c>
      <c r="B109" s="84">
        <f>344608.99</f>
        <v>344608.99</v>
      </c>
      <c r="C109" s="85"/>
      <c r="D109" s="86"/>
      <c r="E109" s="91">
        <f>B109+103000+1258.22-33476.8-48.46</f>
        <v>415341.94999999995</v>
      </c>
      <c r="F109" s="92"/>
      <c r="G109" s="93"/>
      <c r="H109" s="96">
        <f>E109-33646.97+989.67-72.49</f>
        <v>382612.16</v>
      </c>
      <c r="I109" s="96"/>
      <c r="J109" s="96"/>
      <c r="K109" s="96">
        <f>H109+100000-36971.24-103.47+1353.08</f>
        <v>446890.53</v>
      </c>
      <c r="L109" s="96"/>
      <c r="M109" s="96"/>
      <c r="N109" s="91">
        <f>K109+994.9-163-53478.09</f>
        <v>394244.34000000008</v>
      </c>
      <c r="O109" s="92"/>
      <c r="P109" s="93"/>
      <c r="Q109" s="78">
        <f>N109+766.4-808.1-56378.6</f>
        <v>337824.04000000015</v>
      </c>
      <c r="R109" s="78"/>
      <c r="S109" s="78"/>
      <c r="T109" s="78">
        <f>Q109+573.82-97.86-70257.38</f>
        <v>268042.62000000017</v>
      </c>
      <c r="U109" s="78"/>
      <c r="V109" s="78"/>
      <c r="W109" s="78">
        <f>T109+397.83-28480.77-46.61</f>
        <v>239913.07000000021</v>
      </c>
      <c r="X109" s="78"/>
      <c r="Y109" s="78"/>
      <c r="Z109" s="78">
        <f>W109-23014.71-43.74+282.95</f>
        <v>217137.57000000024</v>
      </c>
      <c r="AA109" s="78"/>
      <c r="AB109" s="78"/>
      <c r="AC109" s="78">
        <f>Z109-21363.45-256.33-39.42</f>
        <v>195478.37000000023</v>
      </c>
      <c r="AD109" s="78"/>
      <c r="AE109" s="78"/>
      <c r="AF109" s="94">
        <f>AC109-95791.56+23.74-102.43</f>
        <v>99608.120000000243</v>
      </c>
      <c r="AG109" s="95"/>
      <c r="AH109" s="95"/>
      <c r="AI109" s="78">
        <f>AF109-54714.2-108+61.05</f>
        <v>44846.970000000249</v>
      </c>
      <c r="AJ109" s="78"/>
      <c r="AK109" s="78"/>
      <c r="AL109" s="78">
        <f>AI109+156000+128.83-2.08-2517.39</f>
        <v>198456.33000000025</v>
      </c>
      <c r="AM109" s="78"/>
      <c r="AN109" s="78"/>
      <c r="AO109" s="61"/>
      <c r="AP109" s="61"/>
      <c r="AQ109" s="61"/>
      <c r="AR109" s="61"/>
      <c r="AS109" s="61"/>
      <c r="AT109" s="61"/>
    </row>
    <row r="110" spans="1:47" x14ac:dyDescent="0.25">
      <c r="A110" s="62" t="s">
        <v>112</v>
      </c>
      <c r="B110" s="84">
        <v>675639.54</v>
      </c>
      <c r="C110" s="85"/>
      <c r="D110" s="86"/>
      <c r="E110" s="91">
        <f>B110+100000+2528.85</f>
        <v>778168.39</v>
      </c>
      <c r="F110" s="92"/>
      <c r="G110" s="93"/>
      <c r="H110" s="96">
        <f>E110+2097.79</f>
        <v>780266.18</v>
      </c>
      <c r="I110" s="96"/>
      <c r="J110" s="96"/>
      <c r="K110" s="96">
        <f>H110+748.68</f>
        <v>781014.8600000001</v>
      </c>
      <c r="L110" s="96"/>
      <c r="M110" s="96"/>
      <c r="N110" s="87">
        <f>K110-462.33</f>
        <v>780552.53000000014</v>
      </c>
      <c r="O110" s="88"/>
      <c r="P110" s="89"/>
      <c r="Q110" s="90">
        <f>N110+2494.19-1448.28</f>
        <v>781598.44000000006</v>
      </c>
      <c r="R110" s="90"/>
      <c r="S110" s="90"/>
      <c r="T110" s="78">
        <f>Q110+1968.57</f>
        <v>783567.01</v>
      </c>
      <c r="U110" s="78"/>
      <c r="V110" s="78"/>
      <c r="W110" s="78">
        <f>T110+100000+2362.86</f>
        <v>885929.87</v>
      </c>
      <c r="X110" s="78"/>
      <c r="Y110" s="78"/>
      <c r="Z110" s="78">
        <f>W110+1202.2</f>
        <v>887132.07</v>
      </c>
      <c r="AA110" s="78"/>
      <c r="AB110" s="78"/>
      <c r="AC110" s="94">
        <f>Z110+100000+94.92</f>
        <v>987226.99</v>
      </c>
      <c r="AD110" s="95"/>
      <c r="AE110" s="95"/>
      <c r="AF110" s="94">
        <f>AC110+903.26</f>
        <v>988130.25</v>
      </c>
      <c r="AG110" s="95"/>
      <c r="AH110" s="95"/>
      <c r="AI110" s="94">
        <f>AF110-1226.21+1658.2+100000</f>
        <v>1088562.24</v>
      </c>
      <c r="AJ110" s="95"/>
      <c r="AK110" s="95"/>
      <c r="AL110" s="94">
        <f>AI110+4697.79</f>
        <v>1093260.03</v>
      </c>
      <c r="AM110" s="95"/>
      <c r="AN110" s="95"/>
      <c r="AQ110" s="97"/>
      <c r="AR110" s="97"/>
      <c r="AS110" s="97"/>
      <c r="AT110" s="97"/>
    </row>
    <row r="111" spans="1:47" x14ac:dyDescent="0.25">
      <c r="A111" s="62" t="s">
        <v>113</v>
      </c>
      <c r="B111" s="84">
        <v>0</v>
      </c>
      <c r="C111" s="85"/>
      <c r="D111" s="86"/>
      <c r="E111" s="91">
        <v>0</v>
      </c>
      <c r="F111" s="92"/>
      <c r="G111" s="93"/>
      <c r="H111" s="91">
        <v>0</v>
      </c>
      <c r="I111" s="92"/>
      <c r="J111" s="93"/>
      <c r="K111" s="91">
        <v>0</v>
      </c>
      <c r="L111" s="92"/>
      <c r="M111" s="93"/>
      <c r="N111" s="91">
        <f>100000+25.38</f>
        <v>100025.38</v>
      </c>
      <c r="O111" s="92"/>
      <c r="P111" s="93"/>
      <c r="Q111" s="78">
        <f>N111+209.71-35.26</f>
        <v>100199.83000000002</v>
      </c>
      <c r="R111" s="78"/>
      <c r="S111" s="78"/>
      <c r="T111" s="78">
        <f>Q111+184.59</f>
        <v>100384.42000000001</v>
      </c>
      <c r="U111" s="78"/>
      <c r="V111" s="78"/>
      <c r="W111" s="78">
        <f>T111+161.21</f>
        <v>100545.63000000002</v>
      </c>
      <c r="X111" s="78"/>
      <c r="Y111" s="78"/>
      <c r="Z111" s="78">
        <f>W111+129.87</f>
        <v>100675.50000000001</v>
      </c>
      <c r="AA111" s="78"/>
      <c r="AB111" s="78"/>
      <c r="AC111" s="78">
        <f>Z111-73.63</f>
        <v>100601.87000000001</v>
      </c>
      <c r="AD111" s="78"/>
      <c r="AE111" s="78"/>
      <c r="AF111" s="94">
        <f>AC111+111.2</f>
        <v>100713.07</v>
      </c>
      <c r="AG111" s="95"/>
      <c r="AH111" s="95"/>
      <c r="AI111" s="78">
        <f>AF111-89.87+85.92</f>
        <v>100709.12000000001</v>
      </c>
      <c r="AJ111" s="78"/>
      <c r="AK111" s="78"/>
      <c r="AL111" s="78">
        <f>AI111+113.49-64.4-100758.21</f>
        <v>0</v>
      </c>
      <c r="AM111" s="78"/>
      <c r="AN111" s="78"/>
      <c r="AO111" s="61"/>
      <c r="AP111" s="61"/>
      <c r="AQ111" s="61"/>
      <c r="AR111" s="61"/>
      <c r="AS111" s="61"/>
      <c r="AT111" s="61"/>
    </row>
    <row r="112" spans="1:47" x14ac:dyDescent="0.25">
      <c r="A112" s="62" t="s">
        <v>114</v>
      </c>
      <c r="B112" s="84">
        <v>1016116.05</v>
      </c>
      <c r="C112" s="85"/>
      <c r="D112" s="86"/>
      <c r="E112" s="91">
        <f>B112+3456.99</f>
        <v>1019573.04</v>
      </c>
      <c r="F112" s="92"/>
      <c r="G112" s="93"/>
      <c r="H112" s="96">
        <f>E112+2306.35</f>
        <v>1021879.39</v>
      </c>
      <c r="I112" s="96"/>
      <c r="J112" s="96"/>
      <c r="K112" s="96">
        <f>H112+2670.71</f>
        <v>1024550.1</v>
      </c>
      <c r="L112" s="96"/>
      <c r="M112" s="96"/>
      <c r="N112" s="91">
        <f>K112+2243.52</f>
        <v>1026793.62</v>
      </c>
      <c r="O112" s="92"/>
      <c r="P112" s="93"/>
      <c r="Q112" s="78">
        <f>N112+1884.67</f>
        <v>1028678.29</v>
      </c>
      <c r="R112" s="78"/>
      <c r="S112" s="78"/>
      <c r="T112" s="78">
        <f>Q112+1703.34</f>
        <v>1030381.63</v>
      </c>
      <c r="U112" s="78"/>
      <c r="V112" s="78"/>
      <c r="W112" s="78">
        <f>T112+2538.73</f>
        <v>1032920.36</v>
      </c>
      <c r="X112" s="78"/>
      <c r="Y112" s="78"/>
      <c r="Z112" s="78">
        <f>W112+1317.95</f>
        <v>1034238.3099999999</v>
      </c>
      <c r="AA112" s="78"/>
      <c r="AB112" s="78"/>
      <c r="AC112" s="78">
        <f>Z112+1288</f>
        <v>1035526.3099999999</v>
      </c>
      <c r="AD112" s="78"/>
      <c r="AE112" s="78"/>
      <c r="AF112" s="94">
        <f>AC112+1289.93</f>
        <v>1036816.24</v>
      </c>
      <c r="AG112" s="95"/>
      <c r="AH112" s="95"/>
      <c r="AI112" s="78">
        <f>AF112+1230.29</f>
        <v>1038046.53</v>
      </c>
      <c r="AJ112" s="78"/>
      <c r="AK112" s="78"/>
      <c r="AL112" s="78">
        <f>AI112+1355.36</f>
        <v>1039401.89</v>
      </c>
      <c r="AM112" s="78"/>
      <c r="AN112" s="78"/>
      <c r="AO112" s="61"/>
      <c r="AP112" s="61"/>
      <c r="AQ112" s="83"/>
      <c r="AR112" s="83"/>
      <c r="AS112" s="83"/>
      <c r="AT112" s="83"/>
      <c r="AU112" s="83"/>
    </row>
    <row r="113" spans="1:47" x14ac:dyDescent="0.25">
      <c r="A113" s="62" t="s">
        <v>115</v>
      </c>
      <c r="B113" s="84">
        <v>113425.27</v>
      </c>
      <c r="C113" s="85"/>
      <c r="D113" s="86"/>
      <c r="E113" s="87">
        <f>B113+447.4-113872.67</f>
        <v>0</v>
      </c>
      <c r="F113" s="88"/>
      <c r="G113" s="89"/>
      <c r="H113" s="90">
        <v>0</v>
      </c>
      <c r="I113" s="90"/>
      <c r="J113" s="90"/>
      <c r="K113" s="90">
        <f>0</f>
        <v>0</v>
      </c>
      <c r="L113" s="90"/>
      <c r="M113" s="90"/>
      <c r="N113" s="91">
        <v>0</v>
      </c>
      <c r="O113" s="92"/>
      <c r="P113" s="93"/>
      <c r="Q113" s="78">
        <v>0</v>
      </c>
      <c r="R113" s="78"/>
      <c r="S113" s="78"/>
      <c r="T113" s="78">
        <f>0</f>
        <v>0</v>
      </c>
      <c r="U113" s="78"/>
      <c r="V113" s="78"/>
      <c r="W113" s="78">
        <f>0</f>
        <v>0</v>
      </c>
      <c r="X113" s="78"/>
      <c r="Y113" s="78"/>
      <c r="Z113" s="78">
        <v>0</v>
      </c>
      <c r="AA113" s="78"/>
      <c r="AB113" s="78"/>
      <c r="AC113" s="78">
        <v>0</v>
      </c>
      <c r="AD113" s="78"/>
      <c r="AE113" s="78"/>
      <c r="AF113" s="79">
        <v>0</v>
      </c>
      <c r="AG113" s="79"/>
      <c r="AH113" s="79"/>
      <c r="AI113" s="78">
        <f>AF113</f>
        <v>0</v>
      </c>
      <c r="AJ113" s="78"/>
      <c r="AK113" s="78"/>
      <c r="AL113" s="78">
        <v>0</v>
      </c>
      <c r="AM113" s="78"/>
      <c r="AN113" s="78"/>
      <c r="AO113" s="61"/>
      <c r="AP113" s="61"/>
      <c r="AQ113" s="83"/>
      <c r="AR113" s="83"/>
      <c r="AS113" s="83"/>
      <c r="AT113" s="83"/>
      <c r="AU113" s="83"/>
    </row>
    <row r="114" spans="1:47" x14ac:dyDescent="0.25">
      <c r="A114" s="63" t="s">
        <v>116</v>
      </c>
      <c r="B114" s="80">
        <f>SUM(B109:D113)</f>
        <v>2149789.85</v>
      </c>
      <c r="C114" s="81"/>
      <c r="D114" s="82"/>
      <c r="E114" s="80">
        <f>SUM(E109:G113)</f>
        <v>2213083.38</v>
      </c>
      <c r="F114" s="81"/>
      <c r="G114" s="82"/>
      <c r="H114" s="77">
        <f>SUM(H109:J113)</f>
        <v>2184757.73</v>
      </c>
      <c r="I114" s="77"/>
      <c r="J114" s="77"/>
      <c r="K114" s="77">
        <f>SUM(K109:M113)</f>
        <v>2252455.4900000002</v>
      </c>
      <c r="L114" s="77"/>
      <c r="M114" s="77"/>
      <c r="N114" s="77">
        <f>SUM(N109:P113)</f>
        <v>2301615.87</v>
      </c>
      <c r="O114" s="77"/>
      <c r="P114" s="77"/>
      <c r="Q114" s="77">
        <f>SUM(Q109:S113)</f>
        <v>2248300.6000000006</v>
      </c>
      <c r="R114" s="77"/>
      <c r="S114" s="77"/>
      <c r="T114" s="77">
        <f>SUM(T109:V113)</f>
        <v>2182375.6800000002</v>
      </c>
      <c r="U114" s="77"/>
      <c r="V114" s="77"/>
      <c r="W114" s="72">
        <f>SUM(W109:Y113)</f>
        <v>2259308.9300000002</v>
      </c>
      <c r="X114" s="72"/>
      <c r="Y114" s="72"/>
      <c r="Z114" s="72">
        <f>SUM(Z109:AB113)</f>
        <v>2239183.4500000002</v>
      </c>
      <c r="AA114" s="72"/>
      <c r="AB114" s="72"/>
      <c r="AC114" s="72">
        <f>SUM(AC109:AE113)</f>
        <v>2318833.5400000005</v>
      </c>
      <c r="AD114" s="72"/>
      <c r="AE114" s="72"/>
      <c r="AF114" s="72">
        <f>SUM(AF109:AH113)</f>
        <v>2225267.6800000006</v>
      </c>
      <c r="AG114" s="72"/>
      <c r="AH114" s="72"/>
      <c r="AI114" s="72">
        <f>SUM(AI109:AK113)</f>
        <v>2272164.8600000003</v>
      </c>
      <c r="AJ114" s="72"/>
      <c r="AK114" s="72"/>
      <c r="AL114" s="72">
        <f>SUM(AL109:AN113)</f>
        <v>2331118.2500000005</v>
      </c>
      <c r="AM114" s="72"/>
      <c r="AN114" s="72"/>
      <c r="AO114" s="61"/>
      <c r="AP114" s="61"/>
      <c r="AQ114" s="61"/>
      <c r="AR114" s="61"/>
      <c r="AS114" s="61"/>
      <c r="AT114" s="61"/>
    </row>
    <row r="115" spans="1:47" x14ac:dyDescent="0.25">
      <c r="A115" s="64" t="s">
        <v>117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1"/>
      <c r="R115" s="61"/>
      <c r="S115" s="65"/>
      <c r="T115" s="61"/>
      <c r="U115" s="61"/>
      <c r="V115" s="65"/>
      <c r="W115" s="61"/>
      <c r="X115" s="61"/>
      <c r="Y115" s="65"/>
      <c r="Z115" s="61"/>
      <c r="AA115" s="61"/>
      <c r="AB115" s="65"/>
      <c r="AC115" s="61"/>
      <c r="AD115" s="61"/>
      <c r="AE115" s="65"/>
      <c r="AF115" s="61"/>
      <c r="AG115" s="61"/>
      <c r="AH115" s="65"/>
      <c r="AI115" s="61"/>
      <c r="AJ115" s="61"/>
      <c r="AK115" s="65"/>
      <c r="AL115" s="61"/>
      <c r="AM115" s="61"/>
      <c r="AN115" s="65"/>
      <c r="AO115" s="61"/>
      <c r="AP115" s="61"/>
      <c r="AQ115" s="61"/>
      <c r="AR115" s="61"/>
      <c r="AS115" s="61"/>
      <c r="AT115" s="61"/>
    </row>
    <row r="116" spans="1:47" x14ac:dyDescent="0.25">
      <c r="A116" s="66" t="s">
        <v>118</v>
      </c>
      <c r="B116" s="65"/>
      <c r="C116" s="65"/>
      <c r="D116" s="65"/>
      <c r="E116" s="65"/>
      <c r="F116" s="65"/>
      <c r="Q116" s="61"/>
      <c r="R116" s="61"/>
      <c r="T116" s="61"/>
      <c r="U116" s="61"/>
      <c r="W116" s="61"/>
      <c r="X116" s="61"/>
      <c r="Z116" s="61"/>
      <c r="AA116" s="61"/>
      <c r="AC116" s="61"/>
      <c r="AD116" s="61"/>
      <c r="AF116" s="61"/>
      <c r="AG116" s="61"/>
      <c r="AI116" s="73"/>
      <c r="AJ116" s="73"/>
      <c r="AK116" s="73"/>
      <c r="AL116" s="61"/>
      <c r="AM116" s="61"/>
      <c r="AN116" s="67"/>
      <c r="AO116" s="61"/>
      <c r="AP116" s="61"/>
      <c r="AQ116" s="61"/>
      <c r="AR116" s="61"/>
      <c r="AS116" s="61"/>
      <c r="AT116" s="61"/>
    </row>
    <row r="117" spans="1:47" x14ac:dyDescent="0.25">
      <c r="A117" s="66" t="s">
        <v>119</v>
      </c>
      <c r="B117" s="65"/>
      <c r="C117" s="65"/>
      <c r="D117" s="65"/>
      <c r="E117" s="65"/>
      <c r="F117" s="65"/>
      <c r="Q117" s="61"/>
      <c r="R117" s="61"/>
      <c r="T117" s="61"/>
      <c r="U117" s="61"/>
      <c r="W117" s="61"/>
      <c r="X117" s="61"/>
      <c r="Z117" s="61"/>
      <c r="AA117" s="61"/>
      <c r="AC117" s="61"/>
      <c r="AD117" s="61"/>
      <c r="AF117" s="61"/>
      <c r="AG117" s="61"/>
      <c r="AI117" s="61"/>
      <c r="AJ117" s="61"/>
      <c r="AL117" s="61"/>
      <c r="AM117" s="61"/>
      <c r="AO117" s="61"/>
      <c r="AP117" s="61"/>
      <c r="AQ117" s="61"/>
      <c r="AR117" s="61"/>
      <c r="AS117" s="61"/>
      <c r="AT117" s="61"/>
    </row>
    <row r="118" spans="1:47" x14ac:dyDescent="0.25">
      <c r="A118" s="74" t="s">
        <v>120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</row>
    <row r="119" spans="1:47" x14ac:dyDescent="0.25">
      <c r="A119" s="68" t="s">
        <v>121</v>
      </c>
      <c r="B119" s="68"/>
      <c r="C119" s="68"/>
      <c r="D119" s="68"/>
      <c r="E119" s="68"/>
      <c r="F119" s="68"/>
      <c r="G119" s="65"/>
      <c r="H119" s="68"/>
      <c r="I119" s="68"/>
      <c r="J119" s="65"/>
      <c r="K119" s="68"/>
      <c r="L119" s="68"/>
      <c r="M119" s="65"/>
      <c r="N119" s="68"/>
      <c r="O119" s="68"/>
      <c r="P119" s="65"/>
      <c r="Q119" s="68"/>
      <c r="R119" s="68"/>
      <c r="S119" s="65"/>
      <c r="T119" s="68"/>
      <c r="U119" s="68"/>
      <c r="V119" s="65"/>
      <c r="W119" s="68"/>
      <c r="X119" s="68"/>
      <c r="Y119" s="65"/>
      <c r="Z119" s="68"/>
      <c r="AA119" s="68"/>
      <c r="AB119" s="65"/>
      <c r="AC119" s="68"/>
      <c r="AD119" s="68"/>
      <c r="AE119" s="65"/>
      <c r="AF119" s="68"/>
      <c r="AG119" s="68"/>
      <c r="AH119" s="65"/>
      <c r="AI119" s="68"/>
      <c r="AJ119" s="68"/>
      <c r="AK119" s="65"/>
      <c r="AL119" s="68"/>
      <c r="AM119" s="68"/>
      <c r="AN119" s="65"/>
      <c r="AO119" s="68"/>
      <c r="AP119" s="68"/>
      <c r="AQ119" s="68"/>
      <c r="AR119" s="68"/>
      <c r="AS119" s="68"/>
      <c r="AT119" s="68"/>
    </row>
    <row r="120" spans="1:47" x14ac:dyDescent="0.25">
      <c r="A120" s="68" t="s">
        <v>122</v>
      </c>
      <c r="B120" s="68"/>
      <c r="C120" s="68"/>
      <c r="D120" s="68"/>
      <c r="E120" s="68"/>
      <c r="F120" s="68"/>
      <c r="G120" s="65"/>
      <c r="H120" s="68"/>
      <c r="I120" s="68"/>
      <c r="J120" s="65"/>
      <c r="K120" s="68"/>
      <c r="L120" s="68"/>
      <c r="M120" s="65"/>
      <c r="N120" s="68"/>
      <c r="O120" s="68"/>
      <c r="P120" s="65"/>
      <c r="Q120" s="68"/>
      <c r="R120" s="68"/>
      <c r="S120" s="65"/>
      <c r="T120" s="68"/>
      <c r="U120" s="68"/>
      <c r="V120" s="65"/>
      <c r="W120" s="68"/>
      <c r="X120" s="68"/>
      <c r="Y120" s="65"/>
      <c r="Z120" s="68"/>
      <c r="AA120" s="68"/>
      <c r="AB120" s="65"/>
      <c r="AC120" s="68"/>
      <c r="AD120" s="68"/>
      <c r="AE120" s="65"/>
      <c r="AF120" s="68"/>
      <c r="AG120" s="68"/>
      <c r="AH120" s="65"/>
      <c r="AI120" s="68"/>
      <c r="AJ120" s="68"/>
      <c r="AK120" s="65"/>
      <c r="AL120" s="68"/>
      <c r="AM120" s="68"/>
      <c r="AN120" s="65"/>
      <c r="AO120" s="68"/>
      <c r="AP120" s="68"/>
      <c r="AQ120" s="69"/>
      <c r="AR120" s="69"/>
      <c r="AS120" s="68"/>
      <c r="AT120" s="68"/>
    </row>
    <row r="121" spans="1:47" x14ac:dyDescent="0.25">
      <c r="A121" s="68" t="s">
        <v>123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</row>
    <row r="122" spans="1:47" x14ac:dyDescent="0.25">
      <c r="A122" s="68" t="s">
        <v>124</v>
      </c>
      <c r="AE122" s="70"/>
      <c r="AH122" s="70"/>
      <c r="AK122" s="70"/>
      <c r="AN122" s="70"/>
      <c r="AQ122" s="71"/>
      <c r="AR122" s="71"/>
    </row>
    <row r="123" spans="1:47" x14ac:dyDescent="0.25">
      <c r="A123" s="68" t="s">
        <v>125</v>
      </c>
      <c r="AQ123" s="71"/>
      <c r="AR123" s="71"/>
    </row>
    <row r="124" spans="1:47" x14ac:dyDescent="0.25">
      <c r="A124" s="68" t="s">
        <v>126</v>
      </c>
      <c r="AR124" s="71"/>
    </row>
    <row r="125" spans="1:47" x14ac:dyDescent="0.25">
      <c r="A125" s="68" t="s">
        <v>128</v>
      </c>
    </row>
    <row r="126" spans="1:47" x14ac:dyDescent="0.25">
      <c r="A126" s="68" t="s">
        <v>127</v>
      </c>
      <c r="AR126" s="71"/>
    </row>
  </sheetData>
  <mergeCells count="1343">
    <mergeCell ref="A1:AT4"/>
    <mergeCell ref="A5:AT6"/>
    <mergeCell ref="A7:AT8"/>
    <mergeCell ref="A9:AT9"/>
    <mergeCell ref="A10:AT10"/>
    <mergeCell ref="B11:D11"/>
    <mergeCell ref="E11:G11"/>
    <mergeCell ref="H11:J11"/>
    <mergeCell ref="K11:M11"/>
    <mergeCell ref="N11:P11"/>
    <mergeCell ref="AF12:AH12"/>
    <mergeCell ref="AI12:AK12"/>
    <mergeCell ref="AL12:AN12"/>
    <mergeCell ref="AO12:AQ12"/>
    <mergeCell ref="AR12:AT12"/>
    <mergeCell ref="B13:D13"/>
    <mergeCell ref="E13:G13"/>
    <mergeCell ref="N13:P13"/>
    <mergeCell ref="Q13:S13"/>
    <mergeCell ref="T13:V13"/>
    <mergeCell ref="AO11:AQ11"/>
    <mergeCell ref="AR11:AT11"/>
    <mergeCell ref="B12:D12"/>
    <mergeCell ref="E12:G12"/>
    <mergeCell ref="N12:P12"/>
    <mergeCell ref="Q12:S12"/>
    <mergeCell ref="T12:V12"/>
    <mergeCell ref="W12:Y12"/>
    <mergeCell ref="Z12:AB12"/>
    <mergeCell ref="AC12:AE12"/>
    <mergeCell ref="Q11:S11"/>
    <mergeCell ref="T11:V11"/>
    <mergeCell ref="W11:Y11"/>
    <mergeCell ref="Z11:AB11"/>
    <mergeCell ref="AC11:AE11"/>
    <mergeCell ref="AF11:AH11"/>
    <mergeCell ref="AF14:AH14"/>
    <mergeCell ref="AI14:AK14"/>
    <mergeCell ref="AL14:AN14"/>
    <mergeCell ref="AO14:AQ14"/>
    <mergeCell ref="AR14:AT14"/>
    <mergeCell ref="B15:D15"/>
    <mergeCell ref="E15:G15"/>
    <mergeCell ref="K15:M15"/>
    <mergeCell ref="N15:P15"/>
    <mergeCell ref="Q15:S15"/>
    <mergeCell ref="AO13:AQ13"/>
    <mergeCell ref="AR13:AT13"/>
    <mergeCell ref="B14:D14"/>
    <mergeCell ref="E14:G14"/>
    <mergeCell ref="N14:P14"/>
    <mergeCell ref="Q14:S14"/>
    <mergeCell ref="T14:V14"/>
    <mergeCell ref="W14:Y14"/>
    <mergeCell ref="Z14:AB14"/>
    <mergeCell ref="AC14:AE14"/>
    <mergeCell ref="W13:Y13"/>
    <mergeCell ref="Z13:AB13"/>
    <mergeCell ref="AC13:AE13"/>
    <mergeCell ref="AF13:AH13"/>
    <mergeCell ref="AI13:AK13"/>
    <mergeCell ref="AL13:AN13"/>
    <mergeCell ref="AC16:AE16"/>
    <mergeCell ref="AF16:AH16"/>
    <mergeCell ref="AI16:AK16"/>
    <mergeCell ref="AL16:AN16"/>
    <mergeCell ref="AO16:AQ16"/>
    <mergeCell ref="AR16:AT16"/>
    <mergeCell ref="AL15:AN15"/>
    <mergeCell ref="AO15:AQ15"/>
    <mergeCell ref="AR15:AT15"/>
    <mergeCell ref="B16:D16"/>
    <mergeCell ref="E16:G16"/>
    <mergeCell ref="N16:P16"/>
    <mergeCell ref="Q16:S16"/>
    <mergeCell ref="T16:V16"/>
    <mergeCell ref="W16:Y16"/>
    <mergeCell ref="Z16:AB16"/>
    <mergeCell ref="T15:V15"/>
    <mergeCell ref="W15:Y15"/>
    <mergeCell ref="Z15:AB15"/>
    <mergeCell ref="AC15:AE15"/>
    <mergeCell ref="AF15:AH15"/>
    <mergeCell ref="AI15:AK15"/>
    <mergeCell ref="AR17:AT17"/>
    <mergeCell ref="B18:D18"/>
    <mergeCell ref="E18:G18"/>
    <mergeCell ref="N18:P18"/>
    <mergeCell ref="Q18:S18"/>
    <mergeCell ref="T18:V18"/>
    <mergeCell ref="W18:Y18"/>
    <mergeCell ref="Z18:AB18"/>
    <mergeCell ref="AC18:AE18"/>
    <mergeCell ref="AF18:AH18"/>
    <mergeCell ref="Z17:AB17"/>
    <mergeCell ref="AC17:AE17"/>
    <mergeCell ref="AF17:AH17"/>
    <mergeCell ref="AI17:AK17"/>
    <mergeCell ref="AL17:AN17"/>
    <mergeCell ref="AO17:AQ17"/>
    <mergeCell ref="B17:D17"/>
    <mergeCell ref="E17:G17"/>
    <mergeCell ref="N17:P17"/>
    <mergeCell ref="Q17:S17"/>
    <mergeCell ref="T17:V17"/>
    <mergeCell ref="W17:Y17"/>
    <mergeCell ref="AF21:AH21"/>
    <mergeCell ref="AI21:AK21"/>
    <mergeCell ref="AL21:AN21"/>
    <mergeCell ref="AO21:AQ21"/>
    <mergeCell ref="AR21:AR22"/>
    <mergeCell ref="AS21:AT21"/>
    <mergeCell ref="N21:P21"/>
    <mergeCell ref="Q21:S21"/>
    <mergeCell ref="T21:V21"/>
    <mergeCell ref="W21:Y21"/>
    <mergeCell ref="Z21:AB21"/>
    <mergeCell ref="AC21:AE21"/>
    <mergeCell ref="AI18:AK18"/>
    <mergeCell ref="AL18:AN18"/>
    <mergeCell ref="AO18:AQ18"/>
    <mergeCell ref="AR18:AT18"/>
    <mergeCell ref="A19:AT20"/>
    <mergeCell ref="A21:A22"/>
    <mergeCell ref="B21:D21"/>
    <mergeCell ref="E21:G21"/>
    <mergeCell ref="H21:J21"/>
    <mergeCell ref="K21:M21"/>
    <mergeCell ref="W27:X27"/>
    <mergeCell ref="Z27:AA27"/>
    <mergeCell ref="AC27:AD27"/>
    <mergeCell ref="AF27:AG27"/>
    <mergeCell ref="AI27:AJ27"/>
    <mergeCell ref="AO27:AP27"/>
    <mergeCell ref="E27:F27"/>
    <mergeCell ref="H27:I27"/>
    <mergeCell ref="K27:L27"/>
    <mergeCell ref="N27:O27"/>
    <mergeCell ref="Q27:R27"/>
    <mergeCell ref="T27:U27"/>
    <mergeCell ref="B22:C22"/>
    <mergeCell ref="B23:C23"/>
    <mergeCell ref="B24:C24"/>
    <mergeCell ref="B25:C25"/>
    <mergeCell ref="B26:C26"/>
    <mergeCell ref="B27:C27"/>
    <mergeCell ref="AO32:AQ32"/>
    <mergeCell ref="AS32:AT32"/>
    <mergeCell ref="B33:D33"/>
    <mergeCell ref="E33:G33"/>
    <mergeCell ref="H33:J33"/>
    <mergeCell ref="K33:M33"/>
    <mergeCell ref="N33:P33"/>
    <mergeCell ref="Q33:S33"/>
    <mergeCell ref="T33:V33"/>
    <mergeCell ref="W33:Y33"/>
    <mergeCell ref="W32:Y32"/>
    <mergeCell ref="Z32:AB32"/>
    <mergeCell ref="AC32:AE32"/>
    <mergeCell ref="AF32:AH32"/>
    <mergeCell ref="AI32:AK32"/>
    <mergeCell ref="AL32:AN32"/>
    <mergeCell ref="A28:AT29"/>
    <mergeCell ref="A30:AT30"/>
    <mergeCell ref="A31:AT31"/>
    <mergeCell ref="B32:D32"/>
    <mergeCell ref="E32:G32"/>
    <mergeCell ref="H32:J32"/>
    <mergeCell ref="K32:M32"/>
    <mergeCell ref="N32:P32"/>
    <mergeCell ref="Q32:S32"/>
    <mergeCell ref="T32:V32"/>
    <mergeCell ref="B35:D35"/>
    <mergeCell ref="E35:G35"/>
    <mergeCell ref="H35:J35"/>
    <mergeCell ref="K35:M35"/>
    <mergeCell ref="N35:P35"/>
    <mergeCell ref="Q35:S35"/>
    <mergeCell ref="AC34:AE34"/>
    <mergeCell ref="AF34:AH34"/>
    <mergeCell ref="AI34:AK34"/>
    <mergeCell ref="AL34:AN34"/>
    <mergeCell ref="AO34:AQ34"/>
    <mergeCell ref="AS34:AT34"/>
    <mergeCell ref="AS33:AT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Z33:AB33"/>
    <mergeCell ref="AC33:AE33"/>
    <mergeCell ref="AF33:AH33"/>
    <mergeCell ref="AI33:AK33"/>
    <mergeCell ref="AL33:AN33"/>
    <mergeCell ref="AO33:AQ33"/>
    <mergeCell ref="AO36:AQ36"/>
    <mergeCell ref="AS36:AT36"/>
    <mergeCell ref="B37:D37"/>
    <mergeCell ref="E37:G37"/>
    <mergeCell ref="H37:J37"/>
    <mergeCell ref="K37:M37"/>
    <mergeCell ref="N37:P37"/>
    <mergeCell ref="Q37:S37"/>
    <mergeCell ref="T37:V37"/>
    <mergeCell ref="W37:Y37"/>
    <mergeCell ref="W36:Y36"/>
    <mergeCell ref="Z36:AB36"/>
    <mergeCell ref="AC36:AE36"/>
    <mergeCell ref="AF36:AH36"/>
    <mergeCell ref="AI36:AK36"/>
    <mergeCell ref="AL36:AN36"/>
    <mergeCell ref="AL35:AN35"/>
    <mergeCell ref="AO35:AQ35"/>
    <mergeCell ref="AS35:AT35"/>
    <mergeCell ref="B36:D36"/>
    <mergeCell ref="E36:G36"/>
    <mergeCell ref="H36:J36"/>
    <mergeCell ref="K36:M36"/>
    <mergeCell ref="N36:P36"/>
    <mergeCell ref="Q36:S36"/>
    <mergeCell ref="T36:V36"/>
    <mergeCell ref="T35:V35"/>
    <mergeCell ref="W35:Y35"/>
    <mergeCell ref="Z35:AB35"/>
    <mergeCell ref="AC35:AE35"/>
    <mergeCell ref="AF35:AH35"/>
    <mergeCell ref="AI35:AK35"/>
    <mergeCell ref="B39:D39"/>
    <mergeCell ref="E39:G39"/>
    <mergeCell ref="H39:J39"/>
    <mergeCell ref="K39:M39"/>
    <mergeCell ref="N39:P39"/>
    <mergeCell ref="Q39:S39"/>
    <mergeCell ref="AC38:AE38"/>
    <mergeCell ref="AF38:AH38"/>
    <mergeCell ref="AI38:AK38"/>
    <mergeCell ref="AL38:AN38"/>
    <mergeCell ref="AO38:AQ38"/>
    <mergeCell ref="AS38:AT38"/>
    <mergeCell ref="AS37:AT37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Z37:AB37"/>
    <mergeCell ref="AC37:AE37"/>
    <mergeCell ref="AF37:AH37"/>
    <mergeCell ref="AI37:AK37"/>
    <mergeCell ref="AL37:AN37"/>
    <mergeCell ref="AO37:AQ37"/>
    <mergeCell ref="AO40:AQ40"/>
    <mergeCell ref="AS40:AT40"/>
    <mergeCell ref="B41:D41"/>
    <mergeCell ref="E41:G41"/>
    <mergeCell ref="H41:J41"/>
    <mergeCell ref="K41:M41"/>
    <mergeCell ref="N41:P41"/>
    <mergeCell ref="Q41:S41"/>
    <mergeCell ref="T41:V41"/>
    <mergeCell ref="W41:Y41"/>
    <mergeCell ref="W40:Y40"/>
    <mergeCell ref="Z40:AB40"/>
    <mergeCell ref="AC40:AE40"/>
    <mergeCell ref="AF40:AH40"/>
    <mergeCell ref="AI40:AK40"/>
    <mergeCell ref="AL40:AN40"/>
    <mergeCell ref="AL39:AN39"/>
    <mergeCell ref="AO39:AQ39"/>
    <mergeCell ref="AS39:AT39"/>
    <mergeCell ref="B40:D40"/>
    <mergeCell ref="E40:G40"/>
    <mergeCell ref="H40:J40"/>
    <mergeCell ref="K40:M40"/>
    <mergeCell ref="N40:P40"/>
    <mergeCell ref="Q40:S40"/>
    <mergeCell ref="T40:V40"/>
    <mergeCell ref="T39:V39"/>
    <mergeCell ref="W39:Y39"/>
    <mergeCell ref="Z39:AB39"/>
    <mergeCell ref="AC39:AE39"/>
    <mergeCell ref="AF39:AH39"/>
    <mergeCell ref="AI39:AK39"/>
    <mergeCell ref="B43:D43"/>
    <mergeCell ref="E43:G43"/>
    <mergeCell ref="H43:J43"/>
    <mergeCell ref="K43:M43"/>
    <mergeCell ref="N43:P43"/>
    <mergeCell ref="Q43:S43"/>
    <mergeCell ref="AC42:AE42"/>
    <mergeCell ref="AF42:AH42"/>
    <mergeCell ref="AI42:AK42"/>
    <mergeCell ref="AL42:AN42"/>
    <mergeCell ref="AO42:AQ42"/>
    <mergeCell ref="AS42:AT42"/>
    <mergeCell ref="AS41:AT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Z41:AB41"/>
    <mergeCell ref="AC41:AE41"/>
    <mergeCell ref="AF41:AH41"/>
    <mergeCell ref="AI41:AK41"/>
    <mergeCell ref="AL41:AN41"/>
    <mergeCell ref="AO41:AQ41"/>
    <mergeCell ref="AO44:AQ44"/>
    <mergeCell ref="AS44:AT44"/>
    <mergeCell ref="B45:D45"/>
    <mergeCell ref="E45:G45"/>
    <mergeCell ref="H45:J45"/>
    <mergeCell ref="K45:M45"/>
    <mergeCell ref="N45:P45"/>
    <mergeCell ref="Q45:S45"/>
    <mergeCell ref="T45:V45"/>
    <mergeCell ref="W45:Y45"/>
    <mergeCell ref="W44:Y44"/>
    <mergeCell ref="Z44:AB44"/>
    <mergeCell ref="AC44:AE44"/>
    <mergeCell ref="AF44:AH44"/>
    <mergeCell ref="AI44:AK44"/>
    <mergeCell ref="AL44:AN44"/>
    <mergeCell ref="AL43:AN43"/>
    <mergeCell ref="AO43:AQ43"/>
    <mergeCell ref="AS43:AT43"/>
    <mergeCell ref="B44:D44"/>
    <mergeCell ref="E44:G44"/>
    <mergeCell ref="H44:J44"/>
    <mergeCell ref="K44:M44"/>
    <mergeCell ref="N44:P44"/>
    <mergeCell ref="Q44:S44"/>
    <mergeCell ref="T44:V44"/>
    <mergeCell ref="T43:V43"/>
    <mergeCell ref="W43:Y43"/>
    <mergeCell ref="Z43:AB43"/>
    <mergeCell ref="AC43:AE43"/>
    <mergeCell ref="AF43:AH43"/>
    <mergeCell ref="AI43:AK43"/>
    <mergeCell ref="B47:D47"/>
    <mergeCell ref="E47:G47"/>
    <mergeCell ref="H47:J47"/>
    <mergeCell ref="K47:M47"/>
    <mergeCell ref="N47:P47"/>
    <mergeCell ref="Q47:S47"/>
    <mergeCell ref="AC46:AE46"/>
    <mergeCell ref="AF46:AH46"/>
    <mergeCell ref="AI46:AK46"/>
    <mergeCell ref="AL46:AN46"/>
    <mergeCell ref="AO46:AQ46"/>
    <mergeCell ref="AS46:AT46"/>
    <mergeCell ref="AS45:AT45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Z45:AB45"/>
    <mergeCell ref="AC45:AE45"/>
    <mergeCell ref="AF45:AH45"/>
    <mergeCell ref="AI45:AK45"/>
    <mergeCell ref="AL45:AN45"/>
    <mergeCell ref="AO45:AQ45"/>
    <mergeCell ref="AO48:AQ48"/>
    <mergeCell ref="AS48:AT48"/>
    <mergeCell ref="B49:D49"/>
    <mergeCell ref="E49:G49"/>
    <mergeCell ref="H49:J49"/>
    <mergeCell ref="K49:M49"/>
    <mergeCell ref="N49:P49"/>
    <mergeCell ref="Q49:S49"/>
    <mergeCell ref="T49:V49"/>
    <mergeCell ref="W49:Y49"/>
    <mergeCell ref="W48:Y48"/>
    <mergeCell ref="Z48:AB48"/>
    <mergeCell ref="AC48:AE48"/>
    <mergeCell ref="AF48:AH48"/>
    <mergeCell ref="AI48:AK48"/>
    <mergeCell ref="AL48:AN48"/>
    <mergeCell ref="AL47:AN47"/>
    <mergeCell ref="AO47:AQ47"/>
    <mergeCell ref="AS47:AT47"/>
    <mergeCell ref="B48:D48"/>
    <mergeCell ref="E48:G48"/>
    <mergeCell ref="H48:J48"/>
    <mergeCell ref="K48:M48"/>
    <mergeCell ref="N48:P48"/>
    <mergeCell ref="Q48:S48"/>
    <mergeCell ref="T48:V48"/>
    <mergeCell ref="T47:V47"/>
    <mergeCell ref="W47:Y47"/>
    <mergeCell ref="Z47:AB47"/>
    <mergeCell ref="AC47:AE47"/>
    <mergeCell ref="AF47:AH47"/>
    <mergeCell ref="AI47:AK47"/>
    <mergeCell ref="B51:D51"/>
    <mergeCell ref="E51:G51"/>
    <mergeCell ref="H51:J51"/>
    <mergeCell ref="K51:M51"/>
    <mergeCell ref="N51:P51"/>
    <mergeCell ref="Q51:S51"/>
    <mergeCell ref="AC50:AE50"/>
    <mergeCell ref="AF50:AH50"/>
    <mergeCell ref="AI50:AK50"/>
    <mergeCell ref="AL50:AN50"/>
    <mergeCell ref="AO50:AQ50"/>
    <mergeCell ref="AS50:AT50"/>
    <mergeCell ref="AS49:AT49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Z49:AB49"/>
    <mergeCell ref="AC49:AE49"/>
    <mergeCell ref="AF49:AH49"/>
    <mergeCell ref="AI49:AK49"/>
    <mergeCell ref="AL49:AN49"/>
    <mergeCell ref="AO49:AQ49"/>
    <mergeCell ref="AO52:AQ52"/>
    <mergeCell ref="AS52:AT52"/>
    <mergeCell ref="B53:D53"/>
    <mergeCell ref="E53:G53"/>
    <mergeCell ref="H53:J53"/>
    <mergeCell ref="K53:M53"/>
    <mergeCell ref="N53:P53"/>
    <mergeCell ref="Q53:S53"/>
    <mergeCell ref="T53:V53"/>
    <mergeCell ref="W53:Y53"/>
    <mergeCell ref="W52:Y52"/>
    <mergeCell ref="Z52:AB52"/>
    <mergeCell ref="AC52:AE52"/>
    <mergeCell ref="AF52:AH52"/>
    <mergeCell ref="AI52:AK52"/>
    <mergeCell ref="AL52:AN52"/>
    <mergeCell ref="AL51:AN51"/>
    <mergeCell ref="AO51:AQ51"/>
    <mergeCell ref="AS51:AT51"/>
    <mergeCell ref="B52:D52"/>
    <mergeCell ref="E52:G52"/>
    <mergeCell ref="H52:J52"/>
    <mergeCell ref="K52:M52"/>
    <mergeCell ref="N52:P52"/>
    <mergeCell ref="Q52:S52"/>
    <mergeCell ref="T52:V52"/>
    <mergeCell ref="T51:V51"/>
    <mergeCell ref="W51:Y51"/>
    <mergeCell ref="Z51:AB51"/>
    <mergeCell ref="AC51:AE51"/>
    <mergeCell ref="AF51:AH51"/>
    <mergeCell ref="AI51:AK51"/>
    <mergeCell ref="B55:D55"/>
    <mergeCell ref="E55:G55"/>
    <mergeCell ref="H55:J55"/>
    <mergeCell ref="K55:M55"/>
    <mergeCell ref="N55:P55"/>
    <mergeCell ref="Q55:S55"/>
    <mergeCell ref="AC54:AE54"/>
    <mergeCell ref="AF54:AH54"/>
    <mergeCell ref="AI54:AK54"/>
    <mergeCell ref="AL54:AN54"/>
    <mergeCell ref="AO54:AQ54"/>
    <mergeCell ref="AS54:AT54"/>
    <mergeCell ref="AS53:AT53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Z53:AB53"/>
    <mergeCell ref="AC53:AE53"/>
    <mergeCell ref="AF53:AH53"/>
    <mergeCell ref="AI53:AK53"/>
    <mergeCell ref="AL53:AN53"/>
    <mergeCell ref="AO53:AQ53"/>
    <mergeCell ref="AO56:AQ56"/>
    <mergeCell ref="AS56:AT56"/>
    <mergeCell ref="B57:D57"/>
    <mergeCell ref="E57:G57"/>
    <mergeCell ref="H57:J57"/>
    <mergeCell ref="K57:M57"/>
    <mergeCell ref="N57:P57"/>
    <mergeCell ref="Q57:S57"/>
    <mergeCell ref="T57:V57"/>
    <mergeCell ref="W57:Y57"/>
    <mergeCell ref="W56:Y56"/>
    <mergeCell ref="Z56:AB56"/>
    <mergeCell ref="AC56:AE56"/>
    <mergeCell ref="AF56:AH56"/>
    <mergeCell ref="AI56:AK56"/>
    <mergeCell ref="AL56:AN56"/>
    <mergeCell ref="AL55:AN55"/>
    <mergeCell ref="AO55:AQ55"/>
    <mergeCell ref="AS55:AT55"/>
    <mergeCell ref="B56:D56"/>
    <mergeCell ref="E56:G56"/>
    <mergeCell ref="H56:J56"/>
    <mergeCell ref="K56:M56"/>
    <mergeCell ref="N56:P56"/>
    <mergeCell ref="Q56:S56"/>
    <mergeCell ref="T56:V56"/>
    <mergeCell ref="T55:V55"/>
    <mergeCell ref="W55:Y55"/>
    <mergeCell ref="Z55:AB55"/>
    <mergeCell ref="AC55:AE55"/>
    <mergeCell ref="AF55:AH55"/>
    <mergeCell ref="AI55:AK55"/>
    <mergeCell ref="B59:D59"/>
    <mergeCell ref="E59:G59"/>
    <mergeCell ref="H59:J59"/>
    <mergeCell ref="K59:M59"/>
    <mergeCell ref="N59:P59"/>
    <mergeCell ref="Q59:S59"/>
    <mergeCell ref="AC58:AE58"/>
    <mergeCell ref="AF58:AH58"/>
    <mergeCell ref="AI58:AK58"/>
    <mergeCell ref="AL58:AN58"/>
    <mergeCell ref="AO58:AQ58"/>
    <mergeCell ref="AS58:AT58"/>
    <mergeCell ref="AS57:AT57"/>
    <mergeCell ref="B58:D58"/>
    <mergeCell ref="E58:G58"/>
    <mergeCell ref="H58:J58"/>
    <mergeCell ref="K58:M58"/>
    <mergeCell ref="N58:P58"/>
    <mergeCell ref="Q58:S58"/>
    <mergeCell ref="T58:V58"/>
    <mergeCell ref="W58:Y58"/>
    <mergeCell ref="Z58:AB58"/>
    <mergeCell ref="Z57:AB57"/>
    <mergeCell ref="AC57:AE57"/>
    <mergeCell ref="AF57:AH57"/>
    <mergeCell ref="AI57:AK57"/>
    <mergeCell ref="AL57:AN57"/>
    <mergeCell ref="AO57:AQ57"/>
    <mergeCell ref="AO60:AQ60"/>
    <mergeCell ref="AS60:AT60"/>
    <mergeCell ref="B61:D61"/>
    <mergeCell ref="E61:G61"/>
    <mergeCell ref="H61:J61"/>
    <mergeCell ref="K61:M61"/>
    <mergeCell ref="N61:P61"/>
    <mergeCell ref="Q61:S61"/>
    <mergeCell ref="T61:V61"/>
    <mergeCell ref="W61:Y61"/>
    <mergeCell ref="W60:Y60"/>
    <mergeCell ref="Z60:AB60"/>
    <mergeCell ref="AC60:AE60"/>
    <mergeCell ref="AF60:AH60"/>
    <mergeCell ref="AI60:AK60"/>
    <mergeCell ref="AL60:AN60"/>
    <mergeCell ref="AL59:AN59"/>
    <mergeCell ref="AO59:AQ59"/>
    <mergeCell ref="AS59:AT59"/>
    <mergeCell ref="B60:D60"/>
    <mergeCell ref="E60:G60"/>
    <mergeCell ref="H60:J60"/>
    <mergeCell ref="K60:M60"/>
    <mergeCell ref="N60:P60"/>
    <mergeCell ref="Q60:S60"/>
    <mergeCell ref="T60:V60"/>
    <mergeCell ref="T59:V59"/>
    <mergeCell ref="W59:Y59"/>
    <mergeCell ref="Z59:AB59"/>
    <mergeCell ref="AC59:AE59"/>
    <mergeCell ref="AF59:AH59"/>
    <mergeCell ref="AI59:AK59"/>
    <mergeCell ref="B63:D63"/>
    <mergeCell ref="E63:G63"/>
    <mergeCell ref="H63:J63"/>
    <mergeCell ref="K63:M63"/>
    <mergeCell ref="N63:P63"/>
    <mergeCell ref="Q63:S63"/>
    <mergeCell ref="AC62:AE62"/>
    <mergeCell ref="AF62:AH62"/>
    <mergeCell ref="AI62:AK62"/>
    <mergeCell ref="AL62:AN62"/>
    <mergeCell ref="AO62:AQ62"/>
    <mergeCell ref="AS62:AT62"/>
    <mergeCell ref="AS61:AT61"/>
    <mergeCell ref="B62:D62"/>
    <mergeCell ref="E62:G62"/>
    <mergeCell ref="H62:J62"/>
    <mergeCell ref="K62:M62"/>
    <mergeCell ref="N62:P62"/>
    <mergeCell ref="Q62:S62"/>
    <mergeCell ref="T62:V62"/>
    <mergeCell ref="W62:Y62"/>
    <mergeCell ref="Z62:AB62"/>
    <mergeCell ref="Z61:AB61"/>
    <mergeCell ref="AC61:AE61"/>
    <mergeCell ref="AF61:AH61"/>
    <mergeCell ref="AI61:AK61"/>
    <mergeCell ref="AL61:AN61"/>
    <mergeCell ref="AO61:AQ61"/>
    <mergeCell ref="AO64:AQ64"/>
    <mergeCell ref="AS64:AT64"/>
    <mergeCell ref="B65:D65"/>
    <mergeCell ref="E65:G65"/>
    <mergeCell ref="H65:J65"/>
    <mergeCell ref="K65:M65"/>
    <mergeCell ref="N65:P65"/>
    <mergeCell ref="Q65:S65"/>
    <mergeCell ref="T65:V65"/>
    <mergeCell ref="W65:Y65"/>
    <mergeCell ref="W64:Y64"/>
    <mergeCell ref="Z64:AB64"/>
    <mergeCell ref="AC64:AE64"/>
    <mergeCell ref="AF64:AH64"/>
    <mergeCell ref="AI64:AK64"/>
    <mergeCell ref="AL64:AN64"/>
    <mergeCell ref="AL63:AN63"/>
    <mergeCell ref="AO63:AQ63"/>
    <mergeCell ref="AS63:AT63"/>
    <mergeCell ref="B64:D64"/>
    <mergeCell ref="E64:G64"/>
    <mergeCell ref="H64:J64"/>
    <mergeCell ref="K64:M64"/>
    <mergeCell ref="N64:P64"/>
    <mergeCell ref="Q64:S64"/>
    <mergeCell ref="T64:V64"/>
    <mergeCell ref="T63:V63"/>
    <mergeCell ref="W63:Y63"/>
    <mergeCell ref="Z63:AB63"/>
    <mergeCell ref="AC63:AE63"/>
    <mergeCell ref="AF63:AH63"/>
    <mergeCell ref="AI63:AK63"/>
    <mergeCell ref="B67:D67"/>
    <mergeCell ref="E67:G67"/>
    <mergeCell ref="H67:J67"/>
    <mergeCell ref="K67:M67"/>
    <mergeCell ref="N67:P67"/>
    <mergeCell ref="Q67:S67"/>
    <mergeCell ref="AC66:AE66"/>
    <mergeCell ref="AF66:AH66"/>
    <mergeCell ref="AI66:AK66"/>
    <mergeCell ref="AL66:AN66"/>
    <mergeCell ref="AO66:AQ66"/>
    <mergeCell ref="AS66:AT66"/>
    <mergeCell ref="AS65:AT65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Z65:AB65"/>
    <mergeCell ref="AC65:AE65"/>
    <mergeCell ref="AF65:AH65"/>
    <mergeCell ref="AI65:AK65"/>
    <mergeCell ref="AL65:AN65"/>
    <mergeCell ref="AO65:AQ65"/>
    <mergeCell ref="AO68:AQ68"/>
    <mergeCell ref="AS68:AT68"/>
    <mergeCell ref="B69:D69"/>
    <mergeCell ref="E69:G69"/>
    <mergeCell ref="H69:J69"/>
    <mergeCell ref="K69:M69"/>
    <mergeCell ref="N69:P69"/>
    <mergeCell ref="Q69:S69"/>
    <mergeCell ref="T69:V69"/>
    <mergeCell ref="W69:Y69"/>
    <mergeCell ref="W68:Y68"/>
    <mergeCell ref="Z68:AB68"/>
    <mergeCell ref="AC68:AE68"/>
    <mergeCell ref="AF68:AH68"/>
    <mergeCell ref="AI68:AK68"/>
    <mergeCell ref="AL68:AN68"/>
    <mergeCell ref="AL67:AN67"/>
    <mergeCell ref="AO67:AQ67"/>
    <mergeCell ref="AS67:AT67"/>
    <mergeCell ref="B68:D68"/>
    <mergeCell ref="E68:G68"/>
    <mergeCell ref="H68:J68"/>
    <mergeCell ref="K68:M68"/>
    <mergeCell ref="N68:P68"/>
    <mergeCell ref="Q68:S68"/>
    <mergeCell ref="T68:V68"/>
    <mergeCell ref="T67:V67"/>
    <mergeCell ref="W67:Y67"/>
    <mergeCell ref="Z67:AB67"/>
    <mergeCell ref="AC67:AE67"/>
    <mergeCell ref="AF67:AH67"/>
    <mergeCell ref="AI67:AK67"/>
    <mergeCell ref="B71:D71"/>
    <mergeCell ref="E71:G71"/>
    <mergeCell ref="H71:J71"/>
    <mergeCell ref="K71:M71"/>
    <mergeCell ref="N71:P71"/>
    <mergeCell ref="Q71:S71"/>
    <mergeCell ref="AC70:AE70"/>
    <mergeCell ref="AF70:AH70"/>
    <mergeCell ref="AI70:AK70"/>
    <mergeCell ref="AL70:AN70"/>
    <mergeCell ref="AO70:AQ70"/>
    <mergeCell ref="AS70:AT70"/>
    <mergeCell ref="AS69:AT69"/>
    <mergeCell ref="B70:D70"/>
    <mergeCell ref="E70:G70"/>
    <mergeCell ref="H70:J70"/>
    <mergeCell ref="K70:M70"/>
    <mergeCell ref="N70:P70"/>
    <mergeCell ref="Q70:S70"/>
    <mergeCell ref="T70:V70"/>
    <mergeCell ref="W70:Y70"/>
    <mergeCell ref="Z70:AB70"/>
    <mergeCell ref="Z69:AB69"/>
    <mergeCell ref="AC69:AE69"/>
    <mergeCell ref="AF69:AH69"/>
    <mergeCell ref="AI69:AK69"/>
    <mergeCell ref="AL69:AN69"/>
    <mergeCell ref="AO69:AQ69"/>
    <mergeCell ref="AO72:AQ72"/>
    <mergeCell ref="AS72:AT72"/>
    <mergeCell ref="B73:D73"/>
    <mergeCell ref="E73:G73"/>
    <mergeCell ref="H73:J73"/>
    <mergeCell ref="K73:M73"/>
    <mergeCell ref="N73:P73"/>
    <mergeCell ref="Q73:S73"/>
    <mergeCell ref="T73:V73"/>
    <mergeCell ref="W73:Y73"/>
    <mergeCell ref="W72:Y72"/>
    <mergeCell ref="Z72:AB72"/>
    <mergeCell ref="AC72:AE72"/>
    <mergeCell ref="AF72:AH72"/>
    <mergeCell ref="AI72:AK72"/>
    <mergeCell ref="AL72:AN72"/>
    <mergeCell ref="AL71:AN71"/>
    <mergeCell ref="AO71:AQ71"/>
    <mergeCell ref="AS71:AT71"/>
    <mergeCell ref="B72:D72"/>
    <mergeCell ref="E72:G72"/>
    <mergeCell ref="H72:J72"/>
    <mergeCell ref="K72:M72"/>
    <mergeCell ref="N72:P72"/>
    <mergeCell ref="Q72:S72"/>
    <mergeCell ref="T72:V72"/>
    <mergeCell ref="T71:V71"/>
    <mergeCell ref="W71:Y71"/>
    <mergeCell ref="Z71:AB71"/>
    <mergeCell ref="AC71:AE71"/>
    <mergeCell ref="AF71:AH71"/>
    <mergeCell ref="AI71:AK71"/>
    <mergeCell ref="B75:D75"/>
    <mergeCell ref="E75:G75"/>
    <mergeCell ref="H75:J75"/>
    <mergeCell ref="K75:M75"/>
    <mergeCell ref="N75:P75"/>
    <mergeCell ref="Q75:S75"/>
    <mergeCell ref="AC74:AE74"/>
    <mergeCell ref="AF74:AH74"/>
    <mergeCell ref="AI74:AK74"/>
    <mergeCell ref="AL74:AN74"/>
    <mergeCell ref="AO74:AQ74"/>
    <mergeCell ref="AS74:AT74"/>
    <mergeCell ref="AS73:AT73"/>
    <mergeCell ref="B74:D74"/>
    <mergeCell ref="E74:G74"/>
    <mergeCell ref="H74:J74"/>
    <mergeCell ref="K74:M74"/>
    <mergeCell ref="N74:P74"/>
    <mergeCell ref="Q74:S74"/>
    <mergeCell ref="T74:V74"/>
    <mergeCell ref="W74:Y74"/>
    <mergeCell ref="Z74:AB74"/>
    <mergeCell ref="Z73:AB73"/>
    <mergeCell ref="AC73:AE73"/>
    <mergeCell ref="AF73:AH73"/>
    <mergeCell ref="AI73:AK73"/>
    <mergeCell ref="AL73:AN73"/>
    <mergeCell ref="AO73:AQ73"/>
    <mergeCell ref="AO76:AQ76"/>
    <mergeCell ref="AS76:AT76"/>
    <mergeCell ref="B77:D77"/>
    <mergeCell ref="E77:G77"/>
    <mergeCell ref="H77:J77"/>
    <mergeCell ref="K77:M77"/>
    <mergeCell ref="N77:P77"/>
    <mergeCell ref="Q77:S77"/>
    <mergeCell ref="T77:V77"/>
    <mergeCell ref="W77:Y77"/>
    <mergeCell ref="W76:Y76"/>
    <mergeCell ref="Z76:AB76"/>
    <mergeCell ref="AC76:AE76"/>
    <mergeCell ref="AF76:AH76"/>
    <mergeCell ref="AI76:AK76"/>
    <mergeCell ref="AL76:AN76"/>
    <mergeCell ref="AL75:AN75"/>
    <mergeCell ref="AO75:AQ75"/>
    <mergeCell ref="AS75:AT75"/>
    <mergeCell ref="B76:D76"/>
    <mergeCell ref="E76:G76"/>
    <mergeCell ref="H76:J76"/>
    <mergeCell ref="K76:M76"/>
    <mergeCell ref="N76:P76"/>
    <mergeCell ref="Q76:S76"/>
    <mergeCell ref="T76:V76"/>
    <mergeCell ref="T75:V75"/>
    <mergeCell ref="W75:Y75"/>
    <mergeCell ref="Z75:AB75"/>
    <mergeCell ref="AC75:AE75"/>
    <mergeCell ref="AF75:AH75"/>
    <mergeCell ref="AI75:AK75"/>
    <mergeCell ref="B79:D79"/>
    <mergeCell ref="E79:G79"/>
    <mergeCell ref="H79:J79"/>
    <mergeCell ref="K79:M79"/>
    <mergeCell ref="N79:P79"/>
    <mergeCell ref="Q79:S79"/>
    <mergeCell ref="AC78:AE78"/>
    <mergeCell ref="AF78:AH78"/>
    <mergeCell ref="AI78:AK78"/>
    <mergeCell ref="AL78:AN78"/>
    <mergeCell ref="AO78:AQ78"/>
    <mergeCell ref="AS78:AT78"/>
    <mergeCell ref="AS77:AT77"/>
    <mergeCell ref="B78:D78"/>
    <mergeCell ref="E78:G78"/>
    <mergeCell ref="H78:J78"/>
    <mergeCell ref="K78:M78"/>
    <mergeCell ref="N78:P78"/>
    <mergeCell ref="Q78:S78"/>
    <mergeCell ref="T78:V78"/>
    <mergeCell ref="W78:Y78"/>
    <mergeCell ref="Z78:AB78"/>
    <mergeCell ref="Z77:AB77"/>
    <mergeCell ref="AC77:AE77"/>
    <mergeCell ref="AF77:AH77"/>
    <mergeCell ref="AI77:AK77"/>
    <mergeCell ref="AL77:AN77"/>
    <mergeCell ref="AO77:AQ77"/>
    <mergeCell ref="AO80:AQ80"/>
    <mergeCell ref="AS80:AT80"/>
    <mergeCell ref="B81:D81"/>
    <mergeCell ref="E81:G81"/>
    <mergeCell ref="H81:J81"/>
    <mergeCell ref="K81:M81"/>
    <mergeCell ref="N81:P81"/>
    <mergeCell ref="Q81:S81"/>
    <mergeCell ref="T81:V81"/>
    <mergeCell ref="W81:Y81"/>
    <mergeCell ref="W80:Y80"/>
    <mergeCell ref="Z80:AB80"/>
    <mergeCell ref="AC80:AE80"/>
    <mergeCell ref="AF80:AH80"/>
    <mergeCell ref="AI80:AK80"/>
    <mergeCell ref="AL80:AN80"/>
    <mergeCell ref="AL79:AN79"/>
    <mergeCell ref="AO79:AQ79"/>
    <mergeCell ref="AS79:AT79"/>
    <mergeCell ref="B80:D80"/>
    <mergeCell ref="E80:G80"/>
    <mergeCell ref="H80:J80"/>
    <mergeCell ref="K80:M80"/>
    <mergeCell ref="N80:P80"/>
    <mergeCell ref="Q80:S80"/>
    <mergeCell ref="T80:V80"/>
    <mergeCell ref="T79:V79"/>
    <mergeCell ref="W79:Y79"/>
    <mergeCell ref="Z79:AB79"/>
    <mergeCell ref="AC79:AE79"/>
    <mergeCell ref="AF79:AH79"/>
    <mergeCell ref="AI79:AK79"/>
    <mergeCell ref="B83:D83"/>
    <mergeCell ref="E83:G83"/>
    <mergeCell ref="H83:J83"/>
    <mergeCell ref="K83:M83"/>
    <mergeCell ref="N83:P83"/>
    <mergeCell ref="Q83:S83"/>
    <mergeCell ref="AC82:AE82"/>
    <mergeCell ref="AF82:AH82"/>
    <mergeCell ref="AI82:AK82"/>
    <mergeCell ref="AL82:AN82"/>
    <mergeCell ref="AO82:AQ82"/>
    <mergeCell ref="AS82:AT82"/>
    <mergeCell ref="AS81:AT81"/>
    <mergeCell ref="B82:D82"/>
    <mergeCell ref="E82:G82"/>
    <mergeCell ref="H82:J82"/>
    <mergeCell ref="K82:M82"/>
    <mergeCell ref="N82:P82"/>
    <mergeCell ref="Q82:S82"/>
    <mergeCell ref="T82:V82"/>
    <mergeCell ref="W82:Y82"/>
    <mergeCell ref="Z82:AB82"/>
    <mergeCell ref="Z81:AB81"/>
    <mergeCell ref="AC81:AE81"/>
    <mergeCell ref="AF81:AH81"/>
    <mergeCell ref="AI81:AK81"/>
    <mergeCell ref="AL81:AN81"/>
    <mergeCell ref="AO81:AQ81"/>
    <mergeCell ref="AO84:AQ84"/>
    <mergeCell ref="AS84:AT84"/>
    <mergeCell ref="B85:D85"/>
    <mergeCell ref="E85:G85"/>
    <mergeCell ref="H85:J85"/>
    <mergeCell ref="K85:M85"/>
    <mergeCell ref="N85:P85"/>
    <mergeCell ref="Q85:S85"/>
    <mergeCell ref="T85:V85"/>
    <mergeCell ref="W85:Y85"/>
    <mergeCell ref="W84:Y84"/>
    <mergeCell ref="Z84:AB84"/>
    <mergeCell ref="AC84:AE84"/>
    <mergeCell ref="AF84:AH84"/>
    <mergeCell ref="AI84:AK84"/>
    <mergeCell ref="AL84:AN84"/>
    <mergeCell ref="AL83:AN83"/>
    <mergeCell ref="AO83:AQ83"/>
    <mergeCell ref="AS83:AT83"/>
    <mergeCell ref="B84:D84"/>
    <mergeCell ref="E84:G84"/>
    <mergeCell ref="H84:J84"/>
    <mergeCell ref="K84:M84"/>
    <mergeCell ref="N84:P84"/>
    <mergeCell ref="Q84:S84"/>
    <mergeCell ref="T84:V84"/>
    <mergeCell ref="T83:V83"/>
    <mergeCell ref="W83:Y83"/>
    <mergeCell ref="Z83:AB83"/>
    <mergeCell ref="AC83:AE83"/>
    <mergeCell ref="AF83:AH83"/>
    <mergeCell ref="AI83:AK83"/>
    <mergeCell ref="B87:D87"/>
    <mergeCell ref="E87:G87"/>
    <mergeCell ref="H87:J87"/>
    <mergeCell ref="K87:M87"/>
    <mergeCell ref="N87:P87"/>
    <mergeCell ref="Q87:S87"/>
    <mergeCell ref="AC86:AE86"/>
    <mergeCell ref="AF86:AH86"/>
    <mergeCell ref="AI86:AK86"/>
    <mergeCell ref="AL86:AN86"/>
    <mergeCell ref="AO86:AQ86"/>
    <mergeCell ref="AS86:AT86"/>
    <mergeCell ref="AS85:AT85"/>
    <mergeCell ref="B86:D86"/>
    <mergeCell ref="E86:G86"/>
    <mergeCell ref="H86:J86"/>
    <mergeCell ref="K86:M86"/>
    <mergeCell ref="N86:P86"/>
    <mergeCell ref="Q86:S86"/>
    <mergeCell ref="T86:V86"/>
    <mergeCell ref="W86:Y86"/>
    <mergeCell ref="Z86:AB86"/>
    <mergeCell ref="Z85:AB85"/>
    <mergeCell ref="AC85:AE85"/>
    <mergeCell ref="AF85:AH85"/>
    <mergeCell ref="AI85:AK85"/>
    <mergeCell ref="AL85:AN85"/>
    <mergeCell ref="AO85:AQ85"/>
    <mergeCell ref="AO88:AQ88"/>
    <mergeCell ref="AS88:AT88"/>
    <mergeCell ref="B89:D89"/>
    <mergeCell ref="E89:G89"/>
    <mergeCell ref="H89:J89"/>
    <mergeCell ref="K89:M89"/>
    <mergeCell ref="N89:P89"/>
    <mergeCell ref="Q89:S89"/>
    <mergeCell ref="T89:V89"/>
    <mergeCell ref="W89:Y89"/>
    <mergeCell ref="W88:Y88"/>
    <mergeCell ref="Z88:AB88"/>
    <mergeCell ref="AC88:AE88"/>
    <mergeCell ref="AF88:AH88"/>
    <mergeCell ref="AI88:AK88"/>
    <mergeCell ref="AL88:AN88"/>
    <mergeCell ref="AL87:AN87"/>
    <mergeCell ref="AO87:AQ87"/>
    <mergeCell ref="AS87:AT87"/>
    <mergeCell ref="B88:D88"/>
    <mergeCell ref="E88:G88"/>
    <mergeCell ref="H88:J88"/>
    <mergeCell ref="K88:M88"/>
    <mergeCell ref="N88:P88"/>
    <mergeCell ref="Q88:S88"/>
    <mergeCell ref="T88:V88"/>
    <mergeCell ref="T87:V87"/>
    <mergeCell ref="W87:Y87"/>
    <mergeCell ref="Z87:AB87"/>
    <mergeCell ref="AC87:AE87"/>
    <mergeCell ref="AF87:AH87"/>
    <mergeCell ref="AI87:AK87"/>
    <mergeCell ref="B91:D91"/>
    <mergeCell ref="E91:G91"/>
    <mergeCell ref="H91:J91"/>
    <mergeCell ref="K91:M91"/>
    <mergeCell ref="N91:P91"/>
    <mergeCell ref="Q91:S91"/>
    <mergeCell ref="AC90:AE90"/>
    <mergeCell ref="AF90:AH90"/>
    <mergeCell ref="AI90:AK90"/>
    <mergeCell ref="AL90:AN90"/>
    <mergeCell ref="AO90:AQ90"/>
    <mergeCell ref="AS90:AT90"/>
    <mergeCell ref="AS89:AT89"/>
    <mergeCell ref="B90:D90"/>
    <mergeCell ref="E90:G90"/>
    <mergeCell ref="H90:J90"/>
    <mergeCell ref="K90:M90"/>
    <mergeCell ref="N90:P90"/>
    <mergeCell ref="Q90:S90"/>
    <mergeCell ref="T90:V90"/>
    <mergeCell ref="W90:Y90"/>
    <mergeCell ref="Z90:AB90"/>
    <mergeCell ref="Z89:AB89"/>
    <mergeCell ref="AC89:AE89"/>
    <mergeCell ref="AF89:AH89"/>
    <mergeCell ref="AI89:AK89"/>
    <mergeCell ref="AL89:AN89"/>
    <mergeCell ref="AO89:AQ89"/>
    <mergeCell ref="AO92:AQ92"/>
    <mergeCell ref="AS92:AT92"/>
    <mergeCell ref="B93:D93"/>
    <mergeCell ref="E93:G93"/>
    <mergeCell ref="H93:J93"/>
    <mergeCell ref="K93:M93"/>
    <mergeCell ref="N93:P93"/>
    <mergeCell ref="Q93:S93"/>
    <mergeCell ref="T93:V93"/>
    <mergeCell ref="W93:Y93"/>
    <mergeCell ref="W92:Y92"/>
    <mergeCell ref="Z92:AB92"/>
    <mergeCell ref="AC92:AE92"/>
    <mergeCell ref="AF92:AH92"/>
    <mergeCell ref="AI92:AK92"/>
    <mergeCell ref="AL92:AN92"/>
    <mergeCell ref="AL91:AN91"/>
    <mergeCell ref="AO91:AQ91"/>
    <mergeCell ref="AS91:AT91"/>
    <mergeCell ref="B92:D92"/>
    <mergeCell ref="E92:G92"/>
    <mergeCell ref="H92:J92"/>
    <mergeCell ref="K92:M92"/>
    <mergeCell ref="N92:P92"/>
    <mergeCell ref="Q92:S92"/>
    <mergeCell ref="T92:V92"/>
    <mergeCell ref="T91:V91"/>
    <mergeCell ref="W91:Y91"/>
    <mergeCell ref="Z91:AB91"/>
    <mergeCell ref="AC91:AE91"/>
    <mergeCell ref="AF91:AH91"/>
    <mergeCell ref="AI91:AK91"/>
    <mergeCell ref="B95:D95"/>
    <mergeCell ref="E95:G95"/>
    <mergeCell ref="H95:J95"/>
    <mergeCell ref="K95:M95"/>
    <mergeCell ref="N95:P95"/>
    <mergeCell ref="Q95:S95"/>
    <mergeCell ref="AC94:AE94"/>
    <mergeCell ref="AF94:AH94"/>
    <mergeCell ref="AI94:AK94"/>
    <mergeCell ref="AL94:AN94"/>
    <mergeCell ref="AO94:AQ94"/>
    <mergeCell ref="AS94:AT94"/>
    <mergeCell ref="AS93:AT93"/>
    <mergeCell ref="B94:D94"/>
    <mergeCell ref="E94:G94"/>
    <mergeCell ref="H94:J94"/>
    <mergeCell ref="K94:M94"/>
    <mergeCell ref="N94:P94"/>
    <mergeCell ref="Q94:S94"/>
    <mergeCell ref="T94:V94"/>
    <mergeCell ref="W94:Y94"/>
    <mergeCell ref="Z94:AB94"/>
    <mergeCell ref="Z93:AB93"/>
    <mergeCell ref="AC93:AE93"/>
    <mergeCell ref="AF93:AH93"/>
    <mergeCell ref="AI93:AK93"/>
    <mergeCell ref="AL93:AN93"/>
    <mergeCell ref="AO93:AQ93"/>
    <mergeCell ref="AO96:AQ96"/>
    <mergeCell ref="AS96:AT96"/>
    <mergeCell ref="B97:D97"/>
    <mergeCell ref="E97:G97"/>
    <mergeCell ref="H97:J97"/>
    <mergeCell ref="K97:M97"/>
    <mergeCell ref="N97:P97"/>
    <mergeCell ref="Q97:S97"/>
    <mergeCell ref="T97:V97"/>
    <mergeCell ref="W97:Y97"/>
    <mergeCell ref="W96:Y96"/>
    <mergeCell ref="Z96:AB96"/>
    <mergeCell ref="AC96:AE96"/>
    <mergeCell ref="AF96:AH96"/>
    <mergeCell ref="AI96:AK96"/>
    <mergeCell ref="AL96:AN96"/>
    <mergeCell ref="AL95:AN95"/>
    <mergeCell ref="AO95:AQ95"/>
    <mergeCell ref="AS95:AT95"/>
    <mergeCell ref="B96:D96"/>
    <mergeCell ref="E96:G96"/>
    <mergeCell ref="H96:J96"/>
    <mergeCell ref="K96:M96"/>
    <mergeCell ref="N96:P96"/>
    <mergeCell ref="Q96:S96"/>
    <mergeCell ref="T96:V96"/>
    <mergeCell ref="T95:V95"/>
    <mergeCell ref="W95:Y95"/>
    <mergeCell ref="Z95:AB95"/>
    <mergeCell ref="AC95:AE95"/>
    <mergeCell ref="AF95:AH95"/>
    <mergeCell ref="AI95:AK95"/>
    <mergeCell ref="B99:D99"/>
    <mergeCell ref="E99:G99"/>
    <mergeCell ref="H99:J99"/>
    <mergeCell ref="K99:M99"/>
    <mergeCell ref="N99:P99"/>
    <mergeCell ref="Q99:S99"/>
    <mergeCell ref="AC98:AE98"/>
    <mergeCell ref="AF98:AH98"/>
    <mergeCell ref="AI98:AK98"/>
    <mergeCell ref="AL98:AN98"/>
    <mergeCell ref="AO98:AQ98"/>
    <mergeCell ref="AS98:AT98"/>
    <mergeCell ref="AS97:AT97"/>
    <mergeCell ref="B98:D98"/>
    <mergeCell ref="E98:G98"/>
    <mergeCell ref="H98:J98"/>
    <mergeCell ref="K98:M98"/>
    <mergeCell ref="N98:P98"/>
    <mergeCell ref="Q98:S98"/>
    <mergeCell ref="T98:V98"/>
    <mergeCell ref="W98:Y98"/>
    <mergeCell ref="Z98:AB98"/>
    <mergeCell ref="Z97:AB97"/>
    <mergeCell ref="AC97:AE97"/>
    <mergeCell ref="AF97:AH97"/>
    <mergeCell ref="AI97:AK97"/>
    <mergeCell ref="AL97:AN97"/>
    <mergeCell ref="AO97:AQ97"/>
    <mergeCell ref="AO100:AQ100"/>
    <mergeCell ref="AS100:AT100"/>
    <mergeCell ref="B101:D101"/>
    <mergeCell ref="E101:G101"/>
    <mergeCell ref="H101:J101"/>
    <mergeCell ref="K101:M101"/>
    <mergeCell ref="N101:P101"/>
    <mergeCell ref="Q101:S101"/>
    <mergeCell ref="T101:V101"/>
    <mergeCell ref="W101:Y101"/>
    <mergeCell ref="W100:Y100"/>
    <mergeCell ref="Z100:AB100"/>
    <mergeCell ref="AC100:AE100"/>
    <mergeCell ref="AF100:AH100"/>
    <mergeCell ref="AI100:AK100"/>
    <mergeCell ref="AL100:AN100"/>
    <mergeCell ref="AL99:AN99"/>
    <mergeCell ref="AO99:AQ99"/>
    <mergeCell ref="AS99:AT99"/>
    <mergeCell ref="B100:D100"/>
    <mergeCell ref="E100:G100"/>
    <mergeCell ref="H100:J100"/>
    <mergeCell ref="K100:M100"/>
    <mergeCell ref="N100:P100"/>
    <mergeCell ref="Q100:S100"/>
    <mergeCell ref="T100:V100"/>
    <mergeCell ref="T99:V99"/>
    <mergeCell ref="W99:Y99"/>
    <mergeCell ref="Z99:AB99"/>
    <mergeCell ref="AC99:AE99"/>
    <mergeCell ref="AF99:AH99"/>
    <mergeCell ref="AI99:AK99"/>
    <mergeCell ref="E103:G103"/>
    <mergeCell ref="H103:J103"/>
    <mergeCell ref="K103:M103"/>
    <mergeCell ref="N103:P103"/>
    <mergeCell ref="Q103:S103"/>
    <mergeCell ref="AC102:AE102"/>
    <mergeCell ref="AF102:AH102"/>
    <mergeCell ref="AI102:AK102"/>
    <mergeCell ref="AL102:AN102"/>
    <mergeCell ref="AO102:AQ102"/>
    <mergeCell ref="AS102:AT102"/>
    <mergeCell ref="AS101:AT101"/>
    <mergeCell ref="B102:D102"/>
    <mergeCell ref="E102:G102"/>
    <mergeCell ref="H102:J102"/>
    <mergeCell ref="K102:M102"/>
    <mergeCell ref="N102:P102"/>
    <mergeCell ref="Q102:S102"/>
    <mergeCell ref="T102:V102"/>
    <mergeCell ref="W102:Y102"/>
    <mergeCell ref="Z102:AB102"/>
    <mergeCell ref="Z101:AB101"/>
    <mergeCell ref="AC101:AE101"/>
    <mergeCell ref="AF101:AH101"/>
    <mergeCell ref="AI101:AK101"/>
    <mergeCell ref="AL101:AN101"/>
    <mergeCell ref="AO101:AQ101"/>
    <mergeCell ref="AR104:AT104"/>
    <mergeCell ref="B105:D105"/>
    <mergeCell ref="AR105:AT105"/>
    <mergeCell ref="A106:AT107"/>
    <mergeCell ref="B108:D108"/>
    <mergeCell ref="E108:G108"/>
    <mergeCell ref="H108:J108"/>
    <mergeCell ref="K108:M108"/>
    <mergeCell ref="N108:P108"/>
    <mergeCell ref="W104:Y104"/>
    <mergeCell ref="Z104:AB104"/>
    <mergeCell ref="AC104:AE104"/>
    <mergeCell ref="AF104:AH104"/>
    <mergeCell ref="AI104:AK104"/>
    <mergeCell ref="AL104:AN104"/>
    <mergeCell ref="AL103:AN103"/>
    <mergeCell ref="AO103:AQ103"/>
    <mergeCell ref="AS103:AT103"/>
    <mergeCell ref="B104:D104"/>
    <mergeCell ref="E104:G104"/>
    <mergeCell ref="H104:J104"/>
    <mergeCell ref="K104:M104"/>
    <mergeCell ref="N104:P104"/>
    <mergeCell ref="Q104:S104"/>
    <mergeCell ref="T104:V104"/>
    <mergeCell ref="T103:V103"/>
    <mergeCell ref="W103:Y103"/>
    <mergeCell ref="Z103:AB103"/>
    <mergeCell ref="AC103:AE103"/>
    <mergeCell ref="AF103:AH103"/>
    <mergeCell ref="AI103:AK103"/>
    <mergeCell ref="B103:D103"/>
    <mergeCell ref="AI108:AK108"/>
    <mergeCell ref="AL108:AN108"/>
    <mergeCell ref="B109:D109"/>
    <mergeCell ref="E109:G109"/>
    <mergeCell ref="H109:J109"/>
    <mergeCell ref="K109:M109"/>
    <mergeCell ref="N109:P109"/>
    <mergeCell ref="Q109:S109"/>
    <mergeCell ref="T109:V109"/>
    <mergeCell ref="W109:Y109"/>
    <mergeCell ref="Q108:S108"/>
    <mergeCell ref="T108:V108"/>
    <mergeCell ref="W108:Y108"/>
    <mergeCell ref="Z108:AB108"/>
    <mergeCell ref="AC108:AE108"/>
    <mergeCell ref="AF108:AH108"/>
    <mergeCell ref="AO104:AQ104"/>
    <mergeCell ref="AI110:AK110"/>
    <mergeCell ref="AL110:AN110"/>
    <mergeCell ref="AQ110:AT110"/>
    <mergeCell ref="B111:D111"/>
    <mergeCell ref="E111:G111"/>
    <mergeCell ref="H111:J111"/>
    <mergeCell ref="K111:M111"/>
    <mergeCell ref="N111:P111"/>
    <mergeCell ref="Q111:S111"/>
    <mergeCell ref="T111:V111"/>
    <mergeCell ref="Q110:S110"/>
    <mergeCell ref="T110:V110"/>
    <mergeCell ref="W110:Y110"/>
    <mergeCell ref="Z110:AB110"/>
    <mergeCell ref="AC110:AE110"/>
    <mergeCell ref="AF110:AH110"/>
    <mergeCell ref="Z109:AB109"/>
    <mergeCell ref="AC109:AE109"/>
    <mergeCell ref="AF109:AH109"/>
    <mergeCell ref="AI109:AK109"/>
    <mergeCell ref="AL109:AN109"/>
    <mergeCell ref="B110:D110"/>
    <mergeCell ref="E110:G110"/>
    <mergeCell ref="H110:J110"/>
    <mergeCell ref="K110:M110"/>
    <mergeCell ref="N110:P110"/>
    <mergeCell ref="W112:Y112"/>
    <mergeCell ref="Z112:AB112"/>
    <mergeCell ref="AC112:AE112"/>
    <mergeCell ref="AF112:AH112"/>
    <mergeCell ref="AI112:AK112"/>
    <mergeCell ref="B112:D112"/>
    <mergeCell ref="E112:G112"/>
    <mergeCell ref="H112:J112"/>
    <mergeCell ref="K112:M112"/>
    <mergeCell ref="N112:P112"/>
    <mergeCell ref="Q112:S112"/>
    <mergeCell ref="W111:Y111"/>
    <mergeCell ref="Z111:AB111"/>
    <mergeCell ref="AC111:AE111"/>
    <mergeCell ref="AF111:AH111"/>
    <mergeCell ref="AI111:AK111"/>
    <mergeCell ref="AL111:AN111"/>
    <mergeCell ref="AI114:AK114"/>
    <mergeCell ref="AL114:AN114"/>
    <mergeCell ref="AI116:AK116"/>
    <mergeCell ref="A118:AT118"/>
    <mergeCell ref="AL27:AM27"/>
    <mergeCell ref="Q114:S114"/>
    <mergeCell ref="T114:V114"/>
    <mergeCell ref="W114:Y114"/>
    <mergeCell ref="Z114:AB114"/>
    <mergeCell ref="AC114:AE114"/>
    <mergeCell ref="AF114:AH114"/>
    <mergeCell ref="Z113:AB113"/>
    <mergeCell ref="AC113:AE113"/>
    <mergeCell ref="AF113:AH113"/>
    <mergeCell ref="AI113:AK113"/>
    <mergeCell ref="AL113:AN113"/>
    <mergeCell ref="B114:D114"/>
    <mergeCell ref="E114:G114"/>
    <mergeCell ref="H114:J114"/>
    <mergeCell ref="K114:M114"/>
    <mergeCell ref="N114:P114"/>
    <mergeCell ref="AL112:AN112"/>
    <mergeCell ref="AQ112:AU113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T112:V11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</dc:creator>
  <cp:lastModifiedBy>ANIPA</cp:lastModifiedBy>
  <dcterms:created xsi:type="dcterms:W3CDTF">2021-02-19T18:21:23Z</dcterms:created>
  <dcterms:modified xsi:type="dcterms:W3CDTF">2021-04-12T20:22:05Z</dcterms:modified>
</cp:coreProperties>
</file>