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dos\Desktop\FINANCEIRO\05. FINANCEIRO\2019\12. DEZ\Histórico Mensal\"/>
    </mc:Choice>
  </mc:AlternateContent>
  <xr:revisionPtr revIDLastSave="0" documentId="8_{2021A823-52AF-4E27-939C-AD2DB7AA3310}" xr6:coauthVersionLast="45" xr6:coauthVersionMax="45" xr10:uidLastSave="{00000000-0000-0000-0000-000000000000}"/>
  <bookViews>
    <workbookView xWindow="-120" yWindow="-120" windowWidth="20730" windowHeight="11160" xr2:uid="{F8D706CD-0FEE-4B5D-ABF1-E105F81BFF31}"/>
  </bookViews>
  <sheets>
    <sheet name="DE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1" i="1" l="1"/>
  <c r="E111" i="1" s="1"/>
  <c r="H111" i="1" s="1"/>
  <c r="K111" i="1" s="1"/>
  <c r="N111" i="1" s="1"/>
  <c r="Q111" i="1" s="1"/>
  <c r="T111" i="1" s="1"/>
  <c r="W111" i="1" s="1"/>
  <c r="Z111" i="1" s="1"/>
  <c r="AC111" i="1" s="1"/>
  <c r="AF111" i="1" s="1"/>
  <c r="B110" i="1"/>
  <c r="E110" i="1" s="1"/>
  <c r="H110" i="1" s="1"/>
  <c r="K110" i="1" s="1"/>
  <c r="N110" i="1" s="1"/>
  <c r="Q110" i="1" s="1"/>
  <c r="T110" i="1" s="1"/>
  <c r="W110" i="1" s="1"/>
  <c r="Z110" i="1" s="1"/>
  <c r="AC110" i="1" s="1"/>
  <c r="AF110" i="1" s="1"/>
  <c r="AL109" i="1"/>
  <c r="E108" i="1"/>
  <c r="E112" i="1" s="1"/>
  <c r="B108" i="1"/>
  <c r="B112" i="1" s="1"/>
  <c r="AF107" i="1"/>
  <c r="AI107" i="1" s="1"/>
  <c r="AL107" i="1" s="1"/>
  <c r="AF106" i="1"/>
  <c r="AI106" i="1" s="1"/>
  <c r="B102" i="1"/>
  <c r="K101" i="1"/>
  <c r="AO99" i="1"/>
  <c r="AS99" i="1" s="1"/>
  <c r="AC99" i="1"/>
  <c r="AO98" i="1"/>
  <c r="AS98" i="1" s="1"/>
  <c r="AL98" i="1"/>
  <c r="W98" i="1"/>
  <c r="AO97" i="1"/>
  <c r="AS97" i="1" s="1"/>
  <c r="AL97" i="1"/>
  <c r="AC97" i="1"/>
  <c r="Z97" i="1"/>
  <c r="Z92" i="1" s="1"/>
  <c r="AO96" i="1"/>
  <c r="AS96" i="1" s="1"/>
  <c r="AL96" i="1"/>
  <c r="AL92" i="1" s="1"/>
  <c r="AC96" i="1"/>
  <c r="AO95" i="1"/>
  <c r="AS95" i="1" s="1"/>
  <c r="AL95" i="1"/>
  <c r="AC95" i="1"/>
  <c r="AS94" i="1"/>
  <c r="AO94" i="1"/>
  <c r="AL94" i="1"/>
  <c r="AC94" i="1"/>
  <c r="AS93" i="1"/>
  <c r="AO93" i="1"/>
  <c r="AL93" i="1"/>
  <c r="AI93" i="1"/>
  <c r="AC93" i="1"/>
  <c r="Z93" i="1"/>
  <c r="W93" i="1"/>
  <c r="AI92" i="1"/>
  <c r="AF92" i="1"/>
  <c r="AC92" i="1"/>
  <c r="W92" i="1"/>
  <c r="T92" i="1"/>
  <c r="Q92" i="1"/>
  <c r="N92" i="1"/>
  <c r="K92" i="1"/>
  <c r="H92" i="1"/>
  <c r="E92" i="1"/>
  <c r="AO91" i="1"/>
  <c r="AS91" i="1" s="1"/>
  <c r="Z91" i="1"/>
  <c r="AO90" i="1"/>
  <c r="AS90" i="1" s="1"/>
  <c r="AF90" i="1"/>
  <c r="AC90" i="1"/>
  <c r="W90" i="1"/>
  <c r="AO89" i="1"/>
  <c r="AS89" i="1" s="1"/>
  <c r="AS88" i="1"/>
  <c r="AO88" i="1"/>
  <c r="Z88" i="1"/>
  <c r="W88" i="1"/>
  <c r="W87" i="1" s="1"/>
  <c r="AL87" i="1"/>
  <c r="AI87" i="1"/>
  <c r="AF87" i="1"/>
  <c r="AC87" i="1"/>
  <c r="Z87" i="1"/>
  <c r="T87" i="1"/>
  <c r="Q87" i="1"/>
  <c r="N87" i="1"/>
  <c r="K87" i="1"/>
  <c r="H87" i="1"/>
  <c r="E87" i="1"/>
  <c r="AS86" i="1"/>
  <c r="AO86" i="1"/>
  <c r="AI86" i="1"/>
  <c r="AC86" i="1"/>
  <c r="Z86" i="1"/>
  <c r="AO85" i="1"/>
  <c r="AS85" i="1" s="1"/>
  <c r="AL85" i="1"/>
  <c r="AI85" i="1"/>
  <c r="AC85" i="1"/>
  <c r="Z85" i="1"/>
  <c r="AO84" i="1"/>
  <c r="AS84" i="1" s="1"/>
  <c r="AL84" i="1"/>
  <c r="AL81" i="1" s="1"/>
  <c r="AI84" i="1"/>
  <c r="AF84" i="1"/>
  <c r="AC84" i="1"/>
  <c r="Z84" i="1"/>
  <c r="Z81" i="1" s="1"/>
  <c r="W84" i="1"/>
  <c r="AS83" i="1"/>
  <c r="AS82" i="1"/>
  <c r="AS81" i="1" s="1"/>
  <c r="AO81" i="1"/>
  <c r="AI81" i="1"/>
  <c r="AF81" i="1"/>
  <c r="AC81" i="1"/>
  <c r="W81" i="1"/>
  <c r="T81" i="1"/>
  <c r="Q81" i="1"/>
  <c r="N81" i="1"/>
  <c r="K81" i="1"/>
  <c r="H81" i="1"/>
  <c r="E81" i="1"/>
  <c r="AO80" i="1"/>
  <c r="AS80" i="1" s="1"/>
  <c r="AL80" i="1"/>
  <c r="AI80" i="1"/>
  <c r="AF80" i="1"/>
  <c r="AC80" i="1"/>
  <c r="Z80" i="1"/>
  <c r="W80" i="1"/>
  <c r="AO79" i="1"/>
  <c r="AS79" i="1" s="1"/>
  <c r="AL79" i="1"/>
  <c r="AI79" i="1"/>
  <c r="AF79" i="1"/>
  <c r="AC79" i="1"/>
  <c r="Z79" i="1"/>
  <c r="W79" i="1"/>
  <c r="AS78" i="1"/>
  <c r="AO77" i="1"/>
  <c r="AS77" i="1" s="1"/>
  <c r="AI77" i="1"/>
  <c r="AF77" i="1"/>
  <c r="Z77" i="1"/>
  <c r="W77" i="1"/>
  <c r="AS76" i="1"/>
  <c r="AO76" i="1"/>
  <c r="AF76" i="1"/>
  <c r="AS75" i="1"/>
  <c r="AO75" i="1"/>
  <c r="AL75" i="1"/>
  <c r="AI75" i="1"/>
  <c r="AF75" i="1"/>
  <c r="AC75" i="1"/>
  <c r="Z75" i="1"/>
  <c r="W75" i="1"/>
  <c r="AO74" i="1"/>
  <c r="AS74" i="1" s="1"/>
  <c r="AL74" i="1"/>
  <c r="AI74" i="1"/>
  <c r="AF74" i="1"/>
  <c r="AC74" i="1"/>
  <c r="Z74" i="1"/>
  <c r="W74" i="1"/>
  <c r="AO73" i="1"/>
  <c r="AS73" i="1" s="1"/>
  <c r="AL73" i="1"/>
  <c r="AI73" i="1"/>
  <c r="AI68" i="1" s="1"/>
  <c r="AF73" i="1"/>
  <c r="AC73" i="1"/>
  <c r="AC68" i="1" s="1"/>
  <c r="Z73" i="1"/>
  <c r="W73" i="1"/>
  <c r="AS72" i="1"/>
  <c r="AO72" i="1"/>
  <c r="AL72" i="1"/>
  <c r="AI72" i="1"/>
  <c r="W72" i="1"/>
  <c r="W68" i="1" s="1"/>
  <c r="AO71" i="1"/>
  <c r="AS71" i="1" s="1"/>
  <c r="AS70" i="1"/>
  <c r="AO70" i="1"/>
  <c r="AS69" i="1"/>
  <c r="AL68" i="1"/>
  <c r="AF68" i="1"/>
  <c r="Z68" i="1"/>
  <c r="T68" i="1"/>
  <c r="Q68" i="1"/>
  <c r="N68" i="1"/>
  <c r="K68" i="1"/>
  <c r="H68" i="1"/>
  <c r="E68" i="1"/>
  <c r="AS67" i="1"/>
  <c r="AO66" i="1"/>
  <c r="AS66" i="1" s="1"/>
  <c r="AL66" i="1"/>
  <c r="AI66" i="1"/>
  <c r="AF66" i="1"/>
  <c r="AC66" i="1"/>
  <c r="Z66" i="1"/>
  <c r="W66" i="1"/>
  <c r="AS65" i="1"/>
  <c r="AO65" i="1"/>
  <c r="AL65" i="1"/>
  <c r="AI65" i="1"/>
  <c r="AF65" i="1"/>
  <c r="AF63" i="1" s="1"/>
  <c r="AC65" i="1"/>
  <c r="Z65" i="1"/>
  <c r="W65" i="1"/>
  <c r="AS64" i="1"/>
  <c r="AO64" i="1"/>
  <c r="AL64" i="1"/>
  <c r="AI64" i="1"/>
  <c r="AI63" i="1" s="1"/>
  <c r="AF64" i="1"/>
  <c r="AC64" i="1"/>
  <c r="AC63" i="1" s="1"/>
  <c r="Z64" i="1"/>
  <c r="W64" i="1"/>
  <c r="W63" i="1" s="1"/>
  <c r="AL63" i="1"/>
  <c r="Z63" i="1"/>
  <c r="T63" i="1"/>
  <c r="Q63" i="1"/>
  <c r="N63" i="1"/>
  <c r="K63" i="1"/>
  <c r="H63" i="1"/>
  <c r="E63" i="1"/>
  <c r="AS62" i="1"/>
  <c r="B62" i="1"/>
  <c r="AS61" i="1"/>
  <c r="AO61" i="1"/>
  <c r="B61" i="1"/>
  <c r="AS60" i="1"/>
  <c r="B60" i="1"/>
  <c r="AS59" i="1"/>
  <c r="B59" i="1"/>
  <c r="AO58" i="1"/>
  <c r="AS58" i="1" s="1"/>
  <c r="AL58" i="1"/>
  <c r="B58" i="1"/>
  <c r="AO57" i="1"/>
  <c r="AS57" i="1" s="1"/>
  <c r="AI57" i="1"/>
  <c r="AF57" i="1"/>
  <c r="AC57" i="1"/>
  <c r="Z57" i="1"/>
  <c r="W57" i="1"/>
  <c r="B57" i="1"/>
  <c r="AS56" i="1"/>
  <c r="AO56" i="1"/>
  <c r="AL56" i="1"/>
  <c r="AI56" i="1"/>
  <c r="AF56" i="1"/>
  <c r="AC56" i="1"/>
  <c r="Z56" i="1"/>
  <c r="W56" i="1"/>
  <c r="B56" i="1"/>
  <c r="B50" i="1" s="1"/>
  <c r="AO55" i="1"/>
  <c r="AS55" i="1" s="1"/>
  <c r="AL55" i="1"/>
  <c r="AL50" i="1" s="1"/>
  <c r="AI55" i="1"/>
  <c r="AF55" i="1"/>
  <c r="AC55" i="1"/>
  <c r="Z55" i="1"/>
  <c r="Z50" i="1" s="1"/>
  <c r="W55" i="1"/>
  <c r="B55" i="1"/>
  <c r="AS54" i="1"/>
  <c r="B54" i="1"/>
  <c r="AO53" i="1"/>
  <c r="AS53" i="1" s="1"/>
  <c r="AL53" i="1"/>
  <c r="AI53" i="1"/>
  <c r="AI50" i="1" s="1"/>
  <c r="AF53" i="1"/>
  <c r="AC53" i="1"/>
  <c r="AC50" i="1" s="1"/>
  <c r="Z53" i="1"/>
  <c r="W53" i="1"/>
  <c r="W50" i="1" s="1"/>
  <c r="B53" i="1"/>
  <c r="AS52" i="1"/>
  <c r="AO52" i="1"/>
  <c r="B52" i="1"/>
  <c r="AS51" i="1"/>
  <c r="B51" i="1"/>
  <c r="AF50" i="1"/>
  <c r="T50" i="1"/>
  <c r="Q50" i="1"/>
  <c r="N50" i="1"/>
  <c r="K50" i="1"/>
  <c r="H50" i="1"/>
  <c r="E50" i="1"/>
  <c r="AS49" i="1"/>
  <c r="AO49" i="1"/>
  <c r="AI49" i="1"/>
  <c r="B49" i="1"/>
  <c r="AS48" i="1"/>
  <c r="AO48" i="1"/>
  <c r="AI48" i="1"/>
  <c r="Z48" i="1"/>
  <c r="Z46" i="1" s="1"/>
  <c r="W48" i="1"/>
  <c r="B48" i="1"/>
  <c r="B46" i="1" s="1"/>
  <c r="AS47" i="1"/>
  <c r="AO47" i="1"/>
  <c r="AC47" i="1"/>
  <c r="B47" i="1"/>
  <c r="AS46" i="1"/>
  <c r="AO46" i="1"/>
  <c r="AL46" i="1"/>
  <c r="AI46" i="1"/>
  <c r="AF46" i="1"/>
  <c r="AC46" i="1"/>
  <c r="W46" i="1"/>
  <c r="T46" i="1"/>
  <c r="Q46" i="1"/>
  <c r="N46" i="1"/>
  <c r="K46" i="1"/>
  <c r="H46" i="1"/>
  <c r="E46" i="1"/>
  <c r="AS45" i="1"/>
  <c r="AO45" i="1"/>
  <c r="AL45" i="1"/>
  <c r="AI45" i="1"/>
  <c r="AI42" i="1" s="1"/>
  <c r="AS44" i="1"/>
  <c r="B44" i="1"/>
  <c r="AS43" i="1"/>
  <c r="AS42" i="1" s="1"/>
  <c r="B43" i="1"/>
  <c r="AL42" i="1"/>
  <c r="AF42" i="1"/>
  <c r="AC42" i="1"/>
  <c r="Z42" i="1"/>
  <c r="W42" i="1"/>
  <c r="T42" i="1"/>
  <c r="Q42" i="1"/>
  <c r="N42" i="1"/>
  <c r="K42" i="1"/>
  <c r="H42" i="1"/>
  <c r="H100" i="1" s="1"/>
  <c r="H101" i="1" s="1"/>
  <c r="E42" i="1"/>
  <c r="B42" i="1"/>
  <c r="AS41" i="1"/>
  <c r="B41" i="1"/>
  <c r="AO40" i="1"/>
  <c r="AS40" i="1" s="1"/>
  <c r="B40" i="1"/>
  <c r="AS39" i="1"/>
  <c r="B39" i="1"/>
  <c r="AO38" i="1"/>
  <c r="AS38" i="1" s="1"/>
  <c r="AI38" i="1"/>
  <c r="AF38" i="1"/>
  <c r="B38" i="1"/>
  <c r="AO37" i="1"/>
  <c r="AS37" i="1" s="1"/>
  <c r="AL37" i="1"/>
  <c r="AI37" i="1"/>
  <c r="AF37" i="1"/>
  <c r="AC37" i="1"/>
  <c r="Z37" i="1"/>
  <c r="W37" i="1"/>
  <c r="B37" i="1"/>
  <c r="AO36" i="1"/>
  <c r="AS36" i="1" s="1"/>
  <c r="AL36" i="1"/>
  <c r="AI36" i="1"/>
  <c r="AF36" i="1"/>
  <c r="AC36" i="1"/>
  <c r="Z36" i="1"/>
  <c r="W36" i="1"/>
  <c r="B36" i="1"/>
  <c r="B33" i="1" s="1"/>
  <c r="AO35" i="1"/>
  <c r="AS35" i="1" s="1"/>
  <c r="AL35" i="1"/>
  <c r="AL33" i="1" s="1"/>
  <c r="AI35" i="1"/>
  <c r="AF35" i="1"/>
  <c r="AF33" i="1" s="1"/>
  <c r="AF100" i="1" s="1"/>
  <c r="AC35" i="1"/>
  <c r="Z35" i="1"/>
  <c r="Z33" i="1" s="1"/>
  <c r="W35" i="1"/>
  <c r="AS34" i="1"/>
  <c r="AO34" i="1"/>
  <c r="B34" i="1"/>
  <c r="AI33" i="1"/>
  <c r="AC33" i="1"/>
  <c r="W33" i="1"/>
  <c r="W100" i="1" s="1"/>
  <c r="T33" i="1"/>
  <c r="T100" i="1" s="1"/>
  <c r="Q33" i="1"/>
  <c r="Q100" i="1" s="1"/>
  <c r="N33" i="1"/>
  <c r="N100" i="1" s="1"/>
  <c r="K33" i="1"/>
  <c r="H33" i="1"/>
  <c r="E33" i="1"/>
  <c r="E100" i="1" s="1"/>
  <c r="AO27" i="1"/>
  <c r="V27" i="1"/>
  <c r="T101" i="1" s="1"/>
  <c r="S27" i="1"/>
  <c r="Q101" i="1" s="1"/>
  <c r="P27" i="1"/>
  <c r="N101" i="1" s="1"/>
  <c r="M27" i="1"/>
  <c r="J27" i="1"/>
  <c r="E27" i="1"/>
  <c r="H27" i="1" s="1"/>
  <c r="K27" i="1" s="1"/>
  <c r="N27" i="1" s="1"/>
  <c r="Q27" i="1" s="1"/>
  <c r="T27" i="1" s="1"/>
  <c r="W27" i="1" s="1"/>
  <c r="Z27" i="1" s="1"/>
  <c r="AC27" i="1" s="1"/>
  <c r="AF27" i="1" s="1"/>
  <c r="AI27" i="1" s="1"/>
  <c r="AL27" i="1" s="1"/>
  <c r="AN26" i="1"/>
  <c r="AQ26" i="1" s="1"/>
  <c r="AT26" i="1" s="1"/>
  <c r="AN25" i="1"/>
  <c r="AK25" i="1"/>
  <c r="AH25" i="1"/>
  <c r="AE25" i="1"/>
  <c r="AB25" i="1"/>
  <c r="Y25" i="1"/>
  <c r="G25" i="1"/>
  <c r="AQ25" i="1" s="1"/>
  <c r="AT25" i="1" s="1"/>
  <c r="D25" i="1"/>
  <c r="AP24" i="1"/>
  <c r="AO24" i="1"/>
  <c r="AN24" i="1"/>
  <c r="AN27" i="1" s="1"/>
  <c r="AK24" i="1"/>
  <c r="AK27" i="1" s="1"/>
  <c r="AJ24" i="1"/>
  <c r="AI24" i="1"/>
  <c r="AH24" i="1"/>
  <c r="AH27" i="1" s="1"/>
  <c r="AE24" i="1"/>
  <c r="AE27" i="1" s="1"/>
  <c r="AC24" i="1"/>
  <c r="AB24" i="1"/>
  <c r="AB27" i="1" s="1"/>
  <c r="AA24" i="1"/>
  <c r="Z24" i="1"/>
  <c r="Y24" i="1"/>
  <c r="Y27" i="1" s="1"/>
  <c r="W101" i="1" s="1"/>
  <c r="X24" i="1"/>
  <c r="W24" i="1"/>
  <c r="AS24" i="1" s="1"/>
  <c r="G24" i="1"/>
  <c r="AQ24" i="1" s="1"/>
  <c r="D24" i="1"/>
  <c r="B24" i="1"/>
  <c r="B27" i="1" s="1"/>
  <c r="AT23" i="1"/>
  <c r="AS23" i="1"/>
  <c r="AS27" i="1" s="1"/>
  <c r="D23" i="1"/>
  <c r="D27" i="1" s="1"/>
  <c r="B17" i="1"/>
  <c r="AR15" i="1"/>
  <c r="AO15" i="1"/>
  <c r="B15" i="1"/>
  <c r="B14" i="1"/>
  <c r="B13" i="1"/>
  <c r="B12" i="1" s="1"/>
  <c r="AR12" i="1"/>
  <c r="AO12" i="1"/>
  <c r="AC100" i="1" l="1"/>
  <c r="AC101" i="1" s="1"/>
  <c r="AS33" i="1"/>
  <c r="AL106" i="1"/>
  <c r="AF101" i="1"/>
  <c r="AL101" i="1"/>
  <c r="AI100" i="1"/>
  <c r="AS50" i="1"/>
  <c r="AS92" i="1"/>
  <c r="B101" i="1"/>
  <c r="B16" i="1"/>
  <c r="B18" i="1" s="1"/>
  <c r="AT24" i="1"/>
  <c r="AT27" i="1" s="1"/>
  <c r="AQ27" i="1"/>
  <c r="AI101" i="1"/>
  <c r="AR24" i="1"/>
  <c r="AS68" i="1"/>
  <c r="Z100" i="1"/>
  <c r="Z101" i="1" s="1"/>
  <c r="AL100" i="1"/>
  <c r="AS63" i="1"/>
  <c r="AS87" i="1"/>
  <c r="G27" i="1"/>
  <c r="E101" i="1" s="1"/>
  <c r="AO63" i="1"/>
  <c r="AO68" i="1"/>
  <c r="AO87" i="1"/>
  <c r="H108" i="1"/>
  <c r="AO33" i="1"/>
  <c r="AO92" i="1"/>
  <c r="AO42" i="1"/>
  <c r="AO50" i="1"/>
  <c r="AR16" i="1" l="1"/>
  <c r="AR18" i="1" s="1"/>
  <c r="AS100" i="1"/>
  <c r="AR17" i="1" s="1"/>
  <c r="K108" i="1"/>
  <c r="H112" i="1"/>
  <c r="AO100" i="1"/>
  <c r="AR50" i="1" s="1"/>
  <c r="AR27" i="1"/>
  <c r="AO16" i="1"/>
  <c r="AR26" i="1"/>
  <c r="AR25" i="1"/>
  <c r="AR33" i="1" l="1"/>
  <c r="AR42" i="1"/>
  <c r="AO101" i="1"/>
  <c r="AR45" i="1" s="1"/>
  <c r="AR92" i="1"/>
  <c r="AR100" i="1"/>
  <c r="AR82" i="1"/>
  <c r="AR67" i="1"/>
  <c r="AR62" i="1"/>
  <c r="AR51" i="1"/>
  <c r="AR43" i="1"/>
  <c r="AR78" i="1"/>
  <c r="AR69" i="1"/>
  <c r="AR49" i="1"/>
  <c r="AR37" i="1"/>
  <c r="AR35" i="1"/>
  <c r="AR96" i="1"/>
  <c r="AR89" i="1"/>
  <c r="AR84" i="1"/>
  <c r="AR80" i="1"/>
  <c r="AR77" i="1"/>
  <c r="AR74" i="1"/>
  <c r="AR71" i="1"/>
  <c r="AR58" i="1"/>
  <c r="AR55" i="1"/>
  <c r="AR44" i="1"/>
  <c r="AR38" i="1"/>
  <c r="AR36" i="1"/>
  <c r="AR94" i="1"/>
  <c r="AR91" i="1"/>
  <c r="AR60" i="1"/>
  <c r="AR41" i="1"/>
  <c r="AR83" i="1"/>
  <c r="AR59" i="1"/>
  <c r="AR39" i="1"/>
  <c r="AO17" i="1"/>
  <c r="AO18" i="1" s="1"/>
  <c r="AR97" i="1"/>
  <c r="AR90" i="1"/>
  <c r="AR72" i="1"/>
  <c r="AR65" i="1"/>
  <c r="AR61" i="1"/>
  <c r="AR56" i="1"/>
  <c r="AR54" i="1"/>
  <c r="AR47" i="1"/>
  <c r="AR64" i="1"/>
  <c r="AR93" i="1"/>
  <c r="AR34" i="1"/>
  <c r="AR79" i="1"/>
  <c r="AR98" i="1"/>
  <c r="AR85" i="1"/>
  <c r="AR75" i="1"/>
  <c r="AR52" i="1"/>
  <c r="AR53" i="1"/>
  <c r="AR81" i="1"/>
  <c r="AR88" i="1"/>
  <c r="AR57" i="1"/>
  <c r="AR73" i="1"/>
  <c r="AR95" i="1"/>
  <c r="AR70" i="1"/>
  <c r="AR48" i="1"/>
  <c r="AR76" i="1"/>
  <c r="AR40" i="1"/>
  <c r="AR66" i="1"/>
  <c r="AR99" i="1"/>
  <c r="AR46" i="1"/>
  <c r="AR86" i="1"/>
  <c r="AR68" i="1"/>
  <c r="N108" i="1"/>
  <c r="K112" i="1"/>
  <c r="AR63" i="1"/>
  <c r="AR87" i="1"/>
  <c r="AR101" i="1"/>
  <c r="N112" i="1" l="1"/>
  <c r="Q108" i="1"/>
  <c r="Q112" i="1" l="1"/>
  <c r="T108" i="1"/>
  <c r="W108" i="1" l="1"/>
  <c r="T112" i="1"/>
  <c r="Z108" i="1" l="1"/>
  <c r="W112" i="1"/>
  <c r="Z112" i="1" l="1"/>
  <c r="AC108" i="1"/>
  <c r="AF108" i="1" l="1"/>
  <c r="AC112" i="1"/>
  <c r="AI108" i="1" l="1"/>
  <c r="AF112" i="1"/>
  <c r="AL108" i="1" l="1"/>
  <c r="AL112" i="1" s="1"/>
  <c r="AI112" i="1"/>
</calcChain>
</file>

<file path=xl/sharedStrings.xml><?xml version="1.0" encoding="utf-8"?>
<sst xmlns="http://schemas.openxmlformats.org/spreadsheetml/2006/main" count="194" uniqueCount="121">
  <si>
    <r>
      <t xml:space="preserve">CONTROLE FINANCEIRO 2019
</t>
    </r>
    <r>
      <rPr>
        <b/>
        <sz val="12"/>
        <rFont val="Calibri"/>
        <family val="2"/>
        <scheme val="minor"/>
      </rPr>
      <t>Posição DEZEMBRO</t>
    </r>
  </si>
  <si>
    <t>DETALHAMENTO DE BENS E RECEITAS</t>
  </si>
  <si>
    <t>Bens da ANIPA</t>
  </si>
  <si>
    <t>Acumulado 2018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</si>
  <si>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</si>
  <si>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</si>
  <si>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</si>
  <si>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</si>
  <si>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</si>
  <si>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</si>
  <si>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</si>
  <si>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</si>
  <si>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</si>
  <si>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</si>
  <si>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</si>
  <si>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</si>
  <si>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2019</t>
  </si>
  <si>
    <t>Evolução histórica</t>
  </si>
  <si>
    <t xml:space="preserve">Total bens </t>
  </si>
  <si>
    <t>Imobilizado (computadores, equipamentos)</t>
  </si>
  <si>
    <t>Intangível (softwares)</t>
  </si>
  <si>
    <t>(-) Depreciação acumulada</t>
  </si>
  <si>
    <t>Receitas</t>
  </si>
  <si>
    <t>Despesas</t>
  </si>
  <si>
    <t>Total Parcial e Acumulado</t>
  </si>
  <si>
    <t>Associados / Receitas</t>
  </si>
  <si>
    <t>%</t>
  </si>
  <si>
    <t>Q</t>
  </si>
  <si>
    <t>Valor</t>
  </si>
  <si>
    <t>S</t>
  </si>
  <si>
    <t>E</t>
  </si>
  <si>
    <t>Receitas anteriores / Associados</t>
  </si>
  <si>
    <t>Associados / Mensalidades</t>
  </si>
  <si>
    <t>Receitas Financeiras</t>
  </si>
  <si>
    <t xml:space="preserve">Outras Receitas </t>
  </si>
  <si>
    <t>Total Associados / Receitas</t>
  </si>
  <si>
    <r>
      <rPr>
        <i/>
        <sz val="10"/>
        <rFont val="Calibri"/>
        <family val="2"/>
        <scheme val="minor"/>
      </rPr>
      <t>OBS.:</t>
    </r>
    <r>
      <rPr>
        <sz val="10"/>
        <rFont val="Calibri"/>
        <family val="2"/>
        <scheme val="minor"/>
      </rPr>
      <t xml:space="preserve"> O total arrecadado não corresponde ao total de associados devido às divergências cadastrais e insuficiências de fundos em algumas contas.</t>
    </r>
  </si>
  <si>
    <t>DETALHAMENTO DE DESPESAS</t>
  </si>
  <si>
    <t>Serviços de Terceiros</t>
  </si>
  <si>
    <t>Serviços administrativos Advogados</t>
  </si>
  <si>
    <t>Assessoria Jurídica</t>
  </si>
  <si>
    <t xml:space="preserve">Serviços Contábeis </t>
  </si>
  <si>
    <t>Assessoria Atuarial</t>
  </si>
  <si>
    <t>Consultoria/Assessoria Técnica (Fin, Cont, TI)</t>
  </si>
  <si>
    <t>Telemarketing (associados regular termos)</t>
  </si>
  <si>
    <t>Assessoria Comunicação</t>
  </si>
  <si>
    <t xml:space="preserve">Serviços eventuais de apoio </t>
  </si>
  <si>
    <t>Custos das Ações</t>
  </si>
  <si>
    <t>Honorários Advocatícios Iniciais Ações</t>
  </si>
  <si>
    <t>Honorários mensais das ações</t>
  </si>
  <si>
    <t>Taxas de ajuizamento de ações</t>
  </si>
  <si>
    <t>Registros/Cartórios/Publicações</t>
  </si>
  <si>
    <t>Registros e Taxas(Cart, Pref, RF...)</t>
  </si>
  <si>
    <t>Cartórios (Aut, Doc, Rec Firma)</t>
  </si>
  <si>
    <t>Publicações Legais/Editais</t>
  </si>
  <si>
    <t>Tecnologia</t>
  </si>
  <si>
    <t>Desenvolvimento/Hospedagem SITE e Sistema inicial</t>
  </si>
  <si>
    <t>Desenvolvimento novo SITE</t>
  </si>
  <si>
    <t xml:space="preserve">Hospedagem/Manutenção novo SITE </t>
  </si>
  <si>
    <t xml:space="preserve">Desenvolvimento novo Sistema ANIPA </t>
  </si>
  <si>
    <t xml:space="preserve">Hospedagem / Manutenção novo Sistema ANIPA </t>
  </si>
  <si>
    <t>Serviço de E-mail</t>
  </si>
  <si>
    <t>Serviço de Mensagens por celular</t>
  </si>
  <si>
    <t>Desenv/Serviço Sist Assembleia Virtual</t>
  </si>
  <si>
    <t>Desenv/Serviço Sist Eleição Virtual</t>
  </si>
  <si>
    <t>Desenv/Serviço Fórum Site ANIPA</t>
  </si>
  <si>
    <t>Registro Domínio ANIPA</t>
  </si>
  <si>
    <t>Certificado Segurança SITE / Certificado Digital</t>
  </si>
  <si>
    <t>Bancos/Impostos/Juros</t>
  </si>
  <si>
    <t>Tarifas Bancárias CAIXA</t>
  </si>
  <si>
    <t>Impostos recolhidos à terceiros (INSS, IR, CONTR. FEDER. ...)</t>
  </si>
  <si>
    <t>IRRF/IOF operações financeiras (sobre os investimentos)</t>
  </si>
  <si>
    <t>Despesas com Juros/Outras despesas financeiras</t>
  </si>
  <si>
    <t xml:space="preserve">Escritório ANIPA </t>
  </si>
  <si>
    <t>Móveis/Utensílios</t>
  </si>
  <si>
    <t>Computadores 3, impressoras 1, celular 1</t>
  </si>
  <si>
    <t>Softwares (Office, Antivírus, Adobe mensal)</t>
  </si>
  <si>
    <t>Material Escritório</t>
  </si>
  <si>
    <t xml:space="preserve">Aluguel/Condomínio/IPTU/Taxas </t>
  </si>
  <si>
    <t xml:space="preserve">Luz/Telefone/Internet </t>
  </si>
  <si>
    <t>Diversos (café, água, copos, chaves, etc.)</t>
  </si>
  <si>
    <t>Manutenção (de computadores, impressora)</t>
  </si>
  <si>
    <t>Higiene e Limpeza (material e serviço)</t>
  </si>
  <si>
    <t>Serviço de Seleção e Recrutamento</t>
  </si>
  <si>
    <t>Salários (mês, 13°, férias, rescisão)</t>
  </si>
  <si>
    <t xml:space="preserve">Encargos trabalhistas (INSS, FGTS, PIS, Transp, Alim, Sind) </t>
  </si>
  <si>
    <t>Outros Serviços</t>
  </si>
  <si>
    <t>Serv. Gráficos/Digitalizações/Cópias</t>
  </si>
  <si>
    <t>Serviços MSN/Telefonia</t>
  </si>
  <si>
    <t>Motoboy</t>
  </si>
  <si>
    <t>Correios</t>
  </si>
  <si>
    <t>Deslocamento (para serviços externos)</t>
  </si>
  <si>
    <t>Outros</t>
  </si>
  <si>
    <t>Locação sala Eventos/Assembleia/Equipamentos</t>
  </si>
  <si>
    <t>Apoio a mobilizações</t>
  </si>
  <si>
    <t>Devoluções/Recebimentos indevidos</t>
  </si>
  <si>
    <t>Participações em outras associações</t>
  </si>
  <si>
    <t>Despesas Viagens</t>
  </si>
  <si>
    <t>Presidência</t>
  </si>
  <si>
    <t>Jurídico</t>
  </si>
  <si>
    <t>Financeiro</t>
  </si>
  <si>
    <t>Técnico</t>
  </si>
  <si>
    <t>Comunicação</t>
  </si>
  <si>
    <t>Conselho Fiscal</t>
  </si>
  <si>
    <t>Associados / Prestador de serviço / Funcionários (1)</t>
  </si>
  <si>
    <t>Total Despesas</t>
  </si>
  <si>
    <t>Resultado / Saldo em Conta</t>
  </si>
  <si>
    <t>Despesas Acumuladas até 2018</t>
  </si>
  <si>
    <t>Investimentos</t>
  </si>
  <si>
    <t>Acumulado até 2018</t>
  </si>
  <si>
    <t>Caixa FIC GIRO EMPRESAS</t>
  </si>
  <si>
    <t>Caixa FIC PREMIUM</t>
  </si>
  <si>
    <t>CDB Flex Empresarial</t>
  </si>
  <si>
    <t>Bolsa Americana Multimercado</t>
  </si>
  <si>
    <r>
      <t xml:space="preserve">Caixa FIC GIRO </t>
    </r>
    <r>
      <rPr>
        <sz val="11"/>
        <color rgb="FFFF0000"/>
        <rFont val="Calibri"/>
        <family val="2"/>
        <scheme val="minor"/>
      </rPr>
      <t>- encerrado em 09/10</t>
    </r>
  </si>
  <si>
    <r>
      <t>Caixa FI RENDA FIXA Simples</t>
    </r>
    <r>
      <rPr>
        <sz val="11"/>
        <color rgb="FFFF0000"/>
        <rFont val="Calibri"/>
        <family val="2"/>
        <scheme val="minor"/>
      </rPr>
      <t xml:space="preserve"> - encerrado em 09/10</t>
    </r>
  </si>
  <si>
    <t>Saldos totais</t>
  </si>
  <si>
    <t>Evolução histórica desde a fundação - MAR/2015</t>
  </si>
  <si>
    <r>
      <t xml:space="preserve">Q - </t>
    </r>
    <r>
      <rPr>
        <sz val="10"/>
        <color theme="1"/>
        <rFont val="Calibri"/>
        <family val="2"/>
        <scheme val="minor"/>
      </rPr>
      <t>Quantidade acumulada</t>
    </r>
  </si>
  <si>
    <r>
      <t xml:space="preserve">E - </t>
    </r>
    <r>
      <rPr>
        <sz val="10"/>
        <color theme="1"/>
        <rFont val="Calibri"/>
        <family val="2"/>
        <scheme val="minor"/>
      </rPr>
      <t>Entraram na ANIPA</t>
    </r>
  </si>
  <si>
    <t>(1) A serviço ou representação da ANIPA.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</si>
</sst>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_ ;\-#,##0\ 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9ECA8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vertical="center"/>
    </xf>
    <xf numFmtId="4" fontId="9" fillId="7" borderId="4" xfId="0" applyNumberFormat="1" applyFont="1" applyFill="1" applyBorder="1" applyAlignment="1">
      <alignment horizontal="right"/>
    </xf>
    <xf numFmtId="4" fontId="9" fillId="7" borderId="5" xfId="0" applyNumberFormat="1" applyFont="1" applyFill="1" applyBorder="1" applyAlignment="1">
      <alignment horizontal="right"/>
    </xf>
    <xf numFmtId="4" fontId="9" fillId="7" borderId="6" xfId="0" applyNumberFormat="1" applyFont="1" applyFill="1" applyBorder="1" applyAlignment="1">
      <alignment horizontal="right"/>
    </xf>
    <xf numFmtId="0" fontId="9" fillId="8" borderId="4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6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right"/>
    </xf>
    <xf numFmtId="4" fontId="10" fillId="9" borderId="4" xfId="0" applyNumberFormat="1" applyFont="1" applyFill="1" applyBorder="1" applyAlignment="1">
      <alignment horizontal="right"/>
    </xf>
    <xf numFmtId="4" fontId="10" fillId="9" borderId="5" xfId="0" applyNumberFormat="1" applyFont="1" applyFill="1" applyBorder="1" applyAlignment="1">
      <alignment horizontal="right"/>
    </xf>
    <xf numFmtId="4" fontId="10" fillId="9" borderId="6" xfId="0" applyNumberFormat="1" applyFont="1" applyFill="1" applyBorder="1" applyAlignment="1">
      <alignment horizontal="right"/>
    </xf>
    <xf numFmtId="0" fontId="7" fillId="8" borderId="1" xfId="0" applyFont="1" applyFill="1" applyBorder="1"/>
    <xf numFmtId="4" fontId="11" fillId="7" borderId="4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11" fillId="7" borderId="6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right"/>
    </xf>
    <xf numFmtId="3" fontId="11" fillId="8" borderId="5" xfId="0" applyNumberFormat="1" applyFont="1" applyFill="1" applyBorder="1" applyAlignment="1">
      <alignment horizontal="right"/>
    </xf>
    <xf numFmtId="3" fontId="11" fillId="8" borderId="6" xfId="0" applyNumberFormat="1" applyFont="1" applyFill="1" applyBorder="1" applyAlignment="1">
      <alignment horizontal="right"/>
    </xf>
    <xf numFmtId="3" fontId="11" fillId="8" borderId="5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3" fontId="11" fillId="8" borderId="6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3" fontId="11" fillId="8" borderId="1" xfId="0" applyNumberFormat="1" applyFont="1" applyFill="1" applyBorder="1" applyAlignment="1">
      <alignment horizontal="right"/>
    </xf>
    <xf numFmtId="4" fontId="7" fillId="8" borderId="4" xfId="0" applyNumberFormat="1" applyFont="1" applyFill="1" applyBorder="1" applyAlignment="1">
      <alignment horizontal="right"/>
    </xf>
    <xf numFmtId="4" fontId="7" fillId="8" borderId="5" xfId="0" applyNumberFormat="1" applyFont="1" applyFill="1" applyBorder="1" applyAlignment="1">
      <alignment horizontal="right"/>
    </xf>
    <xf numFmtId="4" fontId="7" fillId="8" borderId="6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center"/>
    </xf>
    <xf numFmtId="4" fontId="11" fillId="10" borderId="4" xfId="0" applyNumberFormat="1" applyFont="1" applyFill="1" applyBorder="1" applyAlignment="1">
      <alignment horizontal="right"/>
    </xf>
    <xf numFmtId="4" fontId="11" fillId="10" borderId="5" xfId="0" applyNumberFormat="1" applyFont="1" applyFill="1" applyBorder="1" applyAlignment="1">
      <alignment horizontal="right"/>
    </xf>
    <xf numFmtId="4" fontId="11" fillId="10" borderId="6" xfId="0" applyNumberFormat="1" applyFont="1" applyFill="1" applyBorder="1" applyAlignment="1">
      <alignment horizontal="right"/>
    </xf>
    <xf numFmtId="3" fontId="11" fillId="10" borderId="4" xfId="0" applyNumberFormat="1" applyFont="1" applyFill="1" applyBorder="1" applyAlignment="1">
      <alignment horizontal="right"/>
    </xf>
    <xf numFmtId="3" fontId="11" fillId="10" borderId="5" xfId="0" applyNumberFormat="1" applyFont="1" applyFill="1" applyBorder="1" applyAlignment="1">
      <alignment horizontal="right"/>
    </xf>
    <xf numFmtId="3" fontId="11" fillId="10" borderId="6" xfId="0" applyNumberFormat="1" applyFont="1" applyFill="1" applyBorder="1" applyAlignment="1">
      <alignment horizontal="right"/>
    </xf>
    <xf numFmtId="3" fontId="11" fillId="10" borderId="5" xfId="0" applyNumberFormat="1" applyFont="1" applyFill="1" applyBorder="1" applyAlignment="1">
      <alignment horizontal="right"/>
    </xf>
    <xf numFmtId="3" fontId="11" fillId="10" borderId="4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6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1" xfId="0" applyNumberFormat="1" applyFont="1" applyFill="1" applyBorder="1" applyAlignment="1">
      <alignment horizontal="right"/>
    </xf>
    <xf numFmtId="4" fontId="7" fillId="10" borderId="4" xfId="0" applyNumberFormat="1" applyFont="1" applyFill="1" applyBorder="1" applyAlignment="1">
      <alignment horizontal="right" vertical="center" wrapText="1"/>
    </xf>
    <xf numFmtId="4" fontId="7" fillId="10" borderId="5" xfId="0" applyNumberFormat="1" applyFont="1" applyFill="1" applyBorder="1" applyAlignment="1">
      <alignment horizontal="right" vertical="center" wrapText="1"/>
    </xf>
    <xf numFmtId="4" fontId="7" fillId="10" borderId="6" xfId="0" applyNumberFormat="1" applyFont="1" applyFill="1" applyBorder="1" applyAlignment="1">
      <alignment horizontal="right" vertical="center" wrapText="1"/>
    </xf>
    <xf numFmtId="0" fontId="10" fillId="11" borderId="1" xfId="0" applyFont="1" applyFill="1" applyBorder="1" applyAlignment="1">
      <alignment horizontal="center"/>
    </xf>
    <xf numFmtId="4" fontId="11" fillId="11" borderId="4" xfId="0" applyNumberFormat="1" applyFont="1" applyFill="1" applyBorder="1" applyAlignment="1">
      <alignment horizontal="right"/>
    </xf>
    <xf numFmtId="4" fontId="11" fillId="11" borderId="5" xfId="0" applyNumberFormat="1" applyFont="1" applyFill="1" applyBorder="1" applyAlignment="1">
      <alignment horizontal="right"/>
    </xf>
    <xf numFmtId="4" fontId="11" fillId="11" borderId="6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right"/>
    </xf>
    <xf numFmtId="3" fontId="9" fillId="11" borderId="5" xfId="0" applyNumberFormat="1" applyFont="1" applyFill="1" applyBorder="1" applyAlignment="1">
      <alignment horizontal="right"/>
    </xf>
    <xf numFmtId="3" fontId="9" fillId="11" borderId="6" xfId="0" applyNumberFormat="1" applyFont="1" applyFill="1" applyBorder="1" applyAlignment="1">
      <alignment horizontal="right"/>
    </xf>
    <xf numFmtId="3" fontId="9" fillId="11" borderId="5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center"/>
    </xf>
    <xf numFmtId="3" fontId="9" fillId="11" borderId="5" xfId="0" applyNumberFormat="1" applyFont="1" applyFill="1" applyBorder="1" applyAlignment="1">
      <alignment horizontal="center"/>
    </xf>
    <xf numFmtId="3" fontId="9" fillId="11" borderId="6" xfId="0" applyNumberFormat="1" applyFont="1" applyFill="1" applyBorder="1" applyAlignment="1">
      <alignment horizontal="center"/>
    </xf>
    <xf numFmtId="3" fontId="9" fillId="11" borderId="5" xfId="0" applyNumberFormat="1" applyFont="1" applyFill="1" applyBorder="1" applyAlignment="1">
      <alignment horizontal="center"/>
    </xf>
    <xf numFmtId="3" fontId="9" fillId="11" borderId="1" xfId="0" applyNumberFormat="1" applyFont="1" applyFill="1" applyBorder="1" applyAlignment="1">
      <alignment horizontal="right"/>
    </xf>
    <xf numFmtId="4" fontId="7" fillId="11" borderId="4" xfId="0" applyNumberFormat="1" applyFont="1" applyFill="1" applyBorder="1" applyAlignment="1">
      <alignment horizontal="right"/>
    </xf>
    <xf numFmtId="4" fontId="7" fillId="11" borderId="5" xfId="0" applyNumberFormat="1" applyFont="1" applyFill="1" applyBorder="1" applyAlignment="1">
      <alignment horizontal="right"/>
    </xf>
    <xf numFmtId="4" fontId="7" fillId="11" borderId="6" xfId="0" applyNumberFormat="1" applyFont="1" applyFill="1" applyBorder="1" applyAlignment="1">
      <alignment horizontal="right"/>
    </xf>
    <xf numFmtId="4" fontId="10" fillId="10" borderId="4" xfId="0" applyNumberFormat="1" applyFont="1" applyFill="1" applyBorder="1" applyAlignment="1">
      <alignment horizontal="right" vertical="center" wrapText="1"/>
    </xf>
    <xf numFmtId="4" fontId="10" fillId="10" borderId="5" xfId="0" applyNumberFormat="1" applyFont="1" applyFill="1" applyBorder="1" applyAlignment="1">
      <alignment horizontal="right" vertical="center" wrapText="1"/>
    </xf>
    <xf numFmtId="4" fontId="10" fillId="10" borderId="6" xfId="0" applyNumberFormat="1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6" xfId="0" applyFont="1" applyFill="1" applyBorder="1" applyAlignment="1">
      <alignment horizontal="right" vertical="center" wrapText="1"/>
    </xf>
    <xf numFmtId="0" fontId="9" fillId="10" borderId="5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right" vertical="center" wrapText="1"/>
    </xf>
    <xf numFmtId="4" fontId="10" fillId="10" borderId="1" xfId="0" applyNumberFormat="1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1" xfId="0" applyFont="1" applyFill="1" applyBorder="1"/>
    <xf numFmtId="0" fontId="10" fillId="9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3" fontId="11" fillId="7" borderId="4" xfId="0" applyNumberFormat="1" applyFont="1" applyFill="1" applyBorder="1" applyAlignment="1">
      <alignment horizontal="center"/>
    </xf>
    <xf numFmtId="3" fontId="11" fillId="7" borderId="6" xfId="0" applyNumberFormat="1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164" fontId="11" fillId="7" borderId="4" xfId="0" applyNumberFormat="1" applyFont="1" applyFill="1" applyBorder="1" applyAlignment="1">
      <alignment horizontal="right"/>
    </xf>
    <xf numFmtId="164" fontId="11" fillId="7" borderId="1" xfId="0" applyNumberFormat="1" applyFont="1" applyFill="1" applyBorder="1"/>
    <xf numFmtId="0" fontId="7" fillId="7" borderId="1" xfId="0" applyFont="1" applyFill="1" applyBorder="1"/>
    <xf numFmtId="10" fontId="12" fillId="7" borderId="1" xfId="0" applyNumberFormat="1" applyFont="1" applyFill="1" applyBorder="1"/>
    <xf numFmtId="0" fontId="7" fillId="13" borderId="1" xfId="0" applyFont="1" applyFill="1" applyBorder="1"/>
    <xf numFmtId="164" fontId="7" fillId="13" borderId="1" xfId="0" applyNumberFormat="1" applyFont="1" applyFill="1" applyBorder="1"/>
    <xf numFmtId="164" fontId="11" fillId="8" borderId="1" xfId="0" applyNumberFormat="1" applyFont="1" applyFill="1" applyBorder="1" applyAlignment="1">
      <alignment horizontal="right"/>
    </xf>
    <xf numFmtId="165" fontId="7" fillId="7" borderId="1" xfId="0" applyNumberFormat="1" applyFont="1" applyFill="1" applyBorder="1" applyAlignment="1">
      <alignment horizontal="right"/>
    </xf>
    <xf numFmtId="166" fontId="11" fillId="7" borderId="1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165" fontId="11" fillId="7" borderId="1" xfId="0" applyNumberFormat="1" applyFont="1" applyFill="1" applyBorder="1"/>
    <xf numFmtId="166" fontId="11" fillId="7" borderId="1" xfId="0" applyNumberFormat="1" applyFont="1" applyFill="1" applyBorder="1"/>
    <xf numFmtId="164" fontId="11" fillId="8" borderId="1" xfId="0" applyNumberFormat="1" applyFont="1" applyFill="1" applyBorder="1"/>
    <xf numFmtId="0" fontId="11" fillId="7" borderId="1" xfId="0" applyFont="1" applyFill="1" applyBorder="1"/>
    <xf numFmtId="165" fontId="11" fillId="8" borderId="1" xfId="0" applyNumberFormat="1" applyFont="1" applyFill="1" applyBorder="1"/>
    <xf numFmtId="166" fontId="11" fillId="8" borderId="1" xfId="0" applyNumberFormat="1" applyFont="1" applyFill="1" applyBorder="1"/>
    <xf numFmtId="10" fontId="12" fillId="8" borderId="1" xfId="0" applyNumberFormat="1" applyFont="1" applyFill="1" applyBorder="1"/>
    <xf numFmtId="3" fontId="7" fillId="8" borderId="1" xfId="0" applyNumberFormat="1" applyFont="1" applyFill="1" applyBorder="1"/>
    <xf numFmtId="164" fontId="7" fillId="8" borderId="1" xfId="0" applyNumberFormat="1" applyFont="1" applyFill="1" applyBorder="1"/>
    <xf numFmtId="0" fontId="11" fillId="8" borderId="1" xfId="0" applyFont="1" applyFill="1" applyBorder="1"/>
    <xf numFmtId="0" fontId="10" fillId="14" borderId="1" xfId="0" applyFont="1" applyFill="1" applyBorder="1"/>
    <xf numFmtId="3" fontId="9" fillId="14" borderId="4" xfId="0" applyNumberFormat="1" applyFont="1" applyFill="1" applyBorder="1" applyAlignment="1">
      <alignment horizontal="center"/>
    </xf>
    <xf numFmtId="3" fontId="9" fillId="14" borderId="6" xfId="0" applyNumberFormat="1" applyFont="1" applyFill="1" applyBorder="1" applyAlignment="1">
      <alignment horizontal="center"/>
    </xf>
    <xf numFmtId="40" fontId="9" fillId="14" borderId="1" xfId="0" applyNumberFormat="1" applyFont="1" applyFill="1" applyBorder="1"/>
    <xf numFmtId="38" fontId="9" fillId="14" borderId="4" xfId="0" applyNumberFormat="1" applyFont="1" applyFill="1" applyBorder="1" applyAlignment="1">
      <alignment horizontal="center"/>
    </xf>
    <xf numFmtId="38" fontId="9" fillId="14" borderId="6" xfId="0" applyNumberFormat="1" applyFont="1" applyFill="1" applyBorder="1" applyAlignment="1">
      <alignment horizontal="center"/>
    </xf>
    <xf numFmtId="40" fontId="9" fillId="14" borderId="4" xfId="0" applyNumberFormat="1" applyFont="1" applyFill="1" applyBorder="1"/>
    <xf numFmtId="38" fontId="9" fillId="14" borderId="1" xfId="0" applyNumberFormat="1" applyFont="1" applyFill="1" applyBorder="1" applyAlignment="1">
      <alignment horizontal="center"/>
    </xf>
    <xf numFmtId="40" fontId="9" fillId="14" borderId="6" xfId="0" applyNumberFormat="1" applyFont="1" applyFill="1" applyBorder="1"/>
    <xf numFmtId="3" fontId="9" fillId="14" borderId="1" xfId="0" applyNumberFormat="1" applyFont="1" applyFill="1" applyBorder="1" applyAlignment="1">
      <alignment horizontal="center"/>
    </xf>
    <xf numFmtId="10" fontId="13" fillId="14" borderId="1" xfId="0" applyNumberFormat="1" applyFont="1" applyFill="1" applyBorder="1"/>
    <xf numFmtId="166" fontId="10" fillId="6" borderId="1" xfId="0" applyNumberFormat="1" applyFont="1" applyFill="1" applyBorder="1" applyAlignment="1">
      <alignment horizontal="right"/>
    </xf>
    <xf numFmtId="40" fontId="10" fillId="6" borderId="1" xfId="0" applyNumberFormat="1" applyFont="1" applyFill="1" applyBorder="1"/>
    <xf numFmtId="0" fontId="11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 applyProtection="1">
      <alignment horizontal="center"/>
      <protection locked="0"/>
    </xf>
    <xf numFmtId="4" fontId="9" fillId="12" borderId="1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4" fontId="3" fillId="12" borderId="5" xfId="0" applyNumberFormat="1" applyFont="1" applyFill="1" applyBorder="1" applyAlignment="1">
      <alignment horizontal="right"/>
    </xf>
    <xf numFmtId="4" fontId="3" fillId="12" borderId="6" xfId="0" applyNumberFormat="1" applyFont="1" applyFill="1" applyBorder="1" applyAlignment="1">
      <alignment horizontal="right"/>
    </xf>
    <xf numFmtId="4" fontId="3" fillId="12" borderId="1" xfId="0" applyNumberFormat="1" applyFont="1" applyFill="1" applyBorder="1" applyAlignment="1">
      <alignment horizontal="right"/>
    </xf>
    <xf numFmtId="4" fontId="9" fillId="12" borderId="4" xfId="0" applyNumberFormat="1" applyFont="1" applyFill="1" applyBorder="1" applyAlignment="1">
      <alignment horizontal="right"/>
    </xf>
    <xf numFmtId="4" fontId="9" fillId="12" borderId="5" xfId="0" applyNumberFormat="1" applyFont="1" applyFill="1" applyBorder="1" applyAlignment="1">
      <alignment horizontal="right"/>
    </xf>
    <xf numFmtId="10" fontId="16" fillId="12" borderId="1" xfId="0" applyNumberFormat="1" applyFont="1" applyFill="1" applyBorder="1" applyAlignment="1">
      <alignment horizontal="right"/>
    </xf>
    <xf numFmtId="4" fontId="9" fillId="9" borderId="1" xfId="0" applyNumberFormat="1" applyFont="1" applyFill="1" applyBorder="1" applyAlignment="1">
      <alignment horizontal="right"/>
    </xf>
    <xf numFmtId="0" fontId="11" fillId="8" borderId="1" xfId="0" applyFont="1" applyFill="1" applyBorder="1" applyProtection="1">
      <protection locked="0"/>
    </xf>
    <xf numFmtId="4" fontId="11" fillId="7" borderId="1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11" fillId="8" borderId="5" xfId="0" applyNumberFormat="1" applyFont="1" applyFill="1" applyBorder="1" applyAlignment="1">
      <alignment horizontal="right"/>
    </xf>
    <xf numFmtId="4" fontId="11" fillId="8" borderId="6" xfId="0" applyNumberFormat="1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right"/>
    </xf>
    <xf numFmtId="10" fontId="17" fillId="8" borderId="1" xfId="0" applyNumberFormat="1" applyFont="1" applyFill="1" applyBorder="1" applyAlignment="1">
      <alignment horizontal="right"/>
    </xf>
    <xf numFmtId="0" fontId="7" fillId="0" borderId="1" xfId="0" applyFont="1" applyBorder="1" applyProtection="1">
      <protection locked="0"/>
    </xf>
    <xf numFmtId="10" fontId="16" fillId="12" borderId="7" xfId="0" applyNumberFormat="1" applyFont="1" applyFill="1" applyBorder="1" applyAlignment="1">
      <alignment horizontal="right"/>
    </xf>
    <xf numFmtId="4" fontId="9" fillId="9" borderId="7" xfId="0" applyNumberFormat="1" applyFont="1" applyFill="1" applyBorder="1" applyAlignment="1">
      <alignment horizontal="right"/>
    </xf>
    <xf numFmtId="2" fontId="0" fillId="7" borderId="1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1" fillId="8" borderId="1" xfId="0" applyFont="1" applyFill="1" applyBorder="1" applyAlignment="1" applyProtection="1">
      <alignment horizontal="left"/>
      <protection locked="0"/>
    </xf>
    <xf numFmtId="4" fontId="11" fillId="0" borderId="4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9" fillId="12" borderId="6" xfId="0" applyNumberFormat="1" applyFont="1" applyFill="1" applyBorder="1" applyAlignment="1">
      <alignment horizontal="right"/>
    </xf>
    <xf numFmtId="4" fontId="10" fillId="12" borderId="4" xfId="0" applyNumberFormat="1" applyFont="1" applyFill="1" applyBorder="1" applyAlignment="1">
      <alignment horizontal="right"/>
    </xf>
    <xf numFmtId="4" fontId="10" fillId="12" borderId="5" xfId="0" applyNumberFormat="1" applyFont="1" applyFill="1" applyBorder="1" applyAlignment="1">
      <alignment horizontal="right"/>
    </xf>
    <xf numFmtId="4" fontId="10" fillId="12" borderId="6" xfId="0" applyNumberFormat="1" applyFont="1" applyFill="1" applyBorder="1" applyAlignment="1">
      <alignment horizontal="right"/>
    </xf>
    <xf numFmtId="10" fontId="17" fillId="8" borderId="1" xfId="1" applyNumberFormat="1" applyFont="1" applyFill="1" applyBorder="1" applyAlignment="1">
      <alignment horizontal="right"/>
    </xf>
    <xf numFmtId="0" fontId="10" fillId="3" borderId="1" xfId="0" applyFont="1" applyFill="1" applyBorder="1" applyAlignment="1" applyProtection="1">
      <alignment horizontal="center"/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3" borderId="5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10" fontId="10" fillId="3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0" fontId="9" fillId="14" borderId="1" xfId="0" applyFont="1" applyFill="1" applyBorder="1" applyAlignment="1" applyProtection="1">
      <alignment horizontal="center"/>
      <protection locked="0"/>
    </xf>
    <xf numFmtId="4" fontId="9" fillId="14" borderId="4" xfId="0" applyNumberFormat="1" applyFont="1" applyFill="1" applyBorder="1" applyAlignment="1">
      <alignment horizontal="right"/>
    </xf>
    <xf numFmtId="4" fontId="9" fillId="14" borderId="5" xfId="0" applyNumberFormat="1" applyFont="1" applyFill="1" applyBorder="1" applyAlignment="1">
      <alignment horizontal="right"/>
    </xf>
    <xf numFmtId="4" fontId="9" fillId="14" borderId="6" xfId="0" applyNumberFormat="1" applyFont="1" applyFill="1" applyBorder="1" applyAlignment="1">
      <alignment horizontal="right"/>
    </xf>
    <xf numFmtId="4" fontId="10" fillId="14" borderId="1" xfId="0" applyNumberFormat="1" applyFont="1" applyFill="1" applyBorder="1" applyAlignment="1">
      <alignment horizontal="right"/>
    </xf>
    <xf numFmtId="4" fontId="9" fillId="14" borderId="1" xfId="0" applyNumberFormat="1" applyFont="1" applyFill="1" applyBorder="1" applyAlignment="1">
      <alignment horizontal="right"/>
    </xf>
    <xf numFmtId="4" fontId="10" fillId="14" borderId="4" xfId="0" applyNumberFormat="1" applyFont="1" applyFill="1" applyBorder="1" applyAlignment="1">
      <alignment horizontal="right"/>
    </xf>
    <xf numFmtId="164" fontId="10" fillId="14" borderId="1" xfId="0" applyNumberFormat="1" applyFont="1" applyFill="1" applyBorder="1" applyAlignment="1">
      <alignment horizontal="right"/>
    </xf>
    <xf numFmtId="164" fontId="10" fillId="14" borderId="4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4" fontId="9" fillId="3" borderId="1" xfId="0" applyNumberFormat="1" applyFont="1" applyFill="1" applyBorder="1" applyAlignment="1">
      <alignment horizontal="right"/>
    </xf>
    <xf numFmtId="4" fontId="10" fillId="8" borderId="0" xfId="0" applyNumberFormat="1" applyFont="1" applyFill="1" applyAlignment="1">
      <alignment horizontal="right"/>
    </xf>
    <xf numFmtId="4" fontId="9" fillId="8" borderId="0" xfId="0" applyNumberFormat="1" applyFont="1" applyFill="1" applyAlignment="1">
      <alignment horizontal="right"/>
    </xf>
    <xf numFmtId="4" fontId="18" fillId="8" borderId="0" xfId="0" applyNumberFormat="1" applyFont="1" applyFill="1" applyAlignment="1">
      <alignment horizontal="right"/>
    </xf>
    <xf numFmtId="4" fontId="9" fillId="8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10" borderId="7" xfId="0" applyFont="1" applyFill="1" applyBorder="1" applyAlignment="1">
      <alignment horizontal="center" vertical="center"/>
    </xf>
    <xf numFmtId="4" fontId="9" fillId="10" borderId="4" xfId="0" applyNumberFormat="1" applyFont="1" applyFill="1" applyBorder="1" applyAlignment="1">
      <alignment horizontal="center"/>
    </xf>
    <xf numFmtId="4" fontId="9" fillId="10" borderId="5" xfId="0" applyNumberFormat="1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4" fontId="19" fillId="8" borderId="0" xfId="0" applyNumberFormat="1" applyFont="1" applyFill="1" applyAlignment="1">
      <alignment horizontal="center" vertical="center" wrapText="1"/>
    </xf>
    <xf numFmtId="0" fontId="0" fillId="0" borderId="1" xfId="0" applyBorder="1"/>
    <xf numFmtId="2" fontId="7" fillId="7" borderId="4" xfId="0" applyNumberFormat="1" applyFont="1" applyFill="1" applyBorder="1" applyAlignment="1">
      <alignment horizontal="right"/>
    </xf>
    <xf numFmtId="2" fontId="7" fillId="7" borderId="5" xfId="0" applyNumberFormat="1" applyFont="1" applyFill="1" applyBorder="1" applyAlignment="1">
      <alignment horizontal="right"/>
    </xf>
    <xf numFmtId="2" fontId="7" fillId="7" borderId="6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7" borderId="4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4" fontId="7" fillId="7" borderId="4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1" fillId="8" borderId="6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/>
    </xf>
    <xf numFmtId="4" fontId="9" fillId="5" borderId="4" xfId="0" applyNumberFormat="1" applyFont="1" applyFill="1" applyBorder="1" applyAlignment="1">
      <alignment horizontal="right"/>
    </xf>
    <xf numFmtId="4" fontId="9" fillId="5" borderId="5" xfId="0" applyNumberFormat="1" applyFont="1" applyFill="1" applyBorder="1" applyAlignment="1">
      <alignment horizontal="right"/>
    </xf>
    <xf numFmtId="4" fontId="9" fillId="5" borderId="6" xfId="0" applyNumberFormat="1" applyFont="1" applyFill="1" applyBorder="1" applyAlignment="1">
      <alignment horizontal="right"/>
    </xf>
    <xf numFmtId="4" fontId="9" fillId="5" borderId="1" xfId="0" applyNumberFormat="1" applyFont="1" applyFill="1" applyBorder="1" applyAlignment="1">
      <alignment horizontal="right"/>
    </xf>
    <xf numFmtId="4" fontId="9" fillId="5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40" fontId="10" fillId="8" borderId="0" xfId="0" applyNumberFormat="1" applyFont="1" applyFill="1"/>
    <xf numFmtId="40" fontId="9" fillId="8" borderId="0" xfId="0" applyNumberFormat="1" applyFont="1" applyFill="1"/>
    <xf numFmtId="4" fontId="2" fillId="8" borderId="0" xfId="0" applyNumberFormat="1" applyFont="1" applyFill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5BF480-CE6A-4E2E-9400-F824B4FE48E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EE70D0-062B-4885-BACD-DA139152723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BC7164-8DD6-4296-BB21-A10262A5F28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50744F-CFCF-48F3-923B-60EACE2312E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F11DC3-460A-4284-AD8F-7EE215C58F9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F9BA3A-43EA-483E-95E8-364DDCCB529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71ED3B-88A3-40D8-A864-F468DFB3BE2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C48200-20CD-40A3-970A-D53482735227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AE4C2-CE6A-4176-9445-27CD04FE5DF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5A7D67-9B6A-435C-8838-03D99491B17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7D7647-7D18-4042-8135-361A89FAFCD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B7CAE4-D400-4F08-A16A-7741E1B0069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B91988-CB43-44DB-BCAF-C49122686F3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BCB37D-B63A-4017-8E40-D42DAE4420D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1E27AC-B7DE-46C2-ADC4-902B72C0ADF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4EDBF1-1CAA-4A1E-AF4C-CE86C82C1FC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3FEBBF-0220-4B50-A59D-17B5CE06548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DBB7BE-19B9-4F84-8D69-B09016D6797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5B476C-9BAE-4E60-87CC-E526FFD4F7B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940EFE-D17F-4F4C-83FB-1BB07BF4C85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DD6360-729F-4134-A194-538994EBAB3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F3F0EA-A80A-441D-884B-B9E0C638C9FD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04304E-A0CB-4B01-9710-A80BF050A2F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7FAA83-9F5B-4354-9CE5-AD560FBD170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1A7069-56CF-490B-A7AF-969A2070A07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CD1627-5B79-4754-B1C2-1272D90E585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976706-F11D-472F-9B04-AB8765DCD67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7D45ED-F8BB-45CA-85E4-0674A0E3CD7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93F1A2-5A0B-40FF-AA0C-E6309335032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A25D2E-8F1B-4D00-84A9-7937C345D6A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401166-11F6-461E-BA51-DDF7991773E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5C7507-3A4F-4F87-B0C1-0EDE7454276D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7ECB59-C11D-47F3-AA13-4C354EE57B7D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D7FA0-E09A-41D7-BE0D-6C7D4B4ACC6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99EAA8-F859-4FA9-9153-0DF78632B4A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31D950-5DBC-4A79-B672-DCED0FA9C36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1BDD4D-F346-4754-A486-A38AF4817E5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AACD9C-3450-4A5C-B00E-BAAA33CEF4B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AEB9C4-E446-49EA-A92F-722A9F6728C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E1DEE5-F55B-4CE0-856D-49CA11094C2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F2079D-F5D6-49A8-AD6F-19508069E3E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F28497-5A1E-43B7-BA49-C8825C4DFBD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17ECE4-1A56-4246-8FD3-84D91DB66AB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54F384-C62F-4F7C-95E8-4309BA222B5D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761F4E-37DE-4067-858E-42815270B5D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1F750B-445B-42F1-B9D5-2E228B34744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00B3F3-7D70-405B-AC88-31192AA3994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735639-73F6-409A-B0D6-9D09F5B5572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773CDC-C79B-473B-AEFC-50C11037E88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1F9F1-5D3B-44A4-AC97-1EB93EBF249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6D60E8-752E-4976-8084-57EA48286BB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54EA8D-6DCD-47A0-B255-9B5582D11AA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E4A58D-5160-4567-94DE-C66FAA435E7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2EF80D-BEB3-4193-A404-E573D43AC62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169A95-D054-44AF-9B86-2CD8D5F6347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C7FB2D-BA60-42DD-B7FC-DF9646E25A7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3EC064-5C71-48A9-9FC6-8DEECAAF62D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E9642A-47D1-4E43-8AE2-5AAE17AA6BA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D4BEC6-0855-4F20-A5A6-B6C9EF0DBE7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93D45E-5E70-4FAB-ABF5-1520311A216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60A6DE-078A-4C95-8F26-A6FA80460A7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6DDBED-38EF-4F58-B094-8DF26129FE6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65A09C-F9FC-4B36-B5EC-B337BAAA0BF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9A8CCB-6BE5-44C1-BD36-8267246D4EC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714375" cy="304800"/>
    <xdr:sp macro="" textlink="">
      <xdr:nvSpPr>
        <xdr:cNvPr id="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17D8C7-B578-40CE-8D2F-53FF3A50D9D2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8E365E-3CD1-4C93-836B-E0F7A9FFB52D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7B1776-B996-42FF-BC66-B9B803EB87C8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F8BEA-6053-4E6E-B537-C19A26F72AE2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4547A0-89E5-4404-8F3C-487945408B4D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37779B-00C6-4F61-A2C4-627232201F54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714375" cy="304800"/>
    <xdr:sp macro="" textlink="">
      <xdr:nvSpPr>
        <xdr:cNvPr id="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0758D7-9BA5-433B-B4DF-1AABAAD0D489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3D551F-D89E-4FF7-9433-2360B540FE4C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E4A501-3E0E-41A1-BEA1-AE290DF66B16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8173CD-0ADB-42DF-90E8-DE3EDFA5159E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25BA94-7EC0-45C0-8ED7-474171BACFDB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AD7CD6-BC1E-43AE-80EE-AFE8F122FD4E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3DE6AF-0F92-45E2-A797-58BA6AE30C00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5CDF10-38DC-49E2-A620-66ECDFBA1A8D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423607-6EEC-4854-8145-2514ED02D775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294B96-606B-4180-BE4D-153325AFEA79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FD717C-B6E4-4555-A81C-3997DFE7E433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FC1C77-8C55-44BC-833E-714FE3DEE70B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E5BC44-6E2A-4E7E-BDC7-AD3FD001E11E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4274E8-1BC5-48DB-940E-1BBB1A5858BF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3EBCA2-E36A-40DA-9930-BFB975FB8EDA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452E17-B670-48EE-BCA4-D0C83DE149CD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DA7288-0210-4796-89D1-B935B4E3A500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98BAC3-1C99-4B62-9E55-F1E62041A7A4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650571-3EBE-4CC8-AEA4-21552CCAB171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684B40-7236-4FB1-9738-57257ABA5423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DD6B77-DF96-48F8-9EE7-6E8F26D69766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714375" cy="304800"/>
    <xdr:sp macro="" textlink="">
      <xdr:nvSpPr>
        <xdr:cNvPr id="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2E8FF7-727F-4120-9AA2-F975320BE37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D5C00C-5882-4128-B8EB-D9994C7C73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19DD97-088B-49AF-8007-C6067AAC1B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399E2B-597F-4DC2-859B-B2183F01B1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9B61C7-C9C5-4AED-BB53-87F4F34187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ABCB5-097C-4471-AD09-F276FA7061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714375" cy="304800"/>
    <xdr:sp macro="" textlink="">
      <xdr:nvSpPr>
        <xdr:cNvPr id="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2EB91B-E8A0-4E74-B761-A4B2179FC16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EF8D59-3C23-4BB6-A188-ACBF8162DA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E58B79-9D97-43DA-A24D-D669201B70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4F9838-ADBC-4850-949B-DBD0C4BC6A4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BE1D52-1EE3-4258-B194-1BF95F6A80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262DB4-B288-49F4-B223-5206DFF6BC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4A1957-643F-484F-BB93-385B78EF96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ECAEA8-A0A0-448D-A6B9-E3BDB1F285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324E4C-419C-46D0-9223-DE7DCA98D4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4185F1-2E00-43B1-9334-05D250CF6C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37DF5B-3BC6-44C7-8E08-C0B5577B23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714375" cy="304800"/>
    <xdr:sp macro="" textlink="">
      <xdr:nvSpPr>
        <xdr:cNvPr id="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68AF21-EE04-45CE-860F-AF7F94CB22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8970A3-2D06-4B9B-968E-76CB419FB7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6A1C50-CF81-427D-954E-358CB5910D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8653AB-3B1D-4735-8FFD-93BCC16B46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356E9B-FBCA-4270-B932-01D08EE7918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FCBBCA-28D5-4F5B-8564-B6C18EB355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FC0CF7-BBFC-4EE2-BAD1-8A84173563D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EEC90F-D33F-47D3-8EE8-0640842B36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3F1B08-B96F-4871-B467-ED66AA0E52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7C3852-0235-4271-BE76-4FACE5AB51F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58C71D-D0DC-4C7F-9E12-97889815F4F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07181D-0731-48F9-A639-DB4A0E30AD7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5FA429-E520-4368-9228-F045709C6F3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60701-EC96-4B75-8EE0-50F1032A6DB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91969A-4AFC-45C0-B17A-7DD67B88A6F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A7BAA6-FEEC-46D4-AA7F-3E4D7351B47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CFF65A-6638-43B6-9F76-2AAF132721A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5CC78F-8B89-4A0F-85A4-55EB97DD415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5</xdr:row>
      <xdr:rowOff>0</xdr:rowOff>
    </xdr:from>
    <xdr:ext cx="304800" cy="304800"/>
    <xdr:sp macro="" textlink="">
      <xdr:nvSpPr>
        <xdr:cNvPr id="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9808C7-7342-40A5-BD42-39B815D786C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714375" cy="304800"/>
    <xdr:sp macro="" textlink="">
      <xdr:nvSpPr>
        <xdr:cNvPr id="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1254A5-C989-44C4-8387-FD092CA8422F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E8AB6D-E8E2-4113-B87C-A430315B365F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FC3C2C-D721-4FAB-807A-6B14199B2A38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D253BE-0C12-4286-99EE-BBB4D9BF01C2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7B615D-2534-44B7-BE53-407B10578891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1F3C78-3F2D-42B7-9258-A75F5B297EE1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714375" cy="304800"/>
    <xdr:sp macro="" textlink="">
      <xdr:nvSpPr>
        <xdr:cNvPr id="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EF66BE-5B82-475B-8B87-BE742606509F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D78200-BA8E-481E-8F19-32A1B02C477B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822C03-1273-46DC-A8AD-9A76E0BD21D7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14EE82-D4B6-40AD-9957-2081D7A64E19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FC4F30-8FA0-4AF0-884D-92EF9FFFFBFD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3D75A3-BCED-45B7-B408-F9773D1F162C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0CE605-0036-4859-835E-3EF7C2405FB4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E36538-B934-4326-AB51-183C22F3E240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BCD43D-F1C8-48BB-BA6C-AEE5AD035A36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AF73F2-F5FF-4A06-8254-E4B90675A03E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1FCEA9-6028-43C0-B624-7E7F6261E720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BA5624-B0AB-4530-9BE3-E7B3B8C7F528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FFBD2D-A79A-419A-B584-E46A339AF46D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9ABE80-8664-449A-8D4F-395C9D91CAD4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70EC5E-8996-4B64-8144-6FA7873D7DD0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806209-7BB0-4509-A7A5-A6ABD40F0AE8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995AFE-5344-4163-AF83-C2094EB5A432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68CAD7-DC62-416F-84EC-47C60577F565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80A348-1313-4583-875E-8592825F3CC8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1D6A88-190C-458D-84A3-C78D4318F128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41</xdr:col>
      <xdr:colOff>0</xdr:colOff>
      <xdr:row>5</xdr:row>
      <xdr:rowOff>0</xdr:rowOff>
    </xdr:from>
    <xdr:ext cx="304800" cy="304800"/>
    <xdr:sp macro="" textlink="">
      <xdr:nvSpPr>
        <xdr:cNvPr id="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4FB786-FE94-498B-A7CA-586E7ACB21AA}"/>
            </a:ext>
          </a:extLst>
        </xdr:cNvPr>
        <xdr:cNvSpPr>
          <a:spLocks noChangeAspect="1" noChangeArrowheads="1"/>
        </xdr:cNvSpPr>
      </xdr:nvSpPr>
      <xdr:spPr bwMode="auto">
        <a:xfrm>
          <a:off x="186975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714375" cy="304800"/>
    <xdr:sp macro="" textlink="">
      <xdr:nvSpPr>
        <xdr:cNvPr id="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C5621A-A70D-4416-B0DB-3BF1DA3370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C253DB-7219-4526-A8DE-363ED812C6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1CF80B-2C4B-4B2F-8A34-306114B245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F6C478-C7A3-4F52-B328-B92F7199CDC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16BBDD-79F9-45AF-8DC5-0079634EFE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C50536-376B-4261-B1A2-5FCB227FAF8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714375" cy="304800"/>
    <xdr:sp macro="" textlink="">
      <xdr:nvSpPr>
        <xdr:cNvPr id="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49258F-6268-416F-9FE8-80CB1168A4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FEE102-62B0-47A1-9E01-88C256DD3BD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AF5E1F-C749-4673-9C21-03F99DE515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68DC88-78E8-4DFC-B64F-21E00B0126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F72941-A0B7-4058-80B2-65369B2D51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6FB93E-9082-4D7F-BA5A-B9C6075C3D1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36A11E-231C-4A6A-844C-242356222E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96D22F-D330-473B-BC57-1599DDE96A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099F31-BA10-4DA9-A1C2-8260DE765B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D8E0A4-E276-4074-B327-F11A5D6A2A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AC9B33-465C-484C-809C-836772D25D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714375" cy="304800"/>
    <xdr:sp macro="" textlink="">
      <xdr:nvSpPr>
        <xdr:cNvPr id="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EFEF69-99BF-42F6-B515-4A5FD499E6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CDEB56-5796-44C0-91E5-D040A35FC0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C11581-3F6E-4892-9E88-F6F9936F29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0EECB1-F283-457C-BB64-075E0114E2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C66EA4-EA96-4FEA-82F8-4705A53A96A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796EE4-6491-490E-9F18-B7E5B281AC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49CEA7-8658-4EAF-B181-176BB200C74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25F6F5-0DCF-4184-9BB6-0D8C4E699A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B77336-0BAD-4394-BF11-F47AD65A264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5</xdr:row>
      <xdr:rowOff>0</xdr:rowOff>
    </xdr:from>
    <xdr:ext cx="304800" cy="304800"/>
    <xdr:sp macro="" textlink="">
      <xdr:nvSpPr>
        <xdr:cNvPr id="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EA8D7F-3BC8-44F7-A15F-A203999033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F8EA79-572C-44B4-9A4E-57D72D7117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A8F05E-6CF7-497B-833D-5834BB9E944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9D6342-40A9-4731-AEBD-105EB4A8A1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D42B5D-F111-46BB-AF33-B1B78B9903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BC14D3-3D69-481A-9321-89307EE2B14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CB9F83-A682-45ED-B2A1-6C6FBB2642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C64802-8E4B-47D7-890B-00DA9C6A3D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D6ABF3-AABE-4A8C-B28A-8DCFB46E6E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EF46FA-6A80-4F2A-8EC2-3A8372853BA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5FDA65-C641-4AA2-B1C6-FB2DC2275D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DD59E6-9E1E-4AA5-969E-6A6B6A7D0E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BEB2A8-3DE9-4AD1-8B7C-0C3F8581C5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5E61D3-8A6B-4AD7-BDE7-4AA83D52D74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021C6D-BA6B-4D3B-A76D-5A9585C5DA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59C145-A87C-4E44-9124-41BF3DA2EA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51DEBB-AD8F-4D4B-B32E-E339497BE7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CD3BD6-9A20-4D85-ACDE-7E7F7B5521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38181F-7798-46B5-8895-EBE3E44E6F3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7BA59D-050B-445F-AA0F-AEC0CAC7F8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623FC0-1076-4E50-9D55-91334A05C3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0D144B-8D99-4929-91AB-0B64334CB55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32604-1A71-4CF8-94A1-298CEF07C4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6930D6-E2F2-4AEC-817C-379E7B719B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844FAC-DF76-49BA-A049-37D00DE3AA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E5A268-1991-49A1-BB0A-93FA772997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286B7B-9282-4EFA-ACD2-9ECD013C81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E79028-2236-4C49-9C58-98A7B3D678B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F328BC-D5F4-4C87-82A9-F763163C6A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752E32-F07A-4D06-A8D0-7E026502D6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CF9708-A77B-442F-AA3C-66863A0E98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470E28-8E9A-4A64-8CF8-D5238581CC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E2F513-86A0-4596-8F47-1160ADB04D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7BDA6A-8593-49E5-B5FF-E6FBDCAEA8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42F0F9-065F-45C2-81FD-6B9792F5F8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DFDEE2-BA21-4A42-A9C8-86D2436B5A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45DD6F-6852-4A24-AE55-0E2808F1E5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F56792-862A-4B6C-A1BF-6F47F0D505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30A214-F9CC-4F59-9EAC-5BC533E446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86B36D-FEA6-4196-B839-4972B3CDE0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5ABFFC-7A53-4CB3-BFC3-4C1B70C76D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E50DC0-015C-4499-BDB0-B6B86BF2FF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8B83EC-512F-4CBD-A16A-3AECF30FA4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0D1DCF-B884-487B-A3DE-2EB0ED8770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52C16D-E9C3-4B22-A914-3EE66C2644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828137-57C6-48CA-B8C2-FC8BF33AEF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67D7C0-F555-4600-B626-50E78BC77E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F922AD-62C3-45A1-B301-64E20FDFE0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A41FC7-185E-49BE-91C7-48F42E233D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61250E-59A2-49C3-B379-0AAE718B23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28575</xdr:colOff>
      <xdr:row>0</xdr:row>
      <xdr:rowOff>28575</xdr:rowOff>
    </xdr:from>
    <xdr:to>
      <xdr:col>12</xdr:col>
      <xdr:colOff>266428</xdr:colOff>
      <xdr:row>3</xdr:row>
      <xdr:rowOff>133790</xdr:rowOff>
    </xdr:to>
    <xdr:pic>
      <xdr:nvPicPr>
        <xdr:cNvPr id="232" name="Imagem 231">
          <a:extLst>
            <a:ext uri="{FF2B5EF4-FFF2-40B4-BE49-F238E27FC236}">
              <a16:creationId xmlns:a16="http://schemas.microsoft.com/office/drawing/2014/main" id="{F336B29C-D18F-4994-9F7F-DD0F1FE5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7391128" cy="676715"/>
        </a:xfrm>
        <a:prstGeom prst="rect">
          <a:avLst/>
        </a:prstGeom>
      </xdr:spPr>
    </xdr:pic>
    <xdr:clientData/>
  </xdr:two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B83C1C-ABB7-47C5-A529-E96E77BA088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F64F04-B615-4D54-886D-0D78805DC04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AA5C54-7E50-4544-96CC-D3C508C742E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94BA8A-A1A6-466C-B0E2-AD6FAB7E5B2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4D07CA-5EF4-4951-9459-B92CD38F6C3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F55D2B-9C79-470D-A595-9D391AD225D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099FB1-2000-41AB-BBD5-F9C9E0E9C5E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913572-BF96-48DD-990B-8A87D93434D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A37457-C60A-448C-99E8-04F4103E0F6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D3700-15B1-4C92-9D01-84042243D1E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FA2E0E-72AB-4E5F-9D8E-93260B96B83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97F16C-B179-4BF5-9DD2-D5252742478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098116-56AA-445F-8197-59C60F55849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C0BA45-304B-4C29-BF06-700A2DCA426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D45528-14BD-4C81-A6CF-0BA0A771527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087FF5-039F-40BB-BC78-4BBE874256D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F5CB9B-1797-4085-B8D9-855E6948486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B08D14-B697-4A09-9D41-711A1B28BC2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975B39-861B-41D0-BDF9-DA359561D6A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634D1-2139-4797-AD55-41E9E44365B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6630FE-52DD-4467-A0F3-BA2EC9582E9D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D12372-AF04-41F0-B24B-EFD810EDF78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1E64BA-994B-408E-BBF2-4053D1F221D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B953A9-A89E-4DF5-80A7-BFD08A4B5677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442D76-3FD2-4026-B0E3-1363F57A77C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3A0019-E89A-4DF8-849B-FE1E5A553AC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E0C829-1399-4072-A4BA-DBE937CC2BE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AC849E-F5A7-4430-A43A-9AFADD13128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6B9910-B425-481D-A955-C9CE998E399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F28583-01C1-4B05-BA53-26F59B10782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E0A929-F322-4018-BE52-98DC37920AE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F03AD6-C98F-4C75-A23D-B5A80B75E88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8E81D-C614-47C3-89F4-1052EB685BE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644B2-96A1-424C-B3D5-8F96E7E4E76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88346-6D41-4F41-B994-4831B132075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833D29-6266-41F6-A655-FA50F136731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E27C17-6342-4B93-90AF-59C4F62950E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D51153-7007-458A-8D88-F3B80E122FBD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86EE75-5766-4F89-8656-585D4556302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78B8D7-6E3A-418E-9FDC-159A14E8970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8827FC-0FF8-4898-BD73-9D76FA9BAE2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6049F3-112F-4649-9852-0B0E2AB0D2C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483C62-1D2D-4C86-AC29-FF9BE495FF2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29C9AC-2FE4-4D67-9E66-5E981113D79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541D9F-727A-4837-9D9C-C73C7FD22182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06AB0E-E4A8-46D7-A830-F4BAE31C1A5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63D034-E4F7-4F01-B23A-7658E309B2A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54B3EE-9D3C-487F-9EF9-C12D375DE00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C3D34-91EA-451A-87A5-B286DC85D98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AC1A26-6D73-4B39-BD78-4F238580279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27C163-52F2-48E5-9C68-48DAE5E7414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E120A1-E8FF-4865-AD44-4E96E978BF4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51D549-1835-482E-A08A-5E13995D6AF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DD50D3-CB81-43EB-941C-0B9659D3EE27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302F0E-1602-477E-BD41-4544560CABA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245613-80C5-4B28-A263-0DD521B3876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B8BEC5-6542-4767-B718-1769B69699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97C949-9B5F-4B79-916F-ED52C6412A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C80EA7-1FF4-43D9-BF9B-C462F25B1C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688EDB-3564-4A1D-BB42-16ACE86F5DB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200AFD-AF1A-452F-8FE6-0C03AE3764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79F936-57ED-4B44-8826-37CDC9929C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FD413C-C267-4ED1-A497-CD0DECDB98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971320-40B3-4EA1-BB65-D0DBD940FF2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A25265-4CD2-4013-B4C4-5A57836CBE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237743-C72A-493B-8979-CE21D4A0A98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FF0D00-606C-4321-A3BB-E03E7A5387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4DC2C0-5A69-45AF-B31E-2CB8E8648A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01A08-1C58-443F-B470-DE584C15B3C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1C4EEE-3275-4BA1-AF09-6434FE3019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384078-E2D6-4FE0-BCE8-8122424E0ED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196101-EE2E-41A4-B3F7-D88E675E75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D7DE42-EBD8-4EF4-86CF-8082BBBC82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E2FD76-0DE8-4D01-A5E6-6FEFB0C2E9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37A696-5C38-4349-ADC8-39E34080578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EFBE1F-21DA-4952-B24C-0FD4A9F3B6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BAE09D-148F-45EC-8BD3-FB6CC38731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8A3B8D-BFD5-4713-A50E-F7F11341E0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2CD3A8-9A05-4441-B88A-3B8A06D3F4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B03295-2167-4A71-A01B-1BCB85B2A54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8E3936-0801-431E-87D8-4EA4DEE792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16F92E-540B-4FF6-AF55-0359FB50F04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4406E8-F94A-4534-901F-D279C9A0B5A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0E4050-FA3C-4775-BB27-47656CD86A8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1A4722-D8E5-440E-851D-3050F2CD0B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B9B5D8-3761-45AF-AD52-CA0471F0C0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2C1543-9495-45A7-AF54-9B90F7AEE8D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CC3066-BC47-48D5-A347-2499182B65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6AB062-FDEE-44D0-B5C0-5A0B9DE0E2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B19201-18DD-4410-B0C3-74019DF5F7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BE9EB-427B-4E9B-8D9C-502AB03692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2F39C9-F2F6-4200-9DB4-AECF1343D4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17D262-0975-4620-9941-0E702C431A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3B2456-CCD6-414E-8254-BC12CDCF64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356B8-063A-4D1F-AA9F-8C7C7DC592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39DE43-9D77-460F-B885-2C206E912C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9E0629-191B-4EEE-8102-4D1789908AB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E464F5-1CCD-4579-8996-9A118FFC92D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FAD563-5F6A-4048-B15C-8276DD3CC8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2D5FA0-DF61-4185-9AC9-BD3EE41436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2A6497-2EC7-4267-B662-341AD61F3E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534DCB-B88B-49B8-BD03-1DABF97A6D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EFC710-EF35-4E11-8E16-83C3B6CEC5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17BE83-DD86-4442-A3C9-B580943709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31CF53-9C5D-419B-85E5-ABD0EC4188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CC7E0B-FACC-45E3-B6F9-9083502DDD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B8B9C4-494E-4087-8AC9-080172900F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79DB1-78FF-44F3-B6EC-447DEEE7956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DD3149-23A4-4213-869F-D45866C728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9AC3D7-EAB1-40E5-882B-357E3CE8F8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87F497-98EE-498B-86A6-5A981DE9AE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CD785A-F796-4EBC-AB71-FC336D3267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322393-776B-4A0A-A3BD-E41A918B042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E3C40F-4E6B-41C6-9E67-D8F3BBD918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32BE8D-1AEB-4C17-BC25-954C066D8A3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32BC9C-E254-4E69-BBD7-C4C0314A71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7D5481-6FDC-44B7-BCD1-6E507295E0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3EDF01-82ED-496B-8683-7D7C908EFD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5A43E6-9FDC-4053-9FFB-0B578EAF44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D9F18A-E601-407D-80F6-99113671C1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F44C0-D6A7-4098-BD32-B58E0A0809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C69D0C-F718-4909-AA2A-9EC4ECE5F3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2B23E5-5C6E-4533-8876-620C55D5DB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E375AE-D588-4A2F-9E18-ACF868A9801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38A548-29EB-4212-87C0-DAEA9B875F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A0AB8D-C000-434C-8867-39EA4600D9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2A3324-06D9-45F8-84B2-2318D52C820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E6F533-685E-473B-A578-9A146ED5F4A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1A8A27-C006-4ADD-8D09-61B1FAD801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39D59A-04B2-4276-B78C-5EBE89FB8AD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D499D5-2AE8-4CCC-B23A-B2CB8426A8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3A126B-B946-49D2-9628-6DCA1DF6FB8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4C55D7-3C9D-4A3F-ACBB-4276BD26F35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A00B86-5FEC-4FBA-AC0B-D20749C8F5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3E8DA-1CD7-4F8C-A691-9E2CB84F87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D4CFD6-1614-4A2A-9BE1-80FE6E97C42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4EC50E-59C3-4DD9-9829-121177D631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54B881-8D00-46E0-A252-0FDE81A02F1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D99DE0-2241-465B-84F9-77434A69BE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82F70B-A55D-472A-84EC-4E9F36B96A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51922C-8615-434A-9491-A9617DC0F1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CA13B1-53AD-4ACA-8B4F-1E0419CE79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68DEFF-F483-44C9-98FC-C72D7B4040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BA8F4A-6D40-4D2A-BDE8-0A226EA4BA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B28C64-0F7C-48F6-BF84-98DFE1EFA2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ACABF5-FA83-4BFE-BF42-1D7E28E03D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97AFFE-6F67-4926-BEAC-3A9EEA8B02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53E26D-C7BD-4D5B-827D-FB1F66809B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B6D275-D375-456D-94D7-8C97713B3B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F7CF18-B21B-4D3C-B2AE-67301E7138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7E3D09-D4A4-48C5-99C8-E275A6D96C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29EC02-0249-42D5-8459-7639380D5D1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C5AE3C-3AF3-4A7D-BE97-69EF36019DB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6</xdr:row>
      <xdr:rowOff>0</xdr:rowOff>
    </xdr:from>
    <xdr:ext cx="304800" cy="304800"/>
    <xdr:sp macro="" textlink="">
      <xdr:nvSpPr>
        <xdr:cNvPr id="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129920-5BB8-4438-9CFB-0E68A8EAA6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6CBE8E-E86B-4C94-8764-ADDA0B92076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BDB0D2-803D-46FB-899F-CB039D465F3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40A70-A3AD-4DD8-8D96-4746BF6E6AD7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AF082-801C-4741-83F0-B2A3C39CBE47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F722E7-6DC5-4275-803D-7E1166EAF98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AF1CD1-B073-49AD-AAF3-9991BCAA95A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04158A-15E4-419B-A6E8-71AEA68E1E7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61A411-091F-4DD9-8485-C59756679C77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F56CCD-87E3-4FF9-ABB0-0E6A3A5FB90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79A25D-0925-4892-8661-C42BD1F556E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A7CBC-C96C-446D-8D55-FB9D5BDBDBA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092A4C-F504-4CFC-8EC5-E66A11E9896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79FCA0-DE30-4A09-AE95-3A2A8F2575C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041A0B-0A31-4F70-BC2D-B88FFC69381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368FDD-9857-4B50-A785-5D174E68DC9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1259BE-EDA0-4321-B55F-6C8F0E6476F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98BAF0-A09B-4459-801E-120A4C91B6F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B986A1-5D8D-4693-B664-7CDA6535E85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C0CC69-2F2F-4503-B8E6-F3D5E837892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F6BA26-C20B-40F7-AFB5-DC7289A30C2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626BC4-5156-4877-9EBA-AA3AC25ACA03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863AF8-9076-4A53-9E14-79975E7104B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20</xdr:row>
      <xdr:rowOff>0</xdr:rowOff>
    </xdr:from>
    <xdr:ext cx="304800" cy="304800"/>
    <xdr:sp macro="" textlink="">
      <xdr:nvSpPr>
        <xdr:cNvPr id="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35F79E-1725-41BB-8C89-5A1AC04B039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4ED4E-1B97-4E65-8282-4A0CD7BD491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0C2588-D75A-4958-BE88-7BA4596C5AD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C3FCB-9508-4E98-BD8E-A4A689A0DEA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B961FC-7534-4F3F-8382-44052C5D341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399D53-61F9-46C3-9A3A-53FB03712F1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249DAA-19FB-43DB-8039-C6589D9C7B60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1387DC-9852-4A4A-B471-56A3AED9383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37C469-0315-4135-9E4C-5B26933E63C8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31BC6B-F8C9-425D-89B6-45A20497C68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0BCFDB-4F4D-4F66-B7C8-5C2EA68802E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1400EA-1ACD-4A28-BA84-82D3C076E38F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447327-36C2-4496-BA1D-AC6469488F4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85700A-367B-4A28-8403-7D0AF6E91174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A489EB-F706-4938-995E-4AF6F95A31C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D8B9D-AB7F-4621-97E8-07D77CCB5FF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597E2D-184B-4123-B2FC-EACA4A92FF5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799A07-ABEF-46A4-BD76-086FA34A474C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4B8C45-F32F-43B4-A7C3-2B094BFB96C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E0E04A-3C70-439A-9A41-C7639979409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E6ADAA-5ED8-4BA0-A613-7A9269B10DA6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7BA253-77E3-4BE4-87F3-A09EF31D6F5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5E0007-8D70-46C0-AC5D-6011B6D1B31A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AD83A4-8014-4893-B970-393BEE1DEFCE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BCE587-D7DE-4A4C-B884-4CAA2DA34DAB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AF0108-49C3-4AC6-A875-72FE58BD9C0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97C82B-F6C3-4764-964B-FB541F02D3D1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0B10DF-606D-4D28-8084-B3F86D5DD6F9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44</xdr:col>
      <xdr:colOff>0</xdr:colOff>
      <xdr:row>28</xdr:row>
      <xdr:rowOff>0</xdr:rowOff>
    </xdr:from>
    <xdr:ext cx="304800" cy="304800"/>
    <xdr:sp macro="" textlink="">
      <xdr:nvSpPr>
        <xdr:cNvPr id="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DABDD4-FAC3-4A66-AE43-7A7BFB1A0225}"/>
            </a:ext>
          </a:extLst>
        </xdr:cNvPr>
        <xdr:cNvSpPr>
          <a:spLocks noChangeAspect="1" noChangeArrowheads="1"/>
        </xdr:cNvSpPr>
      </xdr:nvSpPr>
      <xdr:spPr bwMode="auto">
        <a:xfrm>
          <a:off x="204406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DD7FC2-CE7E-4184-978C-7F53CD0F9F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C9164C-38AD-4452-9DAD-C05A2D1A772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5619FE-1422-4741-97D5-3693224B39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CD6B12-CC49-4E15-BDFE-EB2288DC100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A312F-614A-42AE-8DC8-97DAA34C94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F3E6F-B6B5-4852-A184-621CBCA2A3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2EB80E-8B4A-440B-8661-E7AF5FA520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471C6C-2C20-45FF-BFCA-D3956623E1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E21345-1648-4FD9-A6F2-1712BA25A6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CE40B9-F44B-43AC-B637-C4A702BB12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AA3669-2B29-4921-831C-D8D9C1A252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6FC3D3-2D57-4417-8466-19520ACBFC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0044AB-A2C0-4AF9-9926-6DEFA9187E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18DB3D-2F67-4E77-A95A-59E8F986D8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3EC799-E5FB-4D14-B564-170F3C09D9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9360D9-2D77-4B25-A9C6-30B604076F4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0CC4E9-2EDB-415F-A483-A465CAFEAC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A676BA-CE20-400C-80EF-AC7D05AE06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229B3F-00FE-46D0-8BDA-003D729D79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F73260-0E0D-4221-BEE8-6742655745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0E6ECC-A758-42F2-8BB2-1C3DFEF63F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E22C57-050F-4C5F-A4A5-7AE44B56F4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DD6B22-761C-404B-B87F-70C720CE3B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ADE053-F3B8-4506-8641-73E15E26B7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163AFB-617B-4F95-AD16-6ECF4C86AF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35D2E6-D055-41CD-94D6-11474D1065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36B4BF-AE36-46F4-93C8-4866983A3D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B5FCD7-5BC5-46B5-B815-F5BF0AEB9B0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A9511C-9BFD-4659-97B5-3CADA13C50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3F2C82-8B68-440F-865C-7E9D815CA8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BC5B0D-8425-4173-8201-AC555A8168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F851B5-38CB-4944-9330-AE948B11E5A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78A2C5-DBB9-4AB7-A28E-B8252BBF9A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F140BC-F0BE-461C-8104-0B861B3B09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01EE4C-C246-4F91-981B-52E6F46B22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E1E3F8-2513-426F-B636-8BA2815B6A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C6B054-23D7-4CDB-92C5-AEB33B8332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EA01FA-3ED2-4897-A731-A5017F9C92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6A513A-F30D-4839-99CE-91152D2B6D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B1E59D-BA96-46A8-81FB-A0D8A4FBF1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6AB475-BD62-49A9-92BB-A09B12FAD1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0F25BA-1E98-4F2C-ADA3-D520B43C8E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D15210-1EB7-4B1D-86A8-1A6094B3B0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5889A-3D76-4F25-A555-834103F6CC8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B8F49A-8027-4509-8358-A6FEB3FD37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8ECC83-8769-4F38-BC52-8CA26E3242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1AE53A-68C1-46FC-93CB-1D234C7912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8CCDF7-AE19-47F8-A52C-A5258A3529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1A27EB-A6E8-474C-ACDD-8FB968C842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D586EF-D39D-4E90-B231-942857A148A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B724C4-11E7-4D06-8184-CBC2EF1C92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E576BA-A677-479D-B768-E630029390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DB30A2-EDE9-4BBD-A337-CACDBB2020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351B45-17AA-47A2-8FB7-95A7ECC805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F39D22-F7AB-4EA3-B43F-2A3C0E44B5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EEF8CF-73F8-455C-8E33-3BB332042A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912864-58F8-4C22-B9F9-E1ADDB8F5D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12C666-EF17-4367-8C86-3B25D84F7A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7F94DB-078C-4075-AE2B-BE1CC7F5CE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3EC3B1-2444-42CF-A5EE-9CE90BF4E0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01C517-8379-486D-9346-24ACAEB711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9DF152-1355-4091-8D9D-F5D75E9AE4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18A2A6-12E1-4626-95D6-829E03B2E5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6A2E19-C3EE-4E64-A9D8-6924D8C773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996C6A-3A6E-47CD-BA90-C04B73ED00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16FBFD-CF69-4F8C-A5FC-6F968B785E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43D943-E37D-412F-A4FA-10869EB741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07502A-00FE-4A74-8CE2-7F5E29166C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90413C-2A7E-4CF2-92D8-B7D279B92C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340C45-2312-4A99-8B9E-172EDC4A46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C50528-BB68-4E28-A99A-6D698EB0DF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A700B1-783E-433E-9DD7-DE110197E7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D881A-91C1-47A5-AF0A-4CE1F3FBCD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379E90-CD64-481A-BA2F-FBE83588E9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59C28C-9100-4138-8A50-88A24E24FF8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0474A1-ED8D-49FC-BC7C-A62C0FFA02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4938E-6209-4770-A3AD-BB9ABB0055C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D45A53-7D5D-45F1-BC14-FE6378A35D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9CF11E-7023-40CB-86DF-D0D72008E7B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DA2779-DC3D-46E7-9DE4-959C311153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E834E0-3934-40E5-A258-5549713466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3BF9E5-E769-4AE3-92A7-A67A9EED07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6A1D5F-07B5-4BF8-B0BA-C147ED8F39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C3E4D7-9D34-45F4-925B-3C13C54EAB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BFFBC1-DA46-4A05-9204-4306FC7861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BEEF6-C390-4F1F-910D-2D748343E6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864769-DC63-4AA1-9B47-690033BB214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86CDAA-C704-4309-830D-8C8EA0F832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EC0CB9-B68F-4FCB-BB62-C06204A0CD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C2E3BC-3966-48E9-8789-3AE6C0CDDEA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13F07E-9E88-4D62-A794-0ED38C27AE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418379-9677-44D5-AC62-C76F663BB2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08E418-A6C3-4F77-B7FD-9D319B2025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07C257-7850-4283-A02F-9809762ECF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45AE18-3FF9-4468-A761-445D325B05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BA85E-67BD-42FF-8D8D-6E6F4610F18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1C434D-DDB9-4258-9444-43C4FE91C98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F45A78-44CC-4BC6-81FD-3A80573CD1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FCEAD9-52C4-4B0A-AA40-2D73DA1B9C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0E4D9D-C153-4AC3-8489-555B4E7EBC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8202F7-C2F8-48A7-A304-12633EA3F8F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587C7D-7847-4E4E-86C6-FEA32A2030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E98AA4-5B0C-4915-9AF9-9EAFDA7D4F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08B573-9A1C-4DD4-B454-0788736434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A56426-7107-449F-9C5B-DC0823AC7B8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2FD5B2-82F0-4EA7-9C29-4E9CAAA688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48ABD1-5FF0-4F30-B69E-7DA21CF417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5BB681-A134-4C0D-8A4D-5D7C3A4425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92B035-5DE3-4D77-A9F4-3A57C7ACA2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58659-702F-4832-BB16-006205BA3E4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A65345-059D-42A5-AB13-21B93CA60F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F763F1-FA44-478A-AAD6-487FAADC19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6C63D8-2136-44FC-B5DC-106B74B510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F97BB4-641D-4658-8E81-12131337B2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67584-2E4C-4731-9193-16DA817FB6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6BDEF1-75A2-4C1E-8A79-A64095A770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1CC91E-73E6-4152-8253-62E782631A5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278C71-02AF-4049-9402-61D814D433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7A87A7-4845-4346-8AAE-090AE80A3E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43DC4F-ED45-4801-B180-7787A317EB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E5389C-1B4B-4D2B-9DBF-12A55828DC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870367-7135-4427-93EC-15CB9C18ED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E80365-445D-4F57-B997-F1DF2A4E07A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944933-2B3A-4576-A335-0A74A5558A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FBAB71-96E0-4F03-B421-87344D8E1F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D98E7-53CE-44E8-BED2-E990FFA439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BCD7CD-440A-4D69-874D-9EB51144B1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2AEB80-BB4A-46B7-AB14-C81E5E8FA0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BFB99A-591C-41F5-8CB7-2861A93926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E54446-6CD4-47F0-88E5-DD9511EF9C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1C0BF4-1120-4B32-9337-248F8E1DCF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5757B5-9AF3-4DF6-8324-177ECA3448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3D1466-C066-479F-B423-7B2B1C1D17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736D8C-F7A5-40BA-8EA8-C249FAF9B2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7C1E23-B5A6-48B1-B703-9D792CC6B7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1BF24E-A3A1-4038-B136-95B2F6C792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EC8BB0-9315-4854-9AE4-A1E5D35A163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92A3A1-3DF3-4832-A540-3F59603EC7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4A6C5C-BC94-4127-B412-91FCD16634B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B1DF1A-FA78-49AF-A91E-40AB5D8392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038806-0414-44BA-A244-19387F97E2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C9BB9C-8E45-4F38-937C-CE4D3D9732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9585DB-5E2D-47D4-B597-8719700337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D1E9C-A9C7-45AC-BB6F-C4A41384A3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1DA020-B9B7-4514-BDE9-9286D827F2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E7C7D2-8D6A-44FD-AD2E-4EAF07CED1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19FCE4-BC88-4CC7-8910-8C716B23E7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03C739-D764-4544-AD65-3C7FDFE00B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BD6991-1164-49E4-BC16-D93B0114F7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743AAF-EC6F-4B6D-8E96-0ABB52BA24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3AFD1B-F697-4436-A36D-BA27D08353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D0C24-DE73-4E3C-852D-458E6BEAFD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F7D6F7-AAC3-4E9C-A88A-CEDC7C9D37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4B7677-C24B-40F7-A11E-F9D56B2E7E4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44D158-9D4D-41A1-90AC-66D5A98D3C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DC65DB-D408-4839-AC27-01D2B5B8204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149E8F-0C15-4C3D-B8BE-57F5B308F3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5E30D0-6B33-4F77-A4BF-8A931AD673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9358F6-0D43-4E2B-918E-F396039593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E27CA7-F552-4D3E-A17F-5938916B61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5D31EE-3E93-4E05-BD27-98046582CB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7B4D0B-5F57-4093-97FD-3C1457D756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19A9BF-8524-4803-8E9F-F83B8295BF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8F4467-FA2B-4961-936D-6947FB7482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59E2C1-D757-414A-B0EF-AE9B254AD5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B9DE81-D5ED-4EEB-B144-F8E495126E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C85DBA-DDAB-4572-952A-7DF03B8718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C964DF-B43C-4EAC-8D2B-D24519660DB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DD5E9E-C20B-4107-99E3-84CCFBACF4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A49524-0015-44E8-A83A-5760BD199AD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1421A7-F67C-4C11-911A-B9F9439E1D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C56226-F1C2-4F16-A784-2B6DA5375D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0DC871-E936-4D3B-B8A4-1670A18D0E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1ACAB1-FCA1-4385-BD18-6832E7AB4C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68B1B9-8011-401E-84E1-11BEB5C125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6575BE-2F7E-4F2C-9054-B91BC7009F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291A25-7692-4C24-B636-98B783C5D7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97182F-302A-4949-B4F4-3B0BB038091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03A0E8-BF19-4812-B2F5-4FE661AFA7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EDE5C1-B6E3-4390-8C09-B77BF3AC811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33BBA6-BE04-4790-B234-FC603F17C7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9CDB2B-F4B1-4CED-B076-20E5F5B84F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7CB576-81C1-4616-A160-70ABF59CBD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3B4A42-487B-4EAD-A9B3-91A61484CD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7ACD10-5041-4AD1-836E-72D6AC776A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9ED57E-75B0-4A4E-BC51-AE9182B8528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90F130-B835-461B-8073-E591642AE0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6BECB7-DB82-4CCC-A1D9-A59D8F2F3B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20A15B-409F-43E7-A88A-F0C934FFE9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D39F58-C829-43AE-89C9-23B7F0247B6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C224F8-D8E1-40EB-B724-32C9D7186B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B776CF-DAE7-4548-9D22-382E74949A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E931B5-50F2-4EA3-A6F9-F4001E60D6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9665FF-935D-4D3A-BD5B-D01A958EB1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C6BD7B-7D25-450F-93AC-F3AE898B8D5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CEDC95-C08D-4DD3-B916-D0E967CF87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BA4F0-B1F4-43EA-B09D-F4B03BEAD4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850995-D3F4-485A-B7FE-98281F876E4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46C85B-3410-4B0F-8260-E54076814D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29E99E-4E26-4515-9A6F-7B62A887BD8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627D13-24C1-483E-AFB0-9A958169D7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012381-360C-4E38-807D-FF208FE8F7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FA6EBC-BD26-4C37-A44B-322B3E24C8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84796-4525-4A12-A208-4806DFC1CB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87724D-3F37-41B2-8496-965FB1337A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DDF0A-CBDC-4A26-92CD-59D83F9AB2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5DF29F-9EBB-41CB-891B-57DAE245CF0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D5074-73CA-47D3-904A-874D597250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FDA4AC-63C3-4D58-B1CD-6097806E98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3198BF-B45A-4C4E-A96E-3E1D58F2634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69B67D-C651-4F96-BF3C-A0A0BD9CFA6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F899A9-E958-4B91-864F-492C0558B7C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C9B66E-E9B5-4F25-BECC-EAA4FEBB97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95D98D-0480-4E44-93D7-DE37787B3C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7AF62A-53EC-4773-8367-0E60738623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9EB223-A265-475F-91D5-D129723391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544BB-D5FA-405A-A86D-6D6BE3EBC5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889281-62EF-4E85-9738-1D7460B37E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9A47D8-91DF-485E-A84C-ED9B37D506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BC367A-7DF9-48B7-ADD7-1FB4F391BE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246620-40B9-4B40-BC90-6C4060DF33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2F2ACD-CA62-4684-BD06-4E9A1B595A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070D24-14BA-463D-9066-FE5B89C77A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EF393C-7587-4BAA-86B9-D118ED468A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BE2FB6-CE45-4151-AF5B-E89F4840766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5E8449-3741-48B9-BFBE-7EA24AE4CA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57C85C-8FCE-4A92-B0EA-FC43C2417AD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188378-9E45-4EFF-BFFB-DB0AA434A7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8DBBB0-40D2-42FF-AFAA-F7D74B1091C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AA80A2-9540-465C-906C-F1BCC6335B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E88AFD-4869-4C00-8421-48AF1ADB22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230D07-E229-47BE-A7B9-60A901E7D6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68AA8D-9EB5-4C11-A292-D5366909D44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B2B0C5-A913-4FEF-9704-25AE0C82EF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77ADA3-C2B2-4F1C-949D-99AB7F5590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B80021-CECB-4ABA-9747-FF7E9E212F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3C326E-3445-4430-859B-561AB0B402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C87942-6FB4-42A4-962E-BAED6FCD92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EA3CC6-9537-48A6-AA54-8AE2176B91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476417-44E8-4C5A-A446-948A2BB5B5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D0C7D2-D21A-47C5-8D7F-0383D4B2F6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DEA648-2137-410B-BCF1-79F1DD2A92A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F22BF-B24C-4E61-BB42-E985875294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90CAC8-F3BD-4723-A11D-8A999607F9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96DEE3-8791-46ED-9D74-072E3F7D754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1644E8-14C1-4B8C-9B98-E8A11404E8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0C6051-2C35-4602-8CB8-E91541EC02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86650A-3D88-421E-8AA3-A3C6C2D17BA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D00599-A813-48FC-AF6F-8814EC1600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77E5A7-616D-418A-88DA-A0237C79B0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7B2DB5-32CF-4ECA-A75F-BA4BD2C5B8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EBF0BB-5378-41A1-90B1-0F3BA4890C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8E7D84-8A61-4B9C-B6BB-FF837DFEBB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CA060C-FAE1-4796-B1EF-CD81AE9282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0C5D2C-0A27-477E-8BF8-5C0FBD2E6CA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F99F61-D967-48D9-BEEC-A989C8E5ED3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C800BB-16A7-463E-A93E-001580428B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63225-F739-4E7B-9A2A-49AA6A5BDE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EA69EF-A90F-4E35-AAC3-B71E84FA2E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6501EC-1C94-4984-A66A-D0B046E384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87BD88-7AAF-4C69-A042-F31F8C405D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C8D66B-8334-4A89-9B5F-6612341E21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3BA75A-AF13-4417-A2F2-67A465685C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65B9E1-8E1E-4D00-A26F-2603EF8B45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438520-E410-4177-899E-77BF6CB704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436BD2-1D09-4A60-A14E-CD80B4BBF9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A0419B-8692-4228-B952-BFAA0BE21FC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2DA737-2975-4177-B6B7-17EFDDEEE9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71FA61-8531-4176-9A8B-FDC4B4E274D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9F565E-A3FF-492B-9A7B-4DAA9E9CD2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D69591-B749-4D3A-8A86-1441CCBFC73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6DBD05-5A53-4E42-AA98-0EDDDA233B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C6849F-B92C-4BF0-AAF7-DAA81795F90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8C94DE-B767-4515-B265-F62940D3D1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D8B8EB-8FA4-4C8B-B34D-8C5C3AC79F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A46D72-B152-45EA-B656-8D0A91F2FC3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CD4234-FEBD-4145-9938-E6F491E53B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D08815-C07E-4C9A-962A-70BCB8D57FD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DFBE31-7CC8-4E59-801C-6D67B69946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53C92A-5408-43AC-BF6F-8EA729FDBB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315B4E-3A77-47D0-A291-E52A11E2CB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2CEADC-0AC7-493B-BEBD-A88E08903D5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9ACC26-060F-4967-B44A-02F0050E674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B6BD86-95F7-43EB-B905-6015577D0E2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50F8C1-7131-444B-BAFE-F35F6D93D1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C67B27-C816-41A7-82AE-7CF9AD3BBD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22D386-1546-4E5B-AD84-1EA0792298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C9E559-8F5F-4FEB-9979-1F86A419A1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FC6373-C1D5-4120-AEDC-9F4133B18D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877774-2B48-45EA-A3CB-1EA9FF0EAB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19730A-44D6-41EF-826C-85F7125164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C88106-0F52-40EE-A5D6-4011848DBA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2D9E42-2268-438A-ABFE-9250AAD1CFE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102</xdr:row>
      <xdr:rowOff>0</xdr:rowOff>
    </xdr:from>
    <xdr:ext cx="304800" cy="304800"/>
    <xdr:sp macro="" textlink="">
      <xdr:nvSpPr>
        <xdr:cNvPr id="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C75FA2-76CF-40E7-BD86-997D002B14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53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36F681-17B1-4D2E-9832-25E7C51271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92F6E0-0FF1-49A0-93DF-AF695E885B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5090AF-0406-40D0-8B7C-2CF58502D3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548E22-AEF9-475C-BDC3-C116073932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6B335-7C6C-406C-9E85-AC0083D965C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DFF0C9-C1BA-4CD9-892F-99F282E76D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08CCFA-97CC-4786-B95F-5C394BE1AA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057F1F-5DE8-4C62-902F-10F48542CE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0A7A50-509F-41DC-9805-A4B82295204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E26BEC-DCCE-4F6C-9C08-1483BAF731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FCD95-9587-4CFE-8868-64BB1AA780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AAE0F2-944D-4F8C-BECC-DBD2ABBF35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DAA193-6231-4391-8306-D8A1161831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9CD74D-CABB-4A72-93F5-295E486B4D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CA5D06-714C-4DB8-89CE-DF96E7D0C5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1F4F06-F354-4C5A-8DA4-233F261122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861BE8-0473-4EB9-BC33-3144633C9C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A3798A-407A-439E-865E-A0320595F0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9497A1-38BE-4F04-80A5-138CACCA73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F5D378-12A1-4478-88E4-1141836C07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5FD1A3-DBF7-422F-B67D-DFCD8FCDD9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9D7B9A-4D50-4D81-B4CC-1767994AAC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C8A5FC-9942-4A1C-A4BD-9F0570B02A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8CAC0E-CDD6-4907-BAE4-E427A6B653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0207B6-8F43-4F89-8A51-FC6840A395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6B1EB3-F50D-41E3-A8D5-7F7F158BFF8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7A2913-5D2F-4369-B7C1-EE1A354EE0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EA569B-7525-430C-BC1B-CAB7ED298B6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ABAE4A-EE37-4653-B48B-8D68423DB7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6A642A-6AAE-4ABF-AA9B-315247C5E2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39A768-B60B-4C43-B1DD-FD73AE4E7A0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67AEE1-C09D-421D-A491-ED39ABBE01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0EC4E9-C42F-4084-AEF7-DFB8B56460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0275E5-32A6-4A3D-9DE7-6294304626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7429D7-C974-4F8E-8EEF-1851D60083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737413-CBE4-4970-B1A7-407E8B046A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3B8D61-2B5E-45EC-90BA-13BBB0263B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AE4B7-A5D2-4FF4-873D-B7FC601009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274F98-F21B-4B54-902F-FDEF7A2B10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177CA6-39F8-47C2-85E1-EC194D3ED4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101A56-709A-4CD7-B5CC-A88205544E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D6B002-EE86-4BC9-8AC7-451FC7F218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A25304-A264-4AFF-A127-A137CE28BE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92DFEB-C9D9-40BB-AF08-52DE4AD326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1D9005-939C-48DA-82FF-1CD891CBD6C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33B6E2-3CF4-4162-B0BA-3CD7D4E2AC4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52DE58-FDCA-4718-8D00-E4E8E703A2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188F9C-905E-42ED-808C-9C78DAF35BF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75D97B-6213-4A7C-B489-49D2BBE9EE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229FDA-3D22-47D3-AC70-56520C70AB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24F413-B725-49A8-9411-0CDA19F56C2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521713-E3B7-45B8-871A-560A141B95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87A961-A30E-4276-8CA5-A7BBB5B27E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DA201B-46AD-4325-A7A0-6D69917CEA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5C4D1F-785E-48C9-B20A-EEAFE6D6D9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7D614C-917A-4F61-B209-FF2244A591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0B0177-8C58-4A3F-8510-4F35E5F8F3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5E1BB3-CEBE-4204-BD4C-FEA21FA5746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B13960-4402-4FF4-9D1F-7FE3752F00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0CBAFA-BE7D-4C4B-BC05-54892B5DB3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A66DCF-6539-40AD-9EBC-1C25EC8895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15EAFA-699A-498E-BB4D-785A561B99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5E8D84-C285-4497-BCA8-BD79793AF11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243E8F-A85E-4D17-95E1-ACAAC9A772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0B7FC8-AEA5-4D81-A6B1-E61F7013C9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B5A4A0-80D9-4750-ADED-428B589C0D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7589A8-011F-4924-AF9A-05E6B3AF4F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339EB0-23BB-4E5C-A586-1D55AA5EF0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DDE386-11F4-4980-A8B0-967AAF9DE6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F01B7-B2A2-4441-8D97-38C93AA05F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96B0B4-8241-4411-A9C6-2D6025D358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B05D4A-DAD4-47AE-BE75-BD112DB510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99DD63-DD95-480D-AB38-ADBFEA2C2B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A70B63-1821-4C94-98FE-EE30B6DAA0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186546-DD64-4628-BCD6-3443697F815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240998-FE5C-4B18-888B-31D951E57D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FCD80F-781D-48AE-BF3C-6D77B814C5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7CA43A-DE67-4F77-BCD9-1482F83414F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2A1930-67AA-4F0A-A6C0-BDEA22E9D1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7AE3C0-303C-4CF3-AB7C-9DE508A033D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1CC851-E052-415D-B898-FA0253A53FA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47CB2-626C-4627-9543-F02FFFAA0B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D3A556-9AFE-46CB-AA50-B977D22CE3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00AE01-5644-4317-8E94-633464F919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E31AB6-AA83-40BE-A0A2-1CA3389E05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AA4E68-5B75-4C26-ADDA-0B869772E9F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D691EE-6B60-4896-AE62-6FE776364B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834BF0-3DEE-47C0-9FCD-F53C021C41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11AC9F-F462-421C-85D6-41F652AB405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C06BE-2D7C-4F24-A4EC-CA55EED58B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B39D3A-C5B2-4A75-9750-50E243D940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5B2638-24D2-4737-9F74-BF257A283D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518160-9DB7-48F8-A4E7-2C5B2973F3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500BD7-2486-41F2-988A-CFF42B10F5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703202-47E5-47D1-9E33-43C462823D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FC042E-1100-447D-BC57-7FB327374F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7A0F51-5D18-4162-8B87-06DB9BDD6B3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283D0F-4358-4002-A9C4-BC2C22CC84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69222B-58CD-4563-B2C0-23A9825B67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93FED0-D5C7-41F5-B915-4EE52462C28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17C9D3-503E-4F0E-A871-D4E07A05AF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7CE200-E508-4860-9F64-CCB7DC5D2F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91A0D3-F146-4FB8-AD8C-82EABA86C7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CDD618-8069-4423-BAE7-D59EFF9356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C8EEFD-EAD0-4432-9197-D9F0327BE3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AB987C-C628-40C8-A887-68BC131AC98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696D00-0263-4594-A55E-DD33273640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572423-0475-4810-8FD0-6CA3DEBAF0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AC46F6-65B7-4E08-B57A-522C39DF67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96EC95-D24E-4408-94FA-A1527B1DFF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56F0EC-3825-41EF-BF6A-9615956B20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8055D6-2507-4E18-BACF-A6A8B4A5BC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C06551-D678-45BF-8DF1-DC621B9145D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6A2C77-6ABD-4664-BED1-A9A20C6206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6F7ADA-DF2C-48CA-9FB2-230C00B8178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9DCCEB-4816-4763-970E-A9803AB2443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4F669D-1C9F-4928-ACBF-61EA410CB0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62AC5F-532D-4A3E-9C41-E3765055C8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BDBA8E-24DE-4541-AD32-F3599D8673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EDC097-A6EF-4CA7-B4ED-FA6A1B85DEA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96E067-6A5C-448D-B543-85E4B99B30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CBE836-95DD-4110-9649-1F386BF2A4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242EFF-8105-4D80-B50D-D94AC465C9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3AE1AE-2927-4A96-AB4D-EB3C688BF3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D2F5FB-CD15-4278-A6DA-177E8F1F4E5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340B99-A38F-4F69-8D55-FF6B6EA6D2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6DEAAD-BCDA-42CE-9755-6F26DA4DBD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B5544-252E-472F-9F8A-BE00481BE2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E98779-C854-49F6-9407-9D84F8C49AF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46E996-58A8-4724-8D81-AB3B4CD06B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36CAB7-A379-4C0C-8BBD-D0239E6FCB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0DFB77-5DE7-4FB3-B053-BE08B6893D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AB752F-6190-4696-8637-8476A38009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2A93AB-FB24-497D-8345-873177671D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5CB216-A7D6-431E-8617-4BCCF50869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75CB38-C048-45ED-90EF-4F282366F4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EF9CCB-AA38-4DD0-88A1-E38D9F68DB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7EEBFF-D856-426E-BC3D-34108D18EC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C3BE8B-299C-4747-B4D7-E8569383ED3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DF8693-C932-4CB8-8627-646DD5CA089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1FBEB3-F157-4251-AE21-138C4E081A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2634D0-5DC2-41A9-9050-438550101A5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EA306C-9040-4812-B8A4-2C0DAC304A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74C441-8E91-4EB4-AEBF-5E393DCD68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A1D9F5-BEBC-48D8-AAC1-574B5DC5ED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855B4A-18DB-4877-BE75-815DB91EFC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578C43-CA1B-46ED-B694-7F4DD7EA2D0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603F9A-3DFB-4F77-924D-75D54419FA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C41123-6655-4F90-BBCC-DEEA1BAA87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B26FDD-5D45-4FAC-8AED-9B38ACE861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38C672-644A-4189-8534-66E80FCC1B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70E583-7044-4308-A91F-15C1045F0E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9AC058-AF79-4F4C-A9C6-5FBC9D16F9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A0231A-51CF-4183-B49C-E79B02D58E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15D637-5613-4D55-A13C-00FEE92FE2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8E8544-CA19-4552-B479-C2CD5D81A6D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EB4FCA-3FD2-4B8E-8311-14E244FDC9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A49FD5-4B9B-42AA-8354-E100C74679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4EDA0F-FEDB-41F7-934A-5629DCAF161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AA307B-5B8E-42CE-AF49-DC98005121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A48A01-1CBF-472B-88E2-C37FFD4040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03B0BC-F89B-47DF-A2CD-243A96FB18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774853-FFDA-495D-8F13-27581FEF99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43C96D-176A-4070-A4C3-A45EFC8BAC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B82C63-546E-4A37-A577-3D644E6E70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502119-9846-4726-8CB6-BAF1603A9C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8C704C-6758-41DE-8384-FD3F3CC0B84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E31BC1-5740-4F20-9DD2-1912B96B73A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A6E636-4E5F-4666-8713-2CD129F00E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E4BF4-4F1A-4611-AFEB-CA83640AC7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4F6854-948C-4963-97DD-8BCD8E43EE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FBC304-0E31-4B23-94AD-78196C8C80C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785ECA-B0EA-4401-AE1A-DE81C05CF3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6651B2-7FFE-40A4-8EDE-88C81AD8F7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0260A2-7652-4109-80EA-63B227C8FE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A9D9F8-F0BB-46FF-81AE-9B4F16ED82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CEE75E-1107-485D-A3F0-678B2B442B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59350-25C2-4818-9334-EB61E463E2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10824F-BFC7-4BCB-A0FE-52B469729D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8FC0A5-B937-47DC-A66E-9B0F639BCC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619FB2-6AEB-444F-BA58-318CB5BABE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982E9E-1540-423F-B423-5E7F130148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29168C-7304-41CD-9A34-08B1B3FEEB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3A7A90-EA57-42EC-BC3D-3FBAA928FA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D37FD-1AA8-4B58-BDD0-474B40D6F1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FFFE87-5679-4560-BD1D-B61DA831D7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D9F029-61CD-436C-ACB8-43DABE0DE8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D42222-9EC5-4E95-B5ED-41B770EB9E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220B12-FAF7-4EBA-8FA7-1C193D2DFD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D15BD3-1A28-48CA-A9FF-742B6F50D1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F2B551-F62E-4F32-A511-489F3714FD1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6612D5-6E97-4671-AE08-03B0D3663B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05066C-D219-4411-B904-1763940F58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A3FE88-6D85-40FD-A0DF-92DC26FFB9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5E6313-3596-4000-AC50-8705E39E3D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377FEC-5F99-4EEE-9373-1C8EE6FFE8F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A060DE-C027-4042-9198-F2C27EC250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F06D67-3606-492B-8591-C4FE691870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A22BF8-EFEA-4857-8B85-2598DCB04A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3306D4-88C8-4901-9694-962DB38232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F7B357-FAAC-4249-BFF9-716C11921BA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980D84-94C5-4966-BA95-6911AEC9B9B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C10389-37D1-4AB8-864B-56AF941239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A48FB9-1D70-43AD-9A63-3D861EDD5B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77BF27-1E25-480F-AECA-2843E7EC02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D72E48-76E6-4495-8380-EA09EA6B10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5E8638-37C5-40CD-A5EC-DDB1E1A945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E75BFE-7E3D-4F42-9DDA-275061D2351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46BA46-B438-416A-9D6D-896995131F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A0ED9C-264B-41C8-BE27-1BB972FCCF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8AFE7C-B5DB-47DE-B25B-566C581EA5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2522E1-EFBE-436E-BDB9-D8DF8B9C35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F00C99-260E-4D09-9FBF-EC889D6880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9F92BE-B655-42FA-BE9C-A096F4B5FE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50799F-B6E3-4520-80B6-BC3587FC1E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A61351-104C-4FFD-8B70-FCACC057A8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116175-38C7-4F16-B409-6B3FF27E93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FA5065-5C83-458E-A1F1-F4F714706E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43C543-B99C-4258-9387-FC90B10F38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31886B-B287-4984-AD77-F99C090105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2D7F64-DA87-44B6-98D9-BE423CBCC3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CB09A3-2C5C-4DE0-A01B-1470DB6FC6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C42CEF-3C65-43D6-AD0D-15E217186C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33CEDD-7357-4D77-AB35-85EF59CBDC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35BB01-8521-4B4B-8D90-2609C2A8BE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47423B-3D6D-40FB-BA16-76DAABAB9D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EFBC3F-8B06-4BEC-A2E0-A686719DE5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D1E6D8-E5DF-4156-9863-34AABA6BFA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1CEA69-A4B1-42C7-8542-3831BA28C9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662FF6-828B-43F1-8C0C-613ADA2015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2E4393-BFD9-4A8E-AC07-54BBDEA473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524303-7898-4302-9FF9-2792B319BD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80B2D6-CB2E-415C-9C41-4B0CBA0CB1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90E75B-A435-414A-B8BE-6BF49DB600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101BBA-5C39-4B3A-88AB-C8D123CE3BF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BA27AB-A907-4F98-99A4-29FD23C63A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E1D241-AF00-4B7C-987B-8417E93D3E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78B764-B1D9-413A-A2B0-777DA54EBE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DED6F7-3049-4F75-8953-3A3885F2A0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E66701-C6E4-4DA2-9ECB-CDE0CBCB82B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3170DC-950E-4685-B338-921C1F2BAD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C41EFE-F886-4BFB-B600-767D1D1617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542D0-37A6-4944-B891-75006F9335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669EA9-CC1B-4F6F-90C2-60C84F9BCD8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1E76A2-CB1E-4DC0-8ED6-53B5CECA684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E7A218-7994-4286-B96B-29211DF829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C7984A-1CCF-4E2E-8D4F-40FEF7ED93B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62BBEE-2561-4FB9-B2A2-8585DF3444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D385CA-F217-4996-AF70-E0C0F8BF30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CFC39D-C19A-4993-8206-A1503187BCB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B6D100-EF08-4996-9A98-A51639467D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1CD354-B006-43A8-A1D7-A3FE50AA74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E94669-6EB9-49A2-9907-2DA2014E50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B9B2F4-A607-490E-B9DA-0A9E992EDC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D58A33-8892-4257-89CA-782E6DE881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A9C755-6080-4EC9-BFA7-F6357E836B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6584B4-2D39-4ADD-9E89-2C1BB57756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D81461-247C-49C7-B639-C1570D49BC4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D0FF09-FB8D-4A98-878E-0FEEF49EA6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A90860-E7FE-4F8C-A9C5-441FF125CF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27FFD3-CE50-45A9-8867-BD54B75775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B1E49A-302C-4148-A603-CD47588245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50460B-3233-4F46-B4E0-D6EF79AF55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352CE1-AC73-4EAE-9FE5-5B69AE785B4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D186FA-BE38-4072-9675-893C971A09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4AE94A-F30C-48DB-875B-76EF083F52C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2F6B1F-6554-45F0-BC2D-9D5500A8F9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EB2A92-2B3D-4BD5-A34C-5E875FD371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E10419-8DA1-4851-8F32-B72CB43410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E28BA4-C795-4AEA-8D38-3DB4E91112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51133E-19F8-428A-B544-1E87366554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F1FF35-ED9D-4A89-8A00-ED308935F0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7B38C9-2FF9-40CC-B404-8CDDBFB40A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01921F-9065-4D84-9B19-7D5B0AD3E4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2F57A1-BDD6-4955-9469-5717149B4D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8E484F-F4A6-41C6-99DA-4A38D5015C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0F9936-33C7-49A3-9BE6-DED504200A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A41B22-9DA2-4BC0-A12A-988B9BD8B9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3FA521-2FEB-45D3-A4DB-0273718A6A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9A9BD0-B10C-4207-A7DD-376D5BD90F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49F258-0798-4676-9014-46F84EAE7F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0FD8D5-6314-4748-8838-B97BFA8605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E0E050-76A8-4DF0-981F-8CC4CAA329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065472-5C3A-4B9E-BFDF-C82C17A1AE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0CAC35-FC9F-4D73-BF9F-4519B80B97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AC74B4-D675-401E-B3FD-055840D819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32BBCD-8B3A-4DB4-8881-A84B413B61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C91A2E-A710-4B21-97B6-9AADF94250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406FCC-1D46-42AB-9D04-8CF01ED6A73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00B4B8-6BD6-45BD-B50D-6E9DD1DBAA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B81F26-58BA-44F0-A498-742E65D025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EDD2C7-01D9-43F2-A4CF-2BEAE9C908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0E19CB-9DD4-4CB7-8CBC-0FCECBDDA5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C6078F-8950-48DB-9E62-8476248686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823EC2-4FDB-4434-BAD4-CBE2D87860C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462FEA-A4F7-4361-BDB1-33E771C83A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78ABD3-C1E0-45FB-826C-A50A233C152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F6C419-5FD4-4D6A-AACA-9117B8851D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59F5E4-FA81-46FA-8F62-A7044C4BA2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F30A4D-4571-4C21-BC44-8FE26D0B90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22364F-73A1-4D57-9CF8-40907903BE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2CEE0A-F5BD-4379-ABF2-FAC3CFACAB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376237-8773-4116-9B7A-F87CB23E2E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DEBE82-5C7F-4CEB-BDBA-433E93158DF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2DA2D9-505C-46CB-AC64-4106EE03A5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325191-FD2A-492B-AE0D-12E27FCE1D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F2EA1C-4AF1-4633-8C0F-EBE3F9C131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2B5A24-A127-4189-A497-B74D795915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4493FD-AA77-43CD-87FF-D8B26F31D0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7022DD-26E6-4E6C-AD6F-C92DC93018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1BBBCC-FC8F-49D7-A7D6-ECF090B6A9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3E15ED-A6C5-446F-A4B0-CC9DDEAD244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122D66-BBB5-4C2C-80B3-E032114F8E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93BB2A-225F-4D91-8B84-3F6986A233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49A236-67D9-4DF7-AAE6-8067FFD6A2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15E6A5-56A9-4898-B064-61CA11D657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E7C417-02E2-41E0-B921-65D0751C23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952567-71D5-4351-826B-D27E2EC940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87859D-640F-41EA-9DB8-A80CE97143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CB1378-0249-4941-9636-A49846D78F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724777-6E3A-4E33-A343-BDB2E07013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D3904-6FF6-4B11-B8C7-59A41625166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5AD541-312D-4D0C-95BA-702B55B96E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14E99E-303A-4E2F-9420-8753C6CF37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40B029-141B-4121-93DC-527C2CD53E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4329E2-2770-47AE-A9D8-1981EB2BCD2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DA0C56-5826-4F8F-8382-A17BADEA33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0906D-7551-49BC-B8A8-B53122390F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A47D16-7B85-481C-8F3D-A0FE6666A0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9F2F78-5478-44F6-A8DC-472942D916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8BB060-7B85-47F1-BE4A-B2C90F1396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21C215-1D03-422E-8F67-DE5CB7E755C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DF290E-8AEB-4CA5-B880-D84E07DAE24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828F10-AC81-4DDA-A90C-436A9DF3DA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B1C914-E402-4054-B1AC-64C9103C41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AB3780-2E61-4D25-97C1-D4942DD077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F622C7-E9F6-4A8C-844C-CA1EAEF371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D9233F-223B-45D2-BC9A-0E67C3B8AE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BAE4E9-D38E-4083-A628-E87799530CA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59FD76-460A-4BA1-BD10-D939748BF3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99477C-3DED-428A-BEED-5B5B0769830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4C6071-4307-42AA-9727-D250645E08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CF868E-5923-4478-8487-302292508B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7F108C-CF10-48BD-8A8B-0ACCAD9621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619468-77DF-4FF0-8559-1B3002DB5C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80BC2-9CEE-4AF1-9BA8-0D1F57F7242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89EAA5-FDA4-4C77-8812-291C6C4EDE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02EE96-5F1E-4048-896D-24FDB4BD1C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F3FAC6-CB58-4C81-8DDB-B4FB135A2F0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BD5627-DDDF-4436-8C2C-A88BB44B53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BDFC11-6DFD-49EC-AB35-A065E8A6704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EB92E9-14FD-4C97-8515-F0013F2CAB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E73299-D2C0-4173-AB1C-FB034433300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00D916-25E4-48CE-8F2B-BC2D3E6601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FA9BA5-DF5A-4522-8ED7-841C03F944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38CB02-5CD9-4A64-9280-3FD1E4FA20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493A44-2F59-4FD1-AC76-4BBCD02CE0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434AEC-6E4D-4D89-BECC-5493ABA039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1EEB02-6C9D-4665-B6F9-E64EF39721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8A8B59-9D26-4F25-B52D-824AC65E4D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FBCFA8-CFAD-4218-A8CB-E7DA0A51FE4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467306-D0D2-4ABF-B70C-4CDA8D51E4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12D394-536E-4C24-A2BC-D5E377E21B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2A0C62-9DBE-45D3-99FD-636C13EEED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901F8B-B543-434C-9595-BC09089640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74F34A-E0AC-4935-8C62-A1866CE110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78A94A-AFE3-489F-8475-CC34E3F0064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6236BF-86F3-4D94-81F0-937A56FF9C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C1D0B6-43B7-4173-BFA1-0000CAE15F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A636E1-B2AA-4E1C-BDCD-E8ADF30364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9FCD00-E003-4A4B-92FD-8AEDA08F7D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A5C30D-0A30-4933-9043-E4CA19E7A6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3623E1-E4C2-440E-978D-3CA8A7AE62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6976A4-4097-4048-B905-D522040754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17CB3A-86CB-47BC-89B8-CD79618B8E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6FC3C4-7ACF-4F48-B314-1A1D12A01C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0BF24D-EAE6-405F-BBC0-26A9882B5D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6DB9E9-140C-4B8D-977B-159AC453EF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17ABF1-8274-4D22-BD51-87906A5216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786131-26B2-4F50-B734-67CC40948C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38F01-F00F-49E3-BC7F-481E842447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7C7221-D9AE-4006-8CA4-51AB763DCA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25798C-3DE8-4D8A-9E17-7E5A8D3B13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F39847-BAB1-4E77-878B-0A2180C02B1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2E7B01-FC9A-449C-8078-A7A8B965E6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A54358-8457-4317-AAB5-4DBE194445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5A22F9-6E55-4487-B524-E6A5C7B5E9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D007D8-8563-4702-AE29-69E82814FE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5DE97C-44D7-40CB-8FAE-3E3E88B3CA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2AEE4D-1C49-4B77-B27C-F86C377037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A6E946-23D7-4A66-B41E-A8F79A3312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F73E06-4C5E-48DE-8490-35A320456C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12149F-B8CF-47D8-8A53-D406BFC349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ACF95-6D06-4315-92CF-0EA50D4613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3492ED-618F-4B69-A8B6-793CDB7385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E8A330-FBB3-4B37-B1EA-85249E6C58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6AB907-85C3-4D14-9B91-49BE7F3C80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0D6363-2742-46A9-8C92-D073D5A2D1B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46B20B-09EF-41D4-8CE4-6E545983D21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0BF39D-3C47-4085-9AD5-F3AF766C46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7E0E4C-C1DF-46B2-8901-045CF25084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452AFC-B5CE-415E-8451-C8FE8A23FB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BCC219-59D2-437C-94EA-266BB976D88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9EAEE4-2FE1-478A-AD46-482A22DD25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7FECFA-AC78-462B-8865-D3E3F4F486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328CFD-0125-4262-B3BC-B92B02B31E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306726-A3C2-4402-B5B7-72B2D86F0D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2D68CE-3C85-4A6C-94E4-46F44293FF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06CF50-80F4-4678-BB13-8C3D0B33D2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28717C-911A-47E7-85ED-14631B3F40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C9E255-B976-4CB0-BBE2-EAA01CAFC7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6CF7E4-B122-4075-B392-CD9B97B66A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D2E828-19D5-4FC3-B122-9C2970CC22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417E47-482B-4688-B95D-6EA3F1067A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5F40E6-D695-48CF-9FE0-EB817240A1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B82C91-D23A-4BE7-AF38-90C69F6865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09B011-AECE-4088-9201-A1A3AB14C8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5D47E1-EC96-4DB4-93F1-4AD510B1DB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AD4148-40E7-49C3-B3B2-537724CBED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29AECA-7F21-4BD5-9E97-70896A42BA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F069CB-87A5-45F2-9756-65A4EC245B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073871-DC75-4562-8643-28718DB6BF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BD88E1-F928-4EB4-B810-3DDF63125B2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2F7693-AA43-45FD-8260-57AAC652F3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E5A2B1-2CC9-48D2-A6FD-EE1D2593A83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9A7FF1-C767-413F-9685-07AF4F3234A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3B72A4-B902-4A29-885B-46F0B8C46D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543EC7-482E-42A7-84FE-F87E66D1EA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8A289A-D467-41F6-97F3-DA4C19DAAA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79DE0A-9F44-41A8-ADE2-DB96615B3B1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4C4EAA-3AC7-4B60-A062-1019616F93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4DA41D-69F4-4CD2-812A-2788A56F961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CECFC1-857F-4C1B-9F68-B73C467C5E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CEBAC7-ABCF-4774-B48E-F491258BF3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E3AA2C-C157-43A1-BA1C-63B664B570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626EB2-32E9-4BE4-8607-77BA58F28B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D988E6-BDE3-4986-A55D-76BE43CA3D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B6C034-A316-42CD-9727-054193D84D4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EB281F-6960-4F21-BCBC-95C10CE2EA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0193FB-63B1-484E-B21C-99C6A5E054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475D74-7D45-4A0D-A6C5-67D47B62D3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3CF8C9-1A00-4BFF-B2C9-728D269EC3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3BF805-12E7-44B6-B568-547F619A4E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CA4F3C-E1C2-48D4-A21D-C62D34A115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FC78D3-F188-4D3F-939E-3B66EFFA21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A50676-9015-4048-876C-3EF29B9EB6D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3BF8B-2270-46B9-A496-FE71B06C06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790B81-80C3-4EFD-8B0B-55FF508688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367108-1277-456C-A20B-FEBC1F9974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23FF48-A342-4621-B601-70103245C1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CA838A-9D5E-485A-B9EF-BDCAFAF5BDE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3830B6-E449-4E13-B549-A3B814B0FE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215B7-070C-413F-9FF5-8928AD287C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0B213B-5961-43EC-81FE-38C875DE91E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66D71C-5C3E-4BEF-A92C-C87B27E7B6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547EE4-5E4F-4641-8EE5-F46D41282C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F86595-DB49-4273-8386-95D23EEA0D2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AD2BAB-CD5A-484C-B57C-44EB368EAC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8C1CB1-AA24-494A-9200-661E96606D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B06A22-47FC-4B2D-B294-7D12D48D6C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070719-4A29-41C0-8FA2-53FCEF53336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036B0-CFE5-43F5-A28D-6C8AF7F7C5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0FF27F-D75B-4E54-8D60-190B164BF7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E85990-A205-4568-B326-7CA8CFB0FF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A28D1A-E978-4A1F-B716-4F0D18955BC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AE1CC0-27B3-4862-8EB0-D8BB5372C3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82D999-0858-41AD-88BC-AE51E57D10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01BB8D-419F-4C05-9FDD-C31E6E357C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4B28BC-B301-41D7-87AD-199C35E433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7128C6-887A-422A-9837-4204DC62D6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9D8F96-EF21-4C74-84C8-CADDA0ADF9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E039BA-1F25-4A11-BDD7-0988ABB06F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95A14A-3C7B-430C-AFCA-98E72B7C75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BA0640-050E-49B8-AAF8-1FA082C2FE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C116E-394C-4244-A250-675065B7D6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042BF7-905F-441E-9B43-D5059915A5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34F244-93F7-4A5D-82BE-CEF77AD869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C6D6D0-19CE-453B-B22C-CD25EB05D6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69A09-2D7B-4242-B764-6CF0F4CC00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A7F63F-DEC5-4168-97A4-6A7C5E4E53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DD6633-8D9E-4D17-A2CB-599A581220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2E936D-7171-497E-BA2C-768A3BE9801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2927FD-D24E-4E3F-8F73-A6E1CFF111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0E9A0B-C479-4618-A817-3334E8D751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F85AFE-F5DF-4797-B45E-A2C4A56C9C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9BD85A-CC32-4C8D-9926-180D2FD22A6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F8465-CE02-47CC-84C9-72D7036137A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D608B2-145D-4906-835C-8D2828B8854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20F8C3-E33D-4F36-93F7-87AEE2BD91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F54A3-A604-4FBE-923F-608AEF0C1D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A30242-09AB-4B0E-A48D-CF382849A8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EF824A-72B9-4640-9603-34E164D752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B4DFC4-0741-48D8-A015-4384CC7515A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02309D-2323-4523-812C-01B19E122F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5C7D36-EF24-4F7E-8F4E-A1991F0FA6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C74EBA-69A1-4186-A3A5-AAC9FD46BC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8D62B9-9106-4B77-9BEA-82736F7B0A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2401A0-7E7C-4991-AA97-CB54B3C192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DB6852-BE15-465C-A183-9AA67047C9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9000DD-39F2-4BAE-8EAA-563E3EA78E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CCC7F1-8290-4495-88C4-DC5AF628CB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58824D-9F56-4A82-89FB-DA966FD651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C0730C-8A96-4B4A-9BF4-BD215273E9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62C1A3-E38B-4B05-931B-96F07303590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36E343-012A-4322-9D07-2DA9B21F3F8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0FF37C-0A4D-4D21-88DE-3A5CD30CAE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8B430-EB12-4E48-9BCA-5D3C2426E8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EF7F95-0A6D-4E48-965E-277922A8D4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B25333-BB71-4ACA-A288-31748C0FFC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88B861-B5E2-46CA-A1CC-ADAA52FE3D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7D9D21-E249-44F7-B9DD-1CEFE6C2B4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44503F-994A-4472-9154-8950EE11CB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EE1458-825B-49FA-9ECA-57411DDC2C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C92CB3-0C4F-4AF8-955A-9F55044896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B1DCD-0169-41AE-B2E7-67B62758CF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25E7A4-5810-44AA-BC0D-1EC6521AE0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C591A5-D2AA-4C7B-A19D-5FF9025AA9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DA9F80-B435-40EC-AE4C-914E90846B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31A196-A776-46F8-9B6B-6C02E13307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D69781-72A3-421F-8189-31F292717F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64E6C1-FDD5-4450-8F37-256EB17A10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7EC5E4-0D51-4CFC-82C9-6EF77E9CCA2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B3D253-44D6-464D-8477-7F5D1F8D00D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3383CA-8CE6-4C1C-A838-C8B6F9CB70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3C12FB-B245-49D9-89D6-ECE8566753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384361-A489-4798-BB06-59A093DBF5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96BB87-C3F8-41A1-9E8F-78F0ECCE85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D0E21E-0121-45F7-BBF6-59EDDEC745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EB1BBB-ABFF-4085-AA54-615C11E661C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DC75EA-295C-4357-A716-A6D62EC955E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63A29D-8D1C-47E8-B880-5CE5D11451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42CEC8-3A00-4F16-BD59-09289C8A955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29D0E-8E43-4426-A4CC-EBC51D130F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A937EB-9289-43DC-9DA8-9C81F81F58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A5C4A7-05A0-40FE-9467-031AFEAD6F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0665F5-C15B-4341-8538-FDAEB40536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F38770-D205-46F2-96B9-1A5970D5B0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57210B-8E06-4D82-A4AD-AFE96B0ACF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E987E3-DF38-4F8E-80D2-1D9B79BD00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8B21FD-AB6C-4BDE-9E29-46CB7186968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EDEB1D-0EE7-4667-BCB6-FB2562EF755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2DB5C1-17D6-4351-B3D3-1A3A18AACC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141DEC-71BD-4A0B-959A-50509948FC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F4378-2D99-47AE-9E2C-1D03960BA74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A4EF4D-2D9C-4656-8581-91313A1260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A37EA1-8D78-43AE-97CE-5315F4A9FD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67E30F-DDDD-4D6B-BD36-BAAD8C3035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5CBB35-1D89-42D9-88F1-465D8E4D6E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B7EEAD-34B4-4F03-9AD5-A379AC79B7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24A439-EC7C-48BB-B06C-A570386C09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68BBB1-C90E-4826-A047-063F0C2D92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F9426C-899E-4C8E-8649-77F85DE9BF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3680AE-6779-43E7-8AA9-1E6753A9D04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4EA734-7BDF-4DF3-88AB-E5F147DAC8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AA5693-12E5-4B62-900D-B8D7AFF1FB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933B92-2300-474B-9725-B8D283F157C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63688-0CE8-431C-9ABA-7D816EA159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9AEB15-7520-4CF0-B9D2-278813741F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EA5D02-B812-4182-AA79-2FB8364789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46E341-D7C1-404B-BAE2-CDEF28D635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F01961-0690-46FA-A17F-E4BADC94C0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C7E82F-D67F-4ED2-A106-19C00A9F46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A7E2C9-DB8B-42E7-BA1D-553E6FAA5EA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5C261D-AE9D-477B-8FDB-B41DBB1534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F199AE-4299-4363-9AEA-E1C26A6CC1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B7CD54-42D9-4082-B72D-B41C58F6685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8775F8-E187-4640-9DFF-BC57769952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70166D-B918-49A4-9E33-C0F75DD872B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09BFE8-A56B-4FE7-893B-8C6704B0D1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C6A354-1E75-4D8B-8116-87119AF4B4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0749ED-910A-4303-ACC4-86CFCFE2F2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DEE5C9-7F9E-4969-A4F7-88BD451EAF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9A9226-7469-4D90-B2A8-84BFB9E635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4D407E-0B9E-438D-B696-76FE28D7F0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A61CBC-122B-4B84-9ABA-27982FB2D7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6DFB80-3D06-4239-A227-DB762B3F43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1BF75D-69D3-465F-AB83-D86DFB0305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19681D-F9C3-4B62-84E8-61FC1A9FB5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D75D3D-DD5C-4DBF-A5CE-1FAD61DEB3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59AE49-DEFF-4AB7-875B-DCBCA5286E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0F0931-1926-4255-B2C4-DDB562B31DD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5D5D8E-75CD-4562-9C46-BAEFBFC49C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7F4F5B-2472-4EFA-AC53-A30E1F2A97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64B37A-3DC9-4445-8159-5D8C8A81D62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50B715-1931-4AC7-860B-9E91C7CB31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4D768F-8032-4508-BD96-1A06C363AD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EE1CFF-ED30-4B8D-9E37-F00287874F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4EE880-0ED1-4754-A8C9-EB66668AAB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13EC33-F003-4F62-A452-10853ACE28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1D6E47-8102-43BC-9B8B-0C40BB6A3AD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2F78D5-C5B9-4D45-AB06-846096297E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A23F07-BF11-446E-809C-4D81B260D8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352D5C-8653-4E41-AE2F-9BAF8981D75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D53DE2-D814-40D1-8095-EBF570DD02E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05D6A-7D75-4072-9693-CD201ED483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56852C-7127-424A-8140-D26D06C6CB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4B198A-CE57-40E5-BD89-9C67BE59B37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8726F8-BF71-4ECC-8295-1167868F49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76BBE-F094-425F-8B4A-FC7B295373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B2F0E1-9D19-4E1F-9E63-AA9274BD64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729705-401E-498F-A050-F852C99599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8E37F8-0052-4019-B1D2-720C5C71DE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1BDB32-BD01-480C-BCF7-7A048BAD55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E4E245-7272-4F06-828F-E16E6378B28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A79483-C6F4-4A3D-82E1-8F06774E167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ABCDEB-6052-47B7-957B-D49E789FA5F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B41958-62DD-4EB7-867F-779E004DC5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D05970-4C28-45F7-B5DD-66F91E135B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4FC479-D27C-4EAC-A31B-ED0721DF36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AD5364-323E-44B7-9426-DFAA67A317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5971D9-D133-44C2-91C7-1CBC18A9685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C28DA5-6CE3-4ABE-895D-D0B33B1F06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2F431B-8B81-4511-918A-9AE1BBA8B0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19707C-3439-4A49-B479-3B25AA2D4DA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EC37C3-0909-4C81-941D-CA00B91926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4DC186-E73B-4B58-BACE-8E40013486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BD0500-D35E-478C-8371-F6F215E9CF0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5290EA-B0D8-461A-A4C2-66A42B2EBC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96F440-9C13-4F3C-BD9E-D89DE33FDC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4E56A0-AA50-45DF-BF95-1DBA8E5659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64E1A9-6A5F-4853-96DE-2FE61374BE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465EA3-DBCB-4F2E-8F56-3D657CD0AD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9E8C9E-C3ED-45D4-AD5F-B7031CA3A0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1CB095-EE1F-4FBD-B2CD-092F6799F0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508643-9474-4571-B8D0-5CE5050946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E5B11E-3CE1-4EED-8517-D388A0C6A89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AB532A-0641-4C2E-87C0-DC99B3CD4F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029FB8-708D-4444-9FB0-86776CCAA6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5B1B77-34E7-4D4B-BB85-AB05501EEC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2AF6C1-9C61-4206-9AEE-FF92BF48A8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8E07A2-D0E2-49D8-88C3-843F6B0729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B235B0-2269-4554-A9F9-64D82BFDD7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10F505-5265-411D-A518-E4D3919ED4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08EF5F-B5BD-4B48-AA5D-79BF4BE04E0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918ED8-F797-47A0-9979-DED8738794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1AA234-D0DC-44A4-9487-7DB27F07EA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7BA9DB-A46B-4815-A3FF-825CEA9542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B7E845-A779-4F71-93C0-7E36E0914E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B54AEF-0945-43CA-9880-D4F5AC93CD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C15C5-931F-462F-8C45-AA7F5E7AE5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08CDEE-1ECB-433A-B528-B0DB5D7B990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46D128-0D3B-4CF0-AD8D-0BA6AA5A17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9065D9-BBC7-40A3-AAFF-E9537BED77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42AA3D-8909-4A42-AD87-A21BCD3144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B10967-4B9B-45B4-AE01-D90BF27214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BA5D72-83E1-4317-9D7E-0CEE79B60D1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A9F8C2-0320-45FA-84EC-E6F4FDABEFD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7EF1BC-5C23-47BB-BEEB-325FB4D3E37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C47E0-A4DD-4C19-8C99-5F34557328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7AC8FE-7371-418B-AF95-C8BC4053DC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705E1F-4CD6-4565-9C87-C67D5FCA024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C4B48-430D-49FC-A5D9-D2489FDE3F5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1DB432-3350-4C93-8673-05D88F9B6A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C57C2B-ACEC-41C5-912C-CAEF160704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9AAD17-24D5-4732-A953-F7BE2DDD5C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AA005A-9E32-4722-991A-33719906384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EE86E3-5DEE-445B-813A-5DB013D0722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49ED95-B014-49D6-A609-FA6D0D2CE9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2A38EF-A0A4-48E5-9D36-36E578255D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5F2ECD-98D3-471A-BDB4-0372F530F5B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1685CE-245D-4844-BBC1-BDC8756AE0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DFAB05-167E-44E0-A978-76C1A9B41B7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DC13FF-59EA-4E21-858D-7A6544CF2E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A9A016-980B-4B45-A290-45360948DC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242323-EA56-4AF8-9439-FFB2C95B3A5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444EF-3C42-42A9-8650-D889B90E0D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051874-B152-49CE-9BAA-9B94658BBF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5A8DC4-6EAF-4131-998D-343AF392C4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FE2C18-ADB5-4BB9-A8DA-422E26D967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118F68-E66E-48F0-8813-D49BD5B548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DAAD6F-F79A-4054-9D6D-01F0F4B4CE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5F25B3-76D1-4B0D-9C2C-4A72DBE47DA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714150-EC96-44C4-9F2C-4006FC24374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BF8AFF-288A-439E-AF83-703B8E8B96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993141-8945-49D7-B6E5-6838B377E9F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A8E027-1F3E-4A1A-8C0A-211C2EF962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F5C29-E05F-452D-AA86-8EC25BFE438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3FFA11-EC3D-4AE3-8536-A5E04A1892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459444-FC75-4C02-8A75-0408FA8F5C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718BA1-D893-4F86-AB70-DCD892ECEC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EF0364-B4FB-4723-B9C4-F16652F112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D4D90-47D6-4EBD-9A5A-60CF370C49A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A7A185-560E-4B98-9CA2-14ED01C9F7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5E0BCA-BF2A-404C-876A-D192C1A6A0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A5DA73-7398-45AB-8BE9-6EF5D09F0F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B64456-17DE-4C38-998C-4798BFA24F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FA9C5C-7D31-4BDF-B5CF-61A3ABF262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A10904-EBCC-4E4E-BA4F-7548A02869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9A6636-4D17-4899-A2EE-2192682C81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B8BA34-51BB-40AD-B9BE-BFAAAF1F7BD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5E582C-E51E-466E-A941-DC8E3C2094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EAC781-D85C-443C-9385-F0A7537AF8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38A0FD-E9DC-4726-BA66-5614654203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BCBB1B-40AC-42BF-8C52-050D81DA27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62224A-B867-42EF-809D-164DFA5917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F94C1E-5578-4DBD-887E-3DB0D8075B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EB288B-FFD0-4509-8554-48B64BB9C3E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75623E-EE99-4AC6-BD43-3211F4DE141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064A81-D06C-452C-933D-7D9ED1AADA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4ABCE1-F3F4-4950-BC3E-A696615B5A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D75081-6D2E-4C46-B957-DF42799F02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ADE900-7B83-4860-98C3-98A1CEA6F1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FCAB18-8856-4948-A9F9-575396686B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C17FC1-2A15-459E-87D0-59040E0B0B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B07C0D-2894-4DE3-8FAD-A0553E3D32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480BDB-BC6A-4FDA-A0E2-F59EAD19A3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1A5F26-484C-4879-8B3C-017A1CBB7A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A05B42-298B-47C2-9FE2-524618EB1C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DB4D93-3BBE-40AC-AD17-F3A379A50B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D5D1C-527B-4823-B479-2704177E67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BB4386-BDE5-4971-BDB5-F29060CBCE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0BCE41-D2FD-4E0D-9ABD-7D4187E5E16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AFC300-62F7-41B1-8367-46CE415E3D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8ABBFD-3D17-4DA8-A265-4831A69969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7B33D9-4F8B-41BF-BAE8-963E5AE3D3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3F52B9-4C91-48AC-A594-E2F1C28EF48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AEA3C1-0C7A-4079-9F02-840DA9D4496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FBA96B-0651-45A6-A03E-2CD540B5DC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F2A725-70B8-4D7F-B154-4F2D002627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76BF8C-3085-466B-8AB4-C234CC3F2F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BCFBBE-B07E-43E9-82EE-5231319190E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CF34AE-42BA-402C-B923-6A0A1C95985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57FD9A-7712-4DC4-AA18-614C89B891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639547-1221-41E9-8C1F-67A6F0C2BE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B711E1-DBE0-484A-99E2-BA28537ECA2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50AAE9-2137-4773-B900-56F89A3C26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1CA24C-69B1-47DA-86ED-6A2F189E2F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9DA55D-2B1C-4CE2-9649-319BE64B273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26AE36-27A0-46E3-B1CB-411CC74F77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F6BD9E-34A6-408F-8476-767B3A97D05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B378F8-8A33-4877-926C-4F2D103AD0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B1F04-D1F1-47B7-9871-D989015C5A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B0424F-86EC-423C-8650-2220130FD5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BEF68B-2766-4866-867E-935CE2FE39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9328E1-D1D9-48F8-B7CF-BA410F7FBD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A82C27-B0A9-4949-BAF2-9967E7AE2C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3A3CF8-DE86-4D72-9D77-D7552F40E3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6FA49A-8893-49E6-AA37-6C2C4C567D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2A2F5B-FEDE-440B-8A8B-DE2F47EFA3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468817-3652-4DE9-95DC-054FD2F07C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E2FB38-259E-424B-A71A-96C92021AE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D25083-207A-4B2F-B4A8-065893F3FA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2C6EF-7B3A-48A7-AA2B-02D8E2A850D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8A6CE9-7C3C-463E-A266-F02BF9AC60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940061-4EFA-4B42-9FF6-5FE8894F52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6188A5-296E-477A-BA09-2DB56D7213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6F34A6-F655-4266-B5EC-80E41F2D48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E20E77-8FDB-47D1-A13B-F0AB7027C7A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A272A9-A9AF-428F-9A8E-EF9C911097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F85331-D15F-4DFE-9AE4-4950B8F239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A8A3CB-080A-4A1B-814F-4E54467BF3B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6E0C13-67AE-4DB4-897A-A8154EFF6E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C03A92-61F8-4798-A2A4-92E5A3F3FDC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92F6C6-E96D-4A2A-BF86-074A66EB8D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7B3761-F812-4309-B699-AF0A271B7A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E5BF26-153B-4778-9A5B-7E7C64CE2E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E95B10-B76E-4E59-A02F-EF47AAA779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A18151-A93A-4508-AD0B-3830B9AE7A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80623E-F792-428A-A912-E941C86BC9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D0FBF4-5806-4A98-9F84-D9FD4A8B22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E06F4-05A9-40A1-B4EB-5EB1BC1320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582541-CE51-447D-B133-966669F0DF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B8709D-2CD9-44C0-89BF-90B10BE785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69C685-90BC-42D7-A176-42CE9236A11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BFE07B-3031-4117-8C5B-92BD5348FA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17C23-2E03-48FA-8004-B181F91CDB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8400A8-A5C3-42D1-932F-9A532DF0FDF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C4672B-E08F-477E-9C89-FB2CD07A31B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167E70-E535-4216-BF1D-973679E4AC1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1C3281-5D0F-481C-A1E1-973CF8557C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1A7ABD-DD1C-4185-B991-703901F9A4D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7E310D-BE02-40CB-B5C1-90318B5D2B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64C1D8-FAA3-4A9A-A8B2-F97E765F78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FE5D40-E7D3-4FE4-8971-BE28563DBC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6394E1-9DE2-4B45-8321-F8765D175E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E8D462-F137-463A-9639-CBBC97E01A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E3DFE2-4188-44CE-B895-CF9149AAF0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8B996-520D-482B-BA8C-7CFA9A7447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AFDEBA-3E27-48E4-A094-70A1C8342B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F2B73E-1035-4B03-BDBE-7380CB378F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48B754-8BC1-428D-9ED5-FC639D73A62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D17068-9A28-433C-AF24-9F624EA949F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CBA406-B0C4-43B0-B4A0-D9F6A6CFBB3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B15C63-B5BE-43BC-9E81-495E621C94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8A4B41-2E3F-4EAA-89DD-58BAB5BC88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6D2620-41C6-4EFB-8F0B-D8CC53FCDF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6EED4C-4884-4AA9-AFEF-BBB8028CFF8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0638BF-F400-4868-8FF4-50678A1336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0F7C21-4517-4904-90E9-68F49613B9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B98495-486F-4D17-893E-B69A1B5628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D90119-5BE5-4B7B-8AD3-B4DF883C88D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AD9E79-4276-4BF3-A6C0-4AED2A5B02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0CA17E-E25B-43A8-863D-C2671514BD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47E524-900D-4C8E-B85A-A1C6C4353A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067042-E687-486E-9747-0552E99862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80D6EF-D214-42B5-9CDB-A7831AA6DE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1A59D4-BC55-464F-AA45-804C6854C01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8964C3-7620-4A4C-81B2-4B6E66D4F90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D25E47-12FD-4DC1-85A1-5ADF5CDCF7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E780A8-3426-42C0-A1D2-982E1BFF86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EA7867-4722-4500-96D8-A65E1F9190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331629-682F-49CA-B75A-06B28512E4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2FCAD-B9A0-4E9D-B76C-FF73CFB37C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3C9EF9-5E56-4153-AD0A-050407427D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EA0778-7250-4C05-B845-54FF092773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A06D17-06C2-4184-A8D8-B78658A94B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3D67D6-9AAD-4FA4-BF1A-A379478BB2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E2C841-F563-474E-B7F8-A690E6EFA1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E51859-4B18-4BD0-AC86-14CCEA3478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87F990-C305-4FDF-B14A-FE5E692ED91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53F57F-A984-4183-AB9F-DE1FD99BA1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57B5B3-6D98-47C2-8C47-94162438CB2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B5CF8F-99FE-4190-8253-39343A5A7B0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37658F-2965-459E-9592-AD297D508F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B576E2-FF9F-4C5A-A5FB-9240C5B3D9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C21C83-019C-4BD5-8497-DF89A14436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9687D9-4554-4AC7-A70F-B7458EE765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E7C18B-4D49-4B28-8712-CA461EACA4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AAA64-257F-4DC0-82B3-76EC32DCF5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07FD39-0740-44D3-9A99-AB3950CB97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BD914F-969B-4697-B966-DB1550F4635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88C61F-241D-48E4-AAB8-821F67D84A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7F5080-27EC-4BBC-9A48-BD202A87DC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6BCA36-358A-4BE5-B703-90DD9B1393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F82A6F-F698-4B72-8ADE-F307C1D7B1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C0B18-1FBE-49D6-8B19-23CB1A8B86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CB778C-2E1C-4DA3-BBF2-20757332DF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3CD26B-DFC4-4FB6-A956-B6E95F4C0F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5AD109-0435-4CA6-B51A-405A977BD98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DD2B9E-B249-4FED-B8F6-EA25C29D93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0FA2B-FFA7-432C-939F-39A380900B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8CAD99-1684-4981-ADE4-A04052C150B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A76978-7AA3-483D-BEFA-6666A3AF38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DB9FE5-ADD5-460C-9FAB-8F77EED219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D11362-45E9-4373-B6D2-F85E839C52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242FED-7B0C-44CC-9AB7-E2F9A0726F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2EBA3D-47F0-4DA2-BC29-CD2A65445F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7CC3C9-FCD0-468D-889D-C04F54D0F46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0F1B44-2A3D-4998-9E3E-699DC2C1A0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0B1850-69B5-4BD0-B07E-58D45F204C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C83B15-C9CD-41E9-9864-70FE719DBE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B9FA4B-E182-4F11-AE2D-C4321D555A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746932-D6D4-423B-8DA2-01CCD04969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6F2804-5BFF-4492-B035-DCD963A97EA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054623-B37A-44AF-8338-6E419A42AB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5C7772-7AFE-4B39-82D8-13F5934C3D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479519-7BF4-47A3-84D5-45C53503F0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EF8677-B049-43CF-8131-E57AAE97D4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7CCA72-D690-48CE-B250-61BAA14612C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6ED753-2CAB-4083-8267-073DCC6127E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2C54CE-3325-44A9-A487-36C79FA1AD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27ECB3-F569-456A-AF56-943A91E2CEA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5ED7D4-2DEC-4E80-81CE-2C11F49F51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AB3863-A64A-4DB7-A167-ECAEF77550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703B15-8B84-4831-820E-A2CC6CED7E6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FF0873-4E45-45C0-AC6A-EFEC25547B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1286C1-CAF3-4AF5-B1BD-7DCFB38324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A11F8B-B144-4040-AAFC-0405623AA4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FEBC2F-E581-4593-8F82-6FFF487D95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6255E8-ACFB-483D-8304-0AA54DDE278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A34892-618F-4941-9848-5E7196BB621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F2EA99-1687-46E6-BCCE-0081434816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9E755E-B37A-4A80-87BA-BB4A1DA9B4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5EDF56-B00B-450E-8929-FCB3302C6D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5FFC21-EBAB-44B7-AFEA-A01B5B6776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9E589F-0729-4691-ABC1-69AF3A1B54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6C8BCE-A3D3-4746-A3FC-647651BF18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69CDE0-ECE5-43C8-B0C7-9031A46E43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8FC449-C0AB-42C1-809F-6A11C016EA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CB0E26-7D3E-40D9-9114-C6861B2286A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2222B4-34DC-48A0-A717-C6459EC802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E9BB6D-CC7A-45B9-94DD-D0F75D21F4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13A312-677C-463F-8A42-21DBE91225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643264-AC6F-4E7A-8EC1-ABE117E8947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30BEDC-1910-4B5C-8769-CCCA7F209D0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52043D-78C1-4AB7-BE19-72A1195171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5CEBFB-A232-4C45-8771-D65E829614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257893-5DB9-4A8C-A97B-73DE49D873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45D9FF-A74A-4E6C-9DD2-A5C71B470DA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B3342D-7983-477D-9A52-54624ED7E51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2C2E58-EAEA-4900-ACC2-192B1DCCB1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8F1A15-258A-4100-9034-8C7F6AA3BC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42BAE0-C62C-4FC9-A9AE-64E9620564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1E9354-C120-460D-A229-7B5866440FD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91336D-B37B-4771-A311-B95F70273B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819537-EAB2-4EBD-8B1D-F760A9A1D0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294F54-C6E1-4B1A-8C2E-8C93A3AB6E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17FDCA-6BFE-476C-9022-E4967CBA88B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27E75F-7846-4C12-AE88-341188FCB6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181C6E-B1AA-4FC9-9E36-1449619D16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5B38F4-B1A9-4F6C-A4AC-004541CC92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A2C55D-15C5-4AA3-890E-4994BE3612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762B13-12D6-45CF-B084-9C4D5331A5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E50207-5F02-4A06-B362-BC90670997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D61B70-E8F2-4EC7-AAAD-9941F95F5A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25B0F0-7B78-4D1B-83E4-FC4CBA9D68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A0DE4B-CFD2-4ADB-8E28-79A83203C3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C87DFA-82B9-4FFA-A7F2-AF979F0E17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23062B-CD88-4FEA-B998-10AE2A73C7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E4F599-4ECF-4960-8939-DD8BFCE0EB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AB4B0D-ECE4-4503-8A5A-7D175968C6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720E9-547B-42BB-9EA4-C7B2E60E0F9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8BDFA6-A30D-446F-B273-F0E35CA649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7C76CA-A9B1-491C-8E48-B46193E8B6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ABEC23-B847-42DB-918E-2D32135B90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3937E1-C5BB-4DA0-B781-1B822E12B2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3B1382-B06D-4CBC-92F5-8CFFD342BF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D05DD-6C19-4C4A-A734-546CBC9B4A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D19B31-2759-442F-8F18-C8619CA068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E6D5BD-DC6C-43FF-B356-851291B5B2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610359-70F0-4E91-9B24-97CF3FD3E5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1AA735-B73C-40A0-BEF8-F0ADB0F8D04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2A40F6-393C-406A-9AA7-56EE6172A3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8C3BA9-5D34-4B11-B7B7-CC15C9F80F5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699241-6BCC-45DB-A26A-A762D53C44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DDD43C-F553-49C1-AA66-DDA08C4A8F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1DACCF-EE40-4EF1-AF82-C59D2441413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4C231B-7682-49AE-BE8A-8F9CE2B286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C5A56D-4C57-4334-AD08-524B33D13A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D452D1-1953-4CB2-A859-733C245FF5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423F98-52D3-4BA8-A11B-E6337BB6B6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908C5E-09D6-4897-A3F0-3EBE49E4A50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5C1948-A281-40BF-A6A1-2B673C54F1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9B5F48-946C-4840-A80D-60C2C0C8A8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B0AF42-3CE1-40D1-9300-9D2ED7BB93C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351B7C-F07C-49C1-A53B-56498A55C3E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C5158-8591-4F85-A80A-2BA7AD3BE3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960AFD-4588-4B6A-9975-7EDE3EE6CE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0FD158-2BD9-458E-9CB2-753D6CE983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8C6304-D0F3-4239-B599-3732C67E11C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9011B4-5065-445B-A942-E50270878C5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DA109F-4986-415A-AE2E-BB4C9D3D7A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7D8664-0EAF-4C3A-9207-600C9CB0E2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CB3990-83FF-490C-9F14-A690E6754D7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9B679D-37CC-4F67-83C8-F26807BE16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6E8736-6750-4F2B-98AF-9D38FCBF357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5B38B6-2240-44AC-B8CB-C2931FBC81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68E921-3B41-498D-B919-540061CB4A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1FA8E5-3454-4880-A2F2-519065C496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517336-1282-448F-8E89-C63B699A72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950778-2ECB-4081-A48D-147586F8C7C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B67A1D-3346-48F3-836F-9015FCC23D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E16DC1-325A-411E-A0C0-91E00BE7E99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AFC132-15D1-4133-87F3-983893C26F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06AD4B-876B-40DC-93DC-BC755DEAE4A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9C4DFF-B4E3-4858-8998-89D99AF783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017863-1294-4897-819A-6C47E36AAD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D486A1-28AB-45C5-A438-FC96CE4483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440BAC-9FBB-4E35-9865-7A595FD01C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4CDBE5-8E83-40BC-93CD-A169D0FAF8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A85D83-DC14-4AB5-A33C-7C6E65D0F1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2C3A31-273C-414C-8EDF-CA058F521A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56B208-83F2-48B3-9CBB-96C5DB6B77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411E5C-B91B-431F-AA50-361BEF1A7C8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60908C-739E-430C-BC00-1DC12A26834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DFF9CD-11C5-4144-8B23-2C8990C9A7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09C5E2-9366-4B77-BC0E-0B1319CF458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2C233A-7B5C-46CB-B413-0CF2B4D297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6C194A-1072-45CD-B404-CA0148D531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C27B0E-AF9A-4ECC-9CD0-51702D5F59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3689E7-C2C1-4A21-BA77-03271492350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6AF2AB-280D-45CD-A16F-699A674803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39576E-BCEA-40C7-B4F2-AEB27B9D85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1A7AD2-5563-4D09-8CAB-0B03E2DA42D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A601C9-E37B-4225-8B54-E122F56CBD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E3B10-77BC-4E94-94E4-4EC198C0FF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3EA3E7-48C1-4D41-B6C9-B4C1B2E859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D1D694-61F3-419D-81F6-F29DCBFD31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34699B-6DA6-4219-9AE9-DB688DB701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CE7AA8-ACC1-4B74-9CFC-717B3996DB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8B001E-0E6A-467D-A474-DA3CCF7DE4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99DD56-677C-4E88-935F-CDF452052D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EB03A8-2C0A-4F8D-878C-995962EA05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F95462-BBE6-4A1A-9A40-0A82C8327A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C3C1EB-B406-4E6D-9B2D-11F4FB9039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9C883E-91DC-4D57-82AA-E8C30A70D5C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87EDD9-34BB-47EF-B0BD-333AB7410D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12B182-95BB-4B98-991B-F896F894B3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77D6B2-62BD-4A48-9DDB-14B8B3C1444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C72A5C-132E-4B95-B615-A8066850DF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49561D-1E6A-42BD-83B3-3F995C6B75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6FF291-F1E6-4173-9298-98EDD6A08B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64678A-F1E6-4B0D-A802-0D2440ED9BA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DFC29-8537-45EE-B762-CEDDEEB306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B5CB1E-F97A-4807-9D84-6284763DDB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6EC146-1E76-46D6-91DA-6C027ECD1BF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0D440C-3570-4D8F-91DD-7E78C6B7883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3E0C07-9DEA-44A8-AA5F-A4F86F4072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72F017-71FF-473F-B3AB-446BA1FDB4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D3431E-EB0F-4CDE-AA6A-D76157388E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7EDFF4-54A4-4579-8633-F058F96D5A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745FCE-7ECD-4FEF-9844-2EABDE72C3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753E9A-1E3D-46AA-9190-11A232176B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901110-26CC-43AD-A65C-7A6AFCD1643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6E78B8-AD73-46A6-B366-AB16306FAE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A9BDA6-D19E-4551-919B-6C034B6C93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F5EB87-F748-4891-9B53-C9AC9EEE1F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917A05-4F2C-4DE0-BB7D-541AA153BD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1A384-CE9A-413A-A605-EE3E1FC0B5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80ACF7-FF2C-4863-82AE-C3DDE27698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929E81-D052-43FA-8528-94DE24E4B98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260B39-8C3F-42B8-A51B-0AD55F7939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F1482E-2C14-459A-BF53-DB835271EE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57D3D6-3ECB-4C39-A561-DD7DB791DFA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A37E4E-8386-453A-97A0-33FA7854C7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004603-C02B-4DA8-B48F-91FBDE7B26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7F7C0A-A41D-446A-99AA-769C4B0DDF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BADAB8-D949-414A-A273-5B1A01750C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6214D9-51CD-42CE-B0B7-6C024BD172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0BC39A-8961-4F3F-87B0-F953638611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179FD8-0D35-47BC-8BA0-0054B60442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B98D92-622C-43ED-A325-00395C42D3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E204A9-19BB-4277-9404-5B758D966FB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11C7FC-7885-4C06-BECA-09E5F60C45A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E85F48-35BF-40B0-9647-0521057D08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4817F9-ED3B-4DA2-812F-FDA15F01A2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5F0238-166F-4D36-BE6D-FC78FA333B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9099A2-862F-4BCA-AB93-760F816A88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49CFC6-705E-478F-AC6B-C73EC9B634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6CFC53-EAC7-40F6-ADD5-5E1035CAEC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5F6D5D-76B2-4D4D-9C53-D4943102207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727D59-E2EF-414D-A3BC-78DBC7FA8D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4F2D52-0F4C-4E47-9593-4564380695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BC951F-9161-4F7B-BD0B-C93F27009C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936F58-5A15-47BF-81F0-03CBBBA8F0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231214-8359-4B13-8B98-A8413BA621D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861794-CDCC-4162-9EA5-3ADD5517F6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A486EC-EC04-456C-B4B2-98E2A64E70C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E55E4F-D4A7-4531-B084-05C9B60FEB6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21B5ED-69A3-4A25-BCDB-9FB83B44C8E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D5685A-4DD2-4CAB-B801-D6D369936C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A58A7F-73E2-4174-B94F-FB62D752AF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F9D2D2-C89C-4E20-9795-805FC2FEAB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352BFB-C189-415A-8B53-6C50F3F0E7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629736-2E26-439E-8034-96D78D705AD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607BCF-7FD0-4182-AB1A-0407705AA8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08B78F-9F16-49DD-9BC0-B584B4919C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BBF581-AE06-4B00-9A3A-1DF0035A3D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63507-5867-48CB-A6B0-521F95DE85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F8A51F-63A0-4BAF-A0E6-3775C13CD0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132B71-43D1-4F67-A4E6-21E74DAAC5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495134-6DB0-47B0-ABC6-36C4757AD4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3DD617-7422-4419-B5E6-31C4A65F41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1AED76-A8EF-4E6B-9EB5-E3B9BDFA72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7961B5-8B16-483A-9806-E884D8055CA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29568F-ABBB-4B5A-9C0A-BB42ACBF15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583F9D-14E2-4EAE-9993-84F04959E2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3A8B52-EE5D-4E5C-9FC6-21F095EC82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89B812-7D10-4158-9437-E1B7FC9AAC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42EB3F-1C6F-4AFD-9EED-CB0520265A7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E23CA5-8529-4AE6-8759-4DB0F86F7F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877599-1E2D-4CE6-8AE4-BDAB707FBC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B9D0B2-52DF-4EDC-B745-7E517FE97E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5BC5AE-2C74-4D5C-BD1F-526BB5CA61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9716C3-AAA1-4F22-A4BE-1215CC0505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235A08-D966-4B4F-A404-86C25EBB55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F5DE59-514B-48E2-8AAA-1C72B3126A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8CED48-D0BD-40FA-ABB9-2AF994BDA3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B055A5-C21F-46FB-A96D-3BFD6FE1FA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1343F5-19CC-4DE2-B426-45DE3AB2BE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012B42-31ED-4125-A5CD-81FFE18898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74F276-0DD0-4E1A-B11F-902F63CE05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1EA05D-211C-4DD5-A294-7B72483445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B76C10-A072-43EA-8991-A83AF3587F3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65F981-5E78-4C38-9E57-04B270EC21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528247-A3E3-43E9-A292-0C2F15703B0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CCBC51-AA9C-4035-AFE7-38DABA598FA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634F4F-415E-4EF6-B279-2F446ACCD3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C3EE24-23AD-4AE8-B78B-49DD7F1FAD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B597AA-92D9-4801-9F89-044FC85279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85C7BE-89CB-4791-8DD5-CE787DF6193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F1683F-1989-4B52-9583-E53C34BDD7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72AAFF-A4FC-4468-A08D-16530FD5CC5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49308C-B81D-4DE5-9CEF-94F87B8900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BFFE73-78FC-4E31-97BF-D258020BD1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7DACB8-9386-401C-96F7-257C7747232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E1EFCB-C718-4450-9D4C-140486A242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135A3A-700C-4231-9DAF-8F94EF4F96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E6FB7A-F1B3-46CF-A6CC-C2EB115FDE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A2E4C1-0A9A-4F31-88EE-9CCCE30D0F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EBFD83-75E6-4EB6-BE1F-C2BB6F1E0B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F316BF-80CD-4C38-B210-A1AFFFAAC8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257090-7F72-4E13-8324-2E1810E55FC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8E569F-F6BD-4818-91C9-02087B5274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AF05DD-D243-4FF8-8CA5-7FADAF4C20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7F8F68-C76E-4AAB-9695-FA6A87ABBED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F4C9CF-B372-4545-9ED3-72584F9757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743EF5-2859-48A4-84C2-B17FAFF62F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0C0D75-9147-4865-B855-843DAE1077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3111FF-DC5F-43D6-938E-9A2A0A08A2B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3A44F0-A84C-418F-AE4B-A43CCD88FC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43465D-46E6-4251-B3C3-85F45639BF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853B9A-FA73-48DC-A06D-C92D09B28A9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41AB0F-D554-4155-A76C-A0503B8F97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4CDA97-D658-42FC-845A-3E9F3003075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C1CF0C-0136-4AFF-A00E-349264FE54B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79A225-439C-4F93-903D-4E67099A90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A4D30-B5D3-48EA-8085-4EA8D9F6F4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B42616-31EB-4A09-AF2B-978D856FA2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492954-DF13-47E5-8AA2-5E5194647F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EE9444-7B6E-46B4-B5A4-2907427A96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B80F87-BBC3-4DCB-A6F5-7604B8C41A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4A6674-2438-47F4-976F-324AB03505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E0D022-0B3A-40D6-8EE1-529D3864CA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8B8EC2-1A12-429A-B47F-ED64435FE2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6DB16A-64F3-4067-BDD9-7FD10DBD7CA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CE6C7D-A6BF-4463-96A6-70C9ED4F59D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B3A3BC-3BD3-4344-960E-F1692AEB94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F32E33-5896-4244-82E3-9B67BB3577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011530-2028-4755-84D1-2BC5F11E2E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6818A6-0EF4-4984-B8F7-D379EB85B6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59C2E7-DF00-4BE1-9067-0EB02F63C8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6306CF-A4A7-4385-8F0F-4E1D2E7C58C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C2E352-FF79-4C8A-BFC2-3A140542B1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E2CB6C-0EF7-4C1E-A602-CD4467C9CB8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CF8C24-F9FD-4300-B47E-7CCB9E18696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28E8BE-0596-4AEB-9385-C479660799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E1D708-6127-4CEC-864A-EAA01BC8052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25D1D4-27B0-48DF-ADA8-D933E89CD1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447B2C-D0AE-47B6-8845-E5099F6C29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20C136-975D-4E74-ADF0-A4B7D834BCC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3E5069-4B96-4CD3-9347-9DEDB94D287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99D874-9487-41DA-A822-6DCAA1DAF6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E2D9A7-1DE6-4D07-ABEA-57ED267F627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9A1EA4-284B-40C7-BEC7-198BA919CC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33C451-78EF-4718-A4FF-88459711D2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651DDA-E1A8-4083-9AE2-48494D28A32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0C9FC7-E83C-40E1-B048-5487AEBA0C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2DBDE6-6E05-430A-96C8-5A347EDDC6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3979C4-DAFE-47FC-930A-9C99894C63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09CC2B-579F-4295-B854-E4D380DD04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106367-931F-41CC-BF69-A48FF0B512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315F8A-E107-4082-B936-EB11578E8B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8F5EBF-6413-4D4B-82E4-93FA9F1611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A33FE4-C7B1-4CE6-A414-186843634D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829052-9BF7-4C33-A130-86CE7276F3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511715-0924-40D9-89AE-5EE370FDC2E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DA51C-6AFE-4BB0-97C8-F249EB99E2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B079A4-E4EC-4D63-844E-F50BE4E145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DEF72D-D68A-4D36-A363-5ED95E2315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C96FB9-56E4-487A-AE6E-12AA8173F1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4A83C4-DED0-4A7B-96D4-E33352E528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8A445-B110-4189-A5BA-E71D9E1F20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B671DB-36D0-4E64-B6D5-1C3DEFF285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D69C09-A7C9-48B4-A6BE-495E981E38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A84DF3-9FDB-480E-978C-9FE432E5BCE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92C938-1D4B-41DC-9D4F-0317312E116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1A0A24-D5D9-4DD9-B2DC-61FB43DEFD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53B0A-C032-4C61-A10E-A96E990511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23775-31B6-4A26-995D-6362F8ECA7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EDD7E5-6863-45D3-9677-FB9B729FDA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57474A-AB70-4622-BE86-9D48BAF93E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80C92C-A01C-456B-9977-9F3FACA4EB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544663-3BFB-4C43-A7F6-7EFB66F0EF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61C1C9-2B28-4006-B024-21B09C669D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4ACA3F-C381-4897-93F7-FAE38DFC1D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E7FAEF-9FB8-4785-BA3C-7ADD717EB4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BC6BEF-90EA-4806-9748-9C86E4D3CF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738E21-B3FE-4B08-9731-B0802718C61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FB24E5-BC85-4048-B468-DD1353CC0D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007F12-44F5-4B7F-BDA8-891DE029FE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AC872B-85BE-4C98-AD90-999FBAA67D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CB83D0-21F0-45BB-80FB-8A4CD461C8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35C0AE-33DD-45BD-8A2B-30332913FB5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660F5A-C1CD-434F-98BE-B54F3008C0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25D364-0EB2-495F-91FF-49A802F39D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5D6FA3-78D8-4E6A-AF77-99C56057843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7A6EAC-0186-44D8-8115-4C1785B57D7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289C0D-1E1E-4737-BEE6-264640FBC0F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2F6340-2B95-46AB-A1EA-2F985F517C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A8F916-4AB3-4F04-B144-DA4C8491E4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DE505-6600-4690-BF59-14DA417FED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9B9E34-35DE-4C66-883D-3F5B6B9E10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2A396C-4664-46B1-898A-47D6BDAF581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7B27E8-5026-45CD-89DC-3CE77DDBC6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ECDDA2-4735-4351-A05F-6321FAED75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06B16F-752B-4792-B324-B2773FA03F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860094-D5C2-4C04-BCFD-9BFDEF648C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FE3847-1603-4125-BDC1-922E238EF9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ADF8F5-8A72-4BCA-AD43-8EF9DBDCBCA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CF016C-8DF1-4334-9CEF-7466702628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BE5BBF-0E16-4C4F-9D37-5E770D8BF65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C79B64-83F4-4257-B6ED-BD61BC3C94C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E3DA7B-44F0-47C6-BCC5-DEC911BEEB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E13721-81BB-48A6-93A0-9864580BA0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FA1C63-73FA-493D-9FFE-86C4BA5CDD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79D8EA-BDBC-4715-9B28-E6A53151D6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6B723B-011D-4F18-BD9B-C944865B37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681814-2B0F-4B7B-98AF-787D6DE74F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B7DE35-3F9E-49BA-B573-4C41CDA5F3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CA6B33-E24E-45B9-BD1A-A83D48AB38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15CB4C-9FDF-4F4B-A900-F819F748DC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0EFF4B-F914-4B2A-86DB-CC21FF1C550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7C581A-CB37-4F15-ADE2-AA47AFB178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9CBF9-2540-485E-B4C5-6BDDB86164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549F5A-A723-496E-8879-ECD803C228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1C86DB-6B96-4179-BC6B-3E960C216E5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9B7467-C48F-42C5-AD67-61FDA533A0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179146-6E37-4E83-B84C-B144DB508D3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5C4180-DCAD-45A9-A91F-63682AE139B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8224B0-D0B3-4D35-917F-D0B416FA45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8328BC-89B4-4F6F-8FD9-A8B85D0E4D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031FD3-38E4-4D1E-92A0-9B8C76D54B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E14BB6-7034-4C27-B0BC-7F684BE31D2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2FF1D5-DA52-4458-9C2A-742A164FEE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28276D-4938-4D02-82C0-AB6D3D4991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B29B78-37BB-42D0-9709-DF9181D798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E64661-6391-45BC-B4D5-42ADEDCB394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3E7B7C-4001-4026-87BF-F8375656ADA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C11862-C9C3-486A-B5DA-2A026E53E8F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5E6912-C21A-4825-BC6F-2F3CB876EB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2CA96D-A048-431F-8DF5-119F3D7811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C7DB0A-0300-46F3-BAF6-9F9EE0B6754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7F1802-10B6-4FD4-AE02-A932944B19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7DB99E-782A-4C87-8D0D-01737E17983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C9FC40-7566-4890-8366-E235DFA5ED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DAE404-395B-41FC-BCFE-2EE048C223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E559BD-F100-4DC2-93B1-28F49955A8C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941E1D-9710-4828-8B63-C967F4FC97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63DEB7-12DC-4C2A-B53A-04F53CC40FA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B8D2D9-4E26-466B-96E7-E3C8CD87FE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DB3476-B63F-411A-B58F-FE6747276F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BBF837-AB04-473E-A083-D8AC75DD4E8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EB1338-E42B-4B5A-BBDA-1C609754AD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D24B30-A2B0-4DB1-B14A-366098034FB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8E4EAC-4600-4C27-8420-BB48E628F7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EE2926-620F-479C-8E18-F2EC0F4AD9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215A2C-D953-41F3-A5D6-102A487D58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037C71-53DB-4291-B19E-1E38E1BE0B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1879D5-6772-4237-B6FD-4910BAFB6D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2FFDF3-660F-44B4-AD02-1061ED915F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0BBAE7-22B5-4A83-ADD0-2EA7921DE33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8B238E-C1C4-4F3C-AA4D-EE8B918414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6D4C32-2844-439C-BC44-5DC68E1B05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00259D-19FC-4810-B347-43AD550C8B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D40A96-B202-4616-9604-F500E307EE8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CB4FF2-9166-4384-A5A7-FCC89487E52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0A2454-254A-4C66-8E7B-95343B0F74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FCF83A-1714-4F90-B7B6-70F041F5389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D451D2-7916-4242-AC5C-7B16319EF2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80008C-D9B9-46E9-AFA0-A1A476B00D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3E8BBF-4FE0-40FF-A052-6D5DF8F0AE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A9B9EC-8592-401B-BFF0-5B809D260B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1A2C6B-A4DD-4D75-85D6-8160B6706F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913C3E-2A23-4CC8-85EE-3B3DAAEDE9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148F57-5A59-467E-9827-EC9D3EBBE24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EF288F-FAA5-4E02-B9A0-7B31A276E21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09DD79-8FF9-4462-97B5-47BFB3998B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E8845-1DBF-4AF9-B359-4AF54AF2F0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DF41BA-5611-4CDA-B871-0F89C75F8C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F05A23-48C1-4B60-85F4-CBF2C9FE09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A5E7D0-8ED8-499A-A0E2-47A7EA21F79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5856D1-EFF2-45C3-885B-6923A7F063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100E23-A0AF-4826-9E83-8961D74E516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410609-902B-41B7-A951-D4BB4777C7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5F1100-B74A-4F3E-AFC9-E02365DEEE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67DF81-3D09-4FE2-B358-BF67AB4361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827092-05E1-4039-A1B4-9CFC84755D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112AE0-72BC-462A-8F75-4DF2EAEA3F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5784B8-53C3-4795-875A-DCEF77695A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2A48E2-7870-455E-B527-04F8EA9EEA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3F55BE-52D8-44A2-9CC6-93B2EFF4DCE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BDBBE2-2F44-4196-BB0C-FAE97A8A4BB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345915-AA2B-4C90-9D36-18402767E6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DBCA95-9FCC-4487-8AF6-D33BF08DEF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429CC7-E680-4013-A966-D09018587C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10F037-6293-4D61-883B-3C22F6B1FE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1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78350F-91B9-4901-9DEA-167C121B4D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C79A8D-9E3E-49CB-A559-57B4E884469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8595E5-6686-473C-A450-4996EBC724D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CF8A84-C20E-4A38-BDD8-FFAAA9E006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BE82CD-9C05-4392-87F1-15048C3D97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233378-E3FF-45B3-A835-6914650A535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BF6A2C-AA05-4D1C-B22C-712F60F8A7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2827CE-6F62-45C0-96CC-AFEF78F461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093779-F5C3-4B17-BCA7-77F6556FB62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AB3A20-5531-446B-BF11-43AE775A7E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EBEA38-1F5A-4F6A-9C78-3E59BD086F3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C1DFF4-2920-42D2-8EB8-B1AE0C643A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29C39A-AC0D-473D-B9CC-501131B9CE5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1AD542-93FE-4783-8371-E4FDAD8BC7B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84DE0A-1F7A-487D-A780-E0FE25D740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2C212F-95D2-4F58-A97A-E3EAD081EA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627E4C-1267-4DB0-8041-4FFDE746A4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9871AE-CD02-48FE-AD5B-8D6F11ECA9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CC59A-ABFE-4A49-BD62-8A96E056E2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38F0CC-BC39-49BF-98EB-42CB19C608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35FFAD-C318-41DF-AA98-963460F782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380AD9-9CA7-4D75-B3BB-D31823F06CC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D6FBBA-F7EE-4447-8F36-943A50426A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33C6AE-3257-4D2B-93C6-387C4D5132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C85D9A-BED3-471C-8AED-074614FF12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85C3D-1173-4A53-AE9E-BB641110F98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E7834A-0B39-4A5D-AE5E-53B5C2FD49D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C8A2B8-E86F-436E-92A0-81726A67EC8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180BDB-3120-429C-A2BC-622437876F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8ED791-7B05-498E-907C-A1EB1555007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C7DD0E-2DFA-49C7-8FB8-10AD0BC809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4A1CCC-B9F1-4F58-95A7-B48D5A21FF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DB3ADC-382A-41A7-A979-5D1C4F95F1D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835CEF-B358-4B58-82CA-B00448E379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DC0F91-098B-425E-8534-1F8CA5D36CA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37B33A-38F9-4AA1-93EC-FFDB792A7F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7E928B-DA42-41C5-AAAC-80A611F6DD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0C56A9-7866-47E6-8ABA-0962E99BA6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675ACB-9F18-4F23-94C4-08C2E50B93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C63017-FB88-49D8-9E54-B6DAE5147E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6BA195-6E4D-4806-96AD-EA58352A65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3DE76-A8D8-4C7D-82AF-9B930429A0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BF90AB-8808-4BD9-8778-DCB65B80800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9D8B08-8C40-4B95-A661-49A70BDFC6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FBDAF-5F62-4C20-A568-401D1407D01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927270-892F-4CC8-921D-45234520158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DBA447-9F67-46E6-A4FB-095E267C5A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25381D-B05C-4E19-8D8F-F0944C1415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A02B00-6FD3-404D-A7AB-92838974BB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CEE001-037F-4A69-92C7-A0AC9A0FA5C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C3117F-49E8-4CEF-8F52-C0FBEADB2EE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D6D31E-59BE-4579-8528-C3568A5328F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68F43F-CAFC-4E39-8C50-B484389DEA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A8CF92-A9B6-4CB1-8EB1-62F4CD94F1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766F99-906A-4550-9B9A-B774BD2C603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660EBB-030A-4685-A8F7-2F5F9D0285C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36E9DD-D6E7-407D-8D80-EE088FAFB68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854BD3-95AB-4CFB-B8A1-9AB15404E46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8B2768-A3EC-4818-9A1F-0BCDA6F383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8AFFEA-3A26-4ECB-8A02-7A88980350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4F0862-DC8E-4EA4-9847-BA51BABD6B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79B67F-AA3E-4B3A-BDED-0EEAAD12816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C6DDA9-3050-451A-A609-AE022B595F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F8A3DF-1460-4AEE-99FD-3B818C706EA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6C6BD3-7ADA-4FCD-85A9-D4FCB38C38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B33A0E-A65F-4461-B55E-312C38894C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F5C120-4697-494E-A8C3-3CEA9AFA58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829975-A755-4E1D-8F93-0641A329CB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83F1B9-5EF8-4B49-BCEF-14FE43315BB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90F433-A0FE-468D-A275-89D4147945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40110E-5C36-4970-B0DC-8C0EBFCB0D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5C3DE-E4CF-44D3-9D14-797E27D777E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7C8A6F-8D45-4CEA-9D47-B283BE8DFA5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828E22-D551-4B99-9C52-D9AEAE26701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607705-AFE3-4161-B15E-C0DB37A356F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B6583E-F862-463F-93D7-4F5469BC3FE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75057-7329-41B1-8575-64169A0C805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1A2563-9005-4AAB-8985-1B3FDC4DAC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514DA6-BEAB-4DD0-BB22-7ED53AA107F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E3121A-0309-4F97-B266-F75650AA254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F3B69C-8F0C-44CB-9B91-130AE752D4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6CC39E-D6C0-4E84-922C-3EB8706B00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DF7555-65EA-443D-A85E-24D26DEB822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414757-D1B6-4AE3-AC63-06313C55D2F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1E37A8-42F9-429A-B071-7BC75BF3A84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C85F07-165A-416F-84FD-35626EEF5F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7A8670-6398-41BC-9FCE-BB5A28195E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9ECA5C-D7B1-44EF-A6F3-32A9D6F7069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2F9712-DB94-4C27-A80E-D35042C9401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45967A-B24E-4053-9154-F8C64A9401A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9A6E26-C674-4589-98D0-5878C7CFCFA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2B2612-5B35-490C-993E-FCEA38E99B2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4CC7B0-9F07-4791-8214-6B684BB173E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FA9971-DE7B-4E1B-8F7C-F978778F178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BDAE59-7118-46B8-8BD6-E2C8338E0D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9899F4-A018-4252-B7CC-E9BBC60A477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9E5BD0-E7C3-492F-9270-244C3D0A9C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0B7557-0613-438E-AEA4-5C719F6F34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56A834-F045-4233-8D68-E9C926915F2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7F8604-FE67-49E9-B2DE-0783C031A7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C44AF9-0CAA-412F-B861-32B43E174D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03D19C-A138-4E25-B8E4-24DF838F83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51D769-DA00-400A-9CE2-FF004D61C8D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18C4BC-BB9B-4BCD-B4BC-073731CA4CE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D3A8EC-D903-4002-A7A0-962DAA27C9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0ECA5C-BCE5-4ED3-999D-43A610FFFC1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C51A03-C4C2-4113-9F64-A3F9636A89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A07760-345C-4FB6-A5B7-C9AC822FF6D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1D9889-8AF6-486E-8588-D9FCBB302F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129096-83E5-4074-A3BA-1CF4937BC88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3E854E-196C-4FA2-A011-23DE1A93FA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8B52BC-6B1E-412E-8EBC-95645AD241D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2E4600-6D08-479A-B4E6-334CDB3E54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9FAE41-DC7C-4D18-A7C9-98335AB0A01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C9D43C-E6B1-4F70-91BA-3B44D7D91C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5CA709-F7B3-4509-9EEB-CC2A364337F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91C024-AC8C-40B2-B235-1D98074D11E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1C9F2D-CEBD-460E-898E-1BF42B425E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EDA732-9B16-4AC4-9720-133B887F5BD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1E9E1C-3EEF-4EBB-ABA2-9695F949DA3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C2C10E-0F3E-4510-98AE-C590D80E139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67C9B6-F856-4D3C-A1E9-3B44F7603A3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D073CC-B455-48CF-9A89-3A672FA1F70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46700A-8E50-42FD-BD80-FA460A16254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395CC9-E358-4102-A958-685F4FFC59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D5E960-FADF-4A10-A33A-02B47A47B07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2E4BA8-98B8-40A5-9A05-649F6E6598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066928-7426-4939-A94A-B5A19AC70C1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9E53A4-2283-45D5-B853-FBB485EC1E9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2B869D-84D5-4C33-B8E4-0947C161FEE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20A513-91DA-4421-8D31-BAE7A6A16F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4F3374-FE92-4959-8FD0-359258C170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2F8F72-FFD2-4EAE-A5B1-C975ADD8CB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D19C44-9613-4331-80D3-0F727336875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F2E3CF-D6B4-4DE1-A6DF-F1830FC0DAC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1E56D8-07A9-46FE-AE6E-9372AC5DF8C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498ED6-1FB9-4FB4-9339-EE72B654AB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0B9F73-02F7-436B-96CA-4DEA6FB16A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AF806E-EBF7-4178-9B94-AF1088ACC16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63B016-456C-451A-BF29-E7D61FAE7D3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2EDF34-A367-4F96-BA68-0982D2AFC9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3A7128-7C0F-4DBD-8440-F953B1585B0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93A080-78FB-448A-9BC6-A06DE9CA170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46B1E9-D50F-4C06-97F9-79C59A1AF14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12EE80-27FA-4B78-B707-8AC92FF01D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7B82ED-B22C-48E7-8858-C6B5132EBBB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A11D93-ACE1-4EE9-8084-E59AA13F510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F6A1F2-B101-4470-BD24-124A604CA38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E6159D-7B86-4527-8BE3-F2023C9BA0C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B2DF52-552C-4585-8CF6-EB380DBFF3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ECE27E-D2A0-4B4F-928C-C4B9927D82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DE3165-FBB1-4ECE-B959-32DDA9502F7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57FFCF-0860-4190-94FB-C98FC3C4AA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3AFA78-8F8B-40FA-8566-33F1F9A4CEE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B668DB-0122-407A-A0F3-E121C2B6DAD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5CD873-1BFB-464A-91E3-EACB1803563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18108A-5A32-47FD-9C4C-A5F97AE2711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19BCA6-F10B-4E4F-A0E4-7DB8C289717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D072DB-F2B2-4B7B-9A1E-B3DC57B95DA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3994CD-80FC-4583-BB25-B4A0FB4CB3C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3F1446-9CB6-4946-9273-DC8632ECB6A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9DA244-CF7C-42FB-B0C4-3CAFF6D312B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5BE306-4B1A-4C1B-B473-772517867E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AF8D82-626A-466B-8BC4-D681D1FEFA0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CA9275-6C76-4514-98B8-B9BDE2E48A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F06862-0B58-40C8-A93A-F8F37AAF72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142B69-E280-452D-80AE-DD52D73D1CA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83A79-C33B-4F9B-972E-EDAB48B055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7D79DE-52D8-45D4-ADF0-B0E5637569C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67E364-100A-4646-85D9-86C5AAACF8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D6D53F-C67C-4145-A295-9AE92090195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8B448F-928E-40DD-8318-65D899EEA5D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315FED-2526-486E-84CB-E9596ED42A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6B99C2-6A4D-4D59-85B6-BC956E507B1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E88CB9-45D4-454C-8BA1-F99C237663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171475-D405-4E4B-BD69-29FFAB8C6EA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0FBA34-9ABF-4DD3-B57B-B2FCD924AB4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E5AAB3-99A0-452E-865B-5AB5A6A0D9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A5FFEA-34C7-4C7F-87F7-5822713F165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2538FF-D081-4A29-A448-B69AFF24EDE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D12A09-2EE0-4D4E-81F3-B837813440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637A09-94EE-4375-8861-162BF70A66F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CB1C40-C8D9-49F4-8C51-8357CD57066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D26E80-656E-4021-9628-ED57F438C5A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DA2D49-9651-4329-AD86-96E80CF0703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9D2C1C-BBEB-4380-B4D8-575CA25090C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9E86BB-1AE1-46DA-BB1A-406AFC8CF67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6ED4E4-3959-4381-B675-16A8B7E234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70F838-02A5-429E-A5B3-499811E207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689835-2A11-46F8-98FC-050261484C5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EBA805-EB17-417D-BB4B-DD7E5999F92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98AE98-CC21-45FD-BF3D-4CD99B18821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157728-DF95-42B2-A624-FC7D2683854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0CC341-5F84-4727-AA1D-AF46BC3DFF9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03D718-F6F2-4F70-B94A-893922BED2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594E53-DAA7-4A80-90F6-E9C7D83D9CF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5B8EC0-6695-4FD6-9232-318B131629E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00032-F0E3-430F-B82B-0D8B39AE79E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C4478D-CD78-49E6-BEF9-782A2AC8D85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4E7C5F-205B-4EBF-A940-BF37598D22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BBC702-4E06-48BA-AB8B-DC9852AB6DA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104</xdr:row>
      <xdr:rowOff>0</xdr:rowOff>
    </xdr:from>
    <xdr:ext cx="304800" cy="304800"/>
    <xdr:sp macro="" textlink="">
      <xdr:nvSpPr>
        <xdr:cNvPr id="2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B90C6E-880E-49BC-9C11-BBFC735AEE3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6991A8-E1DA-4E8C-9A9C-339587AC2EF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1154EC-482B-4954-878D-E4BDFF428B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6BFAB8-5BA6-4CCC-9EEE-AD8EAAAF19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950C91-6339-4639-A825-F37123DE7B8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C4D2D8-A2C4-44CD-86CB-A6A1A2F935F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E4BCE8-0335-42B6-B77E-4E8BA07D0F5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682059-E07F-43E6-82E2-DFC535DF119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A8A346-00A6-4D5B-8887-BC409ECADD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8424ED-2F66-47A4-9132-208677A53B3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033523-1B61-4F4C-9EF3-5255EB9F10C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DCD095-FCB0-430F-843E-B6E2B38BAF3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C7AECE-37B8-4C3F-9D4B-05E45E1D5A3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B2BAAC-14AC-4644-A2BD-594160CF672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C042BB-5F1F-4195-BF67-F6B1EDC9BF2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E19AB-345E-4F60-A1C0-E734BE9127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8763CE-DBB7-485C-B9AE-89B2BBBD77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CA3E18-78CF-4E52-A650-93E3E63CC72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FD7CE3-A8BE-4DB7-A97C-3568D0FD79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AAC28C-324F-4B4D-9D4D-45467FE82D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5083A9-21C2-4680-AB0E-EEFBB2DB15F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CF4420-9C1B-4D11-A8B4-D0FB2FC08AC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AE0935-7463-46BC-BCA4-81204C82AC5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A4CCC-8EFA-426D-B6A6-9F5B14B8D3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D00946-0A04-4229-98E7-150B3D25742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CE0514-DC40-4D41-A92C-147223EF912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DF16E0-F178-409A-8207-5C1852FACC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708AE3-5DC4-4678-8169-5DB3B020B1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AD29C3-6404-4C7E-A4B2-3D0E47FDB88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7AD204-CD04-4988-8E9B-89368554C64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ED2AF1-194E-4900-BCFB-F92B4C9D374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7DBB39-F0F5-487D-9B14-B674BFC290C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705EA8-120C-45FB-99F1-31E7E209B3E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D2526A-821B-4315-9481-82301F1D2CC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54ABB1-3879-477A-921B-F8561CEBC20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B3E9B8-F14C-4D9F-A128-97F469A4DB9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7785CA-AB41-4390-82A6-E67B25C88F5D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DB235D-0294-44F0-A085-B3674C5A01B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749C5F-4222-49EB-BB59-B9A05DA77E2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703CD4-020E-4668-9A67-C5D2D21F8E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025479-ACCD-4307-9E4C-762BA768100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DFCB9D-094B-4277-8A95-825B2AECAD0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32BB7A-EE63-4AFE-AD2B-D04B61BAF2C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1633F4-577E-4774-85CD-577DC8AE0A1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F12E3-BF1D-4E61-80C3-6267B15CB60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10A54C-7F93-445F-8A9B-3F97F5BE79D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28BCB6-5415-427C-B4CA-DAB0200434B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E80B30-DC62-474A-A1AD-0D0DBDD20E61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C6311F-952C-475C-A40F-D5EC6600A24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1BCC19-1E07-4BBD-992C-AA37EB13C14C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E36FC2-0553-4FCE-A645-E80CA2C1747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F712F8-91FE-4C3D-9207-B6DD2927C39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5F06CA-4559-4326-9A98-2489AD0C88D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A6A3E4-2E25-4E8E-9B4E-8265BF7E055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6971B8-E72B-496E-BBE7-56BF515BF51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92E051-3597-44F2-A311-A99947BF27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447A0A-7DDB-4DBE-95DB-E28E1549079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21BFB2-2C1D-4046-BFFB-DE6C3747B76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56A31E-3612-4743-9402-52A7E914C2C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2ECA11-2073-42E7-9C4D-54A2F1F6B17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28E79B-40B2-43CB-8C38-7B88D35DAD8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B32F9C-F122-44ED-B76B-56C8EC2DE16A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459304-4654-413F-B0E0-20A95402BC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126FD5-7FEA-4E3C-9EC0-5B4D790BF48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A97FEE-93B4-4389-A388-9E9846F1F476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9EE56A-17B0-4D45-B889-43C26BEBC804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486B9-74C9-4085-AAAC-48E0977ED83E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C44280-C0B6-4AAC-9876-DEC37096756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BDA0C7-61FF-4CDD-AF77-F4C2F510637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3523BB-564D-41B9-A612-F2085DCA009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F9FD87-A53F-4357-AFF4-0006E810E6F3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163DF3-F4A6-4AA2-AEB6-ED8AB83BB69F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41D0AC-FBCA-46CC-A404-E24AF8EF132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D21F4B-D320-469E-BF6D-E3FA170737B7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4CC8AF-1751-4947-8AA4-12E68346E85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E4DFF8-5A50-4D10-8F1E-4C63A3D1537B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8A31BD-B551-4D2C-BB30-227348BFFFC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9F38D3-5649-4B77-8F92-1CC40DF706C2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E7860A-2526-4EE0-B7E5-8BFDA802B735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51A764-2309-47FA-AD17-77F44ADBA9B8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43</xdr:col>
      <xdr:colOff>0</xdr:colOff>
      <xdr:row>10</xdr:row>
      <xdr:rowOff>0</xdr:rowOff>
    </xdr:from>
    <xdr:ext cx="304800" cy="304800"/>
    <xdr:sp macro="" textlink="">
      <xdr:nvSpPr>
        <xdr:cNvPr id="2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A74E9C-9E22-48F5-8592-34F74496B9D9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F81CB7-86B0-41E2-8CE0-2B1E716FC89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B1054E-8220-4D88-B054-36CFC06BE95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446FB4-B9D0-4C3E-AC44-24F6884A7C7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D0BB55-45C8-484D-9051-1E8F9A01CC6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ED466F-DDBD-4026-885F-E606D820CA1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718F95-2839-4445-A45C-C55AFDA79DC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60E2D1-8BD1-4AF6-AEB2-83288671111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862F14-4FD3-4AAD-8F10-C59E256B154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69505C-613C-4002-BA3F-7E5504A1446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B4350C-946F-4C75-A829-515BB1AFCB0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EEC1D5-4647-468D-971D-C41D0A06F12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80F743-EB6F-4C84-88D5-694411FE97B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0A7323-5A44-4ABC-B8DC-E9B03D95F28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6C0CAF-0989-4A75-9691-71D18D99B6B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30AFE0-D350-444A-A51B-F18F0863437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1C5705-53C3-44F6-A477-C443F1F7BAB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401260-0D52-421B-A42F-D91BBC5246E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B7D580-B76A-4644-9D00-29CBC708602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BD3B3E-BB57-451C-8DF1-76D8FC6E523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BA2AB-19F7-4832-BD1D-6FE5B120D13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20FC18-055A-48FB-8FE2-26852177729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ADFD3-CF8E-4C64-BEEC-57B6891AEA6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9AFC24-99AF-49B5-9F1A-0D133EF11D9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30D6DB-0382-4EB3-A762-EDDC1F50D8F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0A49D8-4E04-4491-874F-B4630CB47CC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13F0D2-77A9-4F19-A423-42F030C7F08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DA2B47-F280-40F6-A608-F336C4F0B92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C89080-236E-4E5E-AF18-B328874AD44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F3AE47-7CF1-4E9C-8459-D3C6B25C2A1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D49541-D6FF-4579-8BD8-A4B2BE557C0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260E2-151B-4E4B-B65C-977551E4956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D10C9C-BCDB-4714-9A29-B6DA96220D5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CB84A5-87EA-4FD7-8E51-94E6493F386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1123B3-81E0-47B8-B22B-9A245AE0ECA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729E67-0C31-4100-9101-A1284C8B84D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D4716F-92EC-4B6C-B784-4F4BBA1F00D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7E814F-016A-49AA-BCAB-140FF82F2E6B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8779BF-41C4-4B04-A9AC-99FB9908D3A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35B711-622A-4409-98EB-F0932A8FAE7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66C1C6-AB1F-43F9-AF41-1E68F6C353E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A3D71E-1AFE-47FA-8796-081D66AE982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0F6C98-408E-4B92-9B2C-53149E7C9EF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252FC5-DB23-4A0A-80A5-3E5566B287B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81515C-36E6-49BA-B25C-0815D36CD66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57F531-2922-488D-B976-3EBC5F92E68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A3FEA8-3C5A-4CBA-86E5-17C7DA40FAC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86B6DB-F060-437C-9030-37B848980A9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D874D8-317D-41CA-8374-B2AE2C0A306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890746-9CA4-4B2F-82CF-6719782B017B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6D1A39-9552-4B68-A6AC-0DF34712F61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9C20D4-D18A-4D11-BC65-C3BA9BDE891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1574B3-0289-486A-A3E7-D387E050C98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E2C976-694A-4C27-B166-699205BF83D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3B1C60-1661-4B1B-B109-CC5B526536B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844235-15F3-4A0F-82BE-2E7630B594B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C19F9B-91C3-4EC8-8988-3E1E55333F4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7856C9-455B-4A79-8BE4-3ADF0FBA5DF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359D31-1375-44E5-8233-5CA7536E8B4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587A36-4B50-4DE3-8125-154BF17DB56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7F0BCD-238E-431B-992C-C31F02CAF9B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DF60D5-73FC-453D-BDF8-02B0DB734E3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B26C4D-2CF8-4D8C-9A58-3BEFF5BFF4A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93E680-C7F2-4022-9CF7-ABC94DD7BF0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65EC06-0583-4A79-86CB-58E3B12C678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C97AB-74FE-4B7F-9DE1-D9B7D6D90A7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C87380-22B4-418D-979F-8426FE85499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2A7E7D-3969-4418-9072-79D617F0675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F32D8E-E82E-43E7-8584-62CB414CA37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6EB03C-03E0-402A-B131-7263A64DABB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75730D-249F-440D-9F8F-B1425319E73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80EB9C-52CE-4F8B-86B6-4B3AAF15D0C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ACDB85-8BBF-4423-B105-3E4F4B55D7E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1E76E8-A3C0-4244-9E03-1CFF7C0F53B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8F947B-CB93-4531-981B-08D00FF5873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253D0F-563B-4AF3-9E33-D6CF6ED9D621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39BBD7-285A-4870-8644-75D5E48ED5D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AD5BDC-92FB-4E41-883A-2E307165010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DD69EF-4BC0-402D-9AE8-C034A214774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BCA2FF-7D39-42F2-8C32-8C8CF639C4E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816940-AE99-41A4-BDFD-9ADB97E2C9C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D28828-4113-4AEE-A166-CF311D5F880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EFDBBF-E924-4DF7-8E78-49D20BFBEE1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AD280A-3ABA-4FD4-8243-BDEBA3F29F24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0F110D-D8ED-4AF0-8E60-C3F0944798B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21A838-5C38-466D-8AE9-F7A8C28C939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1BD869-F61D-4928-9EF1-5C0CE478773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36A1DB-B974-43CB-9811-84DBF0A0B4C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C866D0-1F26-4050-B2CA-0B4191E0205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E8F2AD-2D6F-4E9A-970E-02164F72565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C28FA5-4B3E-4732-A04C-A7709EF643C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60DA9E-83B7-4388-B695-1E72605A9E3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81764E-286B-4348-82F7-29DD9288628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AD6FCE-0FF2-4979-8B58-105BE188946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689F66-1DD7-4EED-831A-EEA8E4E8905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0F9F12-AD89-42BB-8238-D44CC0B4758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A0236-49A5-4EB4-B220-CCB522C9CCB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D01B89-680D-4703-9DBE-1FF223CAE0F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351F49-3A34-4D0F-9034-D65BFE351C7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711FA3-0FE0-4D6B-806A-123E1E93746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C3BA0F-261B-481B-90AA-F2D30C067B2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8642F4-6B1E-4A7D-9642-BC8D5C464A4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807133-6897-45A5-9599-16F3A9C5D05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FDF55B-F5EE-4C52-984F-D020430E211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83831C-DF0E-4CE7-B602-3922D5C30D2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1D25EE-DD55-473B-B5DF-4A102894AF6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354770-532A-4923-A0F8-5DE1AC197C9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E15CA7-C3EB-412A-87B2-D00DED4DF02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E46D14-C22F-4B18-A89B-9CE0985FF9F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C66979-D03A-4C7D-B603-A6379262321B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26F15E-E584-4493-AEAA-40D28BF5C8E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C0C661-F334-4E57-881A-E7A54E6BA49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7F0870-65E4-4C05-8F6F-2AA833134DE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0BA2F7-FB9B-4B45-A19C-1921DE98E0D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FCECB-B436-4F61-9278-F1BE493594E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44E894-DEB4-45CB-BCE0-D9263FEB1B6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E4CFF5-A295-49DC-B49E-DF15946C9FE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B523A0-002D-4CBA-A0B5-1902E3ABB1C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81C9F6-39B6-4E5F-99C9-F84B634630D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335C37-B8BE-464C-B950-CC224D06DEEA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935D55-1388-438C-B092-CAF5099041A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61C4B2-F289-4AA5-8D3B-D94D97DC0BF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16D91B-82E8-4463-AB75-9C6071104D6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1CCF48-8072-4CBE-BD29-AD90FEEB527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194334-A70A-4012-BEA3-5DDE709F398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BEAA0-C76B-4FD0-9F1A-949FAB85FC4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78EC28-5D99-4CA3-991D-C9B193F5ECF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68CC73-0E63-4F15-B8BA-9762D5F024B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06DFC-B7CE-48B1-AF8F-43313947F38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727733-D868-465E-89A1-53D08E045F2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5D7D49-A615-43F5-B627-6952B7C96BB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A46D8-3CDA-4DF8-A7F4-F3FBF519F9F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914989-AFC8-49A9-90EF-7D0B309D778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96DBE1-AA02-488F-B5A3-433AA7411CD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C5B889-C71B-4D38-B228-ED9D862971B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9F16C0-A759-407D-A83A-4AA94549C1F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C7A28-6FD3-44ED-AEBB-47839A732EB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5791F8-9104-4B02-AE33-8C25342B5AD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A4C26A-6EDA-44EE-999E-A20489127BF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0055DE-87F5-4E47-B6B2-BD9FB9F7A30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D8C3D8-36F3-4CC2-9916-BB6E889E85C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942DFB-A9E7-4432-B2DE-958EA286137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23EAB0-994D-4400-9236-DA48B405892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C9E231-F780-460F-992D-D4BAB829053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495C85-6D39-4CC7-9127-080A1D86F58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C2D893-7EA3-459F-852E-EF23C70C124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62B3B6-76B9-4DF3-AB83-439A82B3B3A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3B9098-A050-4DED-B107-FF178AE2703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5444AE-F1DD-4BD6-A798-1E77E35E800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018AA6-B473-4EB8-AE66-E6E8EEDEC5F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2FE0EF-0AEF-4917-9A51-BE942FEB39E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4BE026-6C50-47AD-B097-3E8E69AA5F7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37BE3C-6789-4222-A6E0-C4E415F0C36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7D9E91-43E6-4CE6-BBAD-AC9852582E8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601B30-C913-4865-AA40-858B789183D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77F421-BC1D-4095-9FE1-1FFE22BFC2E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40820F-2796-4810-8845-CAA58A2828F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8AEE2B-D560-40FD-B917-F441EEA2D6E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DB583-CBC5-49AD-A481-85E0EDD77314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A06759-68E9-4B44-9660-A62B6E19F44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FCD578-BF54-44B3-903A-3BF45F2A849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B424CF-5BA5-4926-9674-24564F8FB68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40E07A-3F52-48CE-A2F0-FBD40FC77BC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B7844A-03E5-4D3B-BBF5-4BBF0452F24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DE0CF7-7723-4037-B4F2-7B42CFCECF3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1AB497-F68C-46FB-BE18-D9D708A1492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94F8BE-C4A9-4BD8-95F9-54B60B33150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C50CFC-A8B6-43EE-B194-A9E3D4BEB4D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141F56-F0A7-45E9-AF53-7E7AC97E057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801D68-CD08-43FD-9372-8EE08826683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16AF2D-3709-419E-9783-4F094DC4A0B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AEC74-2AF5-48FD-BC82-1F1BB8E3D87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E4C48B-1EBB-44A3-AF12-A48D3AE18A7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D0FABA-2BD1-4A6A-A21E-8ADE576A2C8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CE97DD-FCB4-4DB3-B67D-E8DB56B3A39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0935C7-9BCC-45F2-B6D6-302F29CDF1C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872879-459E-4A41-8497-05994445F89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DB3B81-04BC-4001-B76E-2DBFA643AC5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635C81-7489-414F-9DB4-286FF23EC41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96C019-6A9F-4033-99C1-E775F92F6D5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7411E9-1E88-4B90-9003-880FBC7C6F3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E4C5AE-DFD3-4FCA-888F-0D67C83C9E8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A53554-ADFE-4A4A-B06D-DE1763EFF16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5AEF49-41EB-4011-8004-CBFCFB273D9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96F2A6-0AD8-48FB-AEC9-45590CD3ABD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0D1BA4-4871-4B94-8264-12FF8F8A9EE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F65B8C-BD94-42F7-AA46-9C0562E2523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9835C7-BE60-4274-AB41-4D7899F28DC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FB9568-6DD1-483F-BA8E-37E5FC9C589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3D6295-172B-48EB-9CA5-A9015217097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49CD67-9C5C-40F2-96CA-4FF2C140959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0DBB09-135B-41D9-AD59-B7596608C41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FEF706-BF43-4F32-A9EB-DFE779D4D47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500647-7F26-4365-BE23-DB08F4508E7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7CBB95-D2E6-4C8A-9D22-1F57E6721FC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B7D729-083C-41FA-96EE-F43D883BA11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1B4953-92E3-4041-8DAC-4849E8C5B4E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64A3E4-E6A9-4514-92B9-9F01FBB51DD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678E35-CB99-4A42-AD02-A59447EEBF9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B3B6E2-CB66-450D-BFD5-E3CD29D1E87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670E30-B7DB-4DEA-AF17-E953350D73C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93E4F2-1FE3-4A04-8D99-0EB3384C236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C7DF66-D76C-45C7-A079-416685F6DC0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FC3439-2161-4D1F-9953-EDABAFCF0AB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B8B9BE-9BC2-4CD2-BC5C-040C850B869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D51065-1B97-4152-9E81-BADDEE576DF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F63396-728A-494E-99E3-2BDF0E76B6D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886B81-587A-4880-A4AC-9E7449B2A27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E1BD52-476E-4BA8-AB71-ABEED75F5404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6B3A6B-BF20-41ED-B7B5-2389EB7C1D9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6AECF-9C1D-4DFE-8920-6037F4BE4D1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10A8B-8336-4143-A1E0-D6C1981C7FE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E05EDE-5FC1-4443-A8F2-8FEFCEA986D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C12D02-3C7D-4913-B7EF-27DFA50FE12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04DAB2-8DA0-4CF0-8157-C30FD964669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932E60-BF97-4CCF-8250-138E341B0AB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4C758B-C370-4E2B-86A9-65DFEBF373F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1F9AA1-A3C9-42C3-9B35-0668E500530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90864F-1133-43A4-9C72-37F0972D59E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4FED28-F69F-451F-83A8-5AFFC964BB7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CBDC75-022F-451C-941E-D9159066E421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A63830-4A92-4D75-B80D-06D3DFBFB68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ADF1F9-4FA0-4793-A3B9-3886454F450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011067-A39E-48F5-83BB-0764A0EC33D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1F6B15-1F3D-47EA-A4E6-C13F984371E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E261BD-788D-4788-88C5-7419E9604AF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3B48FB-16EE-4265-99D9-116E4A846F2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15B261-4558-486F-BB99-B42C53BC8D3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0A91D0-62BF-424B-AC90-FB83924A5FB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80DC3F-78EC-4664-8763-BD96C2EAD7F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2ED6EE-F4D1-41DB-80A3-66F6E07A728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AD9882-72B5-4AE9-AB83-B776C66023A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20EB12-A3B0-4578-8A6B-269E29C83CE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677F1E-ED78-4B1A-A8F1-4E02745E1F3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0AA633-D9D0-465D-A9CE-FAE771188C5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2141DB-6FD6-441F-AA17-86B904A679D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D8841C-DAB0-4AD2-967E-FE246B832BE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E90994-D508-4525-8183-0F1F3F6A3735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47F00C-D808-44AC-88F2-D389F82C6AA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334C4B-22DB-4C2B-928D-02D1752D41E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CB590A-9F39-40A6-BAA1-4931735DAA9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18FE17-B034-4FB2-B0F9-AEEEF3ED9E1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4BF277-FE85-4EE5-AAEF-5D409E7E28A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F701C9-4B79-4F55-96C8-A77D79B348E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ED460D-70E1-4539-AA78-9F22D058CCE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9B4340-6FDF-405A-BE88-B47D3BD5F8B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CDA0EA-86F2-4F55-8E4F-F86A243DABC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65AFD2-B025-4B95-A27F-A6E1B34CB97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341317-CEBB-44DA-B8C9-C661A34C183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F47232-7915-4EE9-AE26-90FC1B73352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A3B6FA-6AB5-401E-9C83-042093EE498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EBEDF9-63E8-4184-8712-4DF3D1F22F8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CF6266-0F6A-4260-9C91-E6B24F6E0CC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0FECE9-07C6-451F-9B44-17430574976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8066A9-78A5-41DF-AB5E-280AFF18216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73B571-B444-4AE8-B311-C53965503F4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D99D79-9294-466D-BABC-665FEACE3D2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724D5E-7588-4763-8DE9-766C34AF95D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5E377C-D8B0-45DC-A74B-0FF93AF0282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255078-1BD1-4989-938C-98A7C444E40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D0233A-A618-4349-AB83-F967C64A9E5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EB42AD-95D5-429B-BB49-A93B2F1D550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C6019C-7FFC-4584-BDC9-7D2849CA8EB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866B-0B1E-4D93-B3D0-92F941C20763}">
  <dimension ref="A1:AT116"/>
  <sheetViews>
    <sheetView tabSelected="1" workbookViewId="0">
      <pane xSplit="1" topLeftCell="Z1" activePane="topRight" state="frozen"/>
      <selection activeCell="A16" sqref="A16"/>
      <selection pane="topRight" activeCell="A28" sqref="A28:AT29"/>
    </sheetView>
  </sheetViews>
  <sheetFormatPr defaultRowHeight="15" x14ac:dyDescent="0.25"/>
  <cols>
    <col min="1" max="1" width="46.85546875" customWidth="1"/>
    <col min="2" max="2" width="5.140625" customWidth="1"/>
    <col min="3" max="3" width="0" hidden="1" customWidth="1"/>
    <col min="4" max="4" width="13.140625" customWidth="1"/>
    <col min="5" max="6" width="3.5703125" customWidth="1"/>
    <col min="7" max="7" width="10.28515625" bestFit="1" customWidth="1"/>
    <col min="8" max="9" width="3.5703125" customWidth="1"/>
    <col min="10" max="10" width="10.28515625" bestFit="1" customWidth="1"/>
    <col min="11" max="11" width="3.7109375" customWidth="1"/>
    <col min="12" max="12" width="3.5703125" customWidth="1"/>
    <col min="13" max="13" width="10.28515625" bestFit="1" customWidth="1"/>
    <col min="14" max="15" width="3.5703125" customWidth="1"/>
    <col min="16" max="16" width="10.28515625" bestFit="1" customWidth="1"/>
    <col min="17" max="17" width="4.140625" customWidth="1"/>
    <col min="18" max="18" width="3.5703125" customWidth="1"/>
    <col min="19" max="19" width="10.28515625" bestFit="1" customWidth="1"/>
    <col min="20" max="20" width="3.5703125" bestFit="1" customWidth="1"/>
    <col min="21" max="21" width="3.5703125" customWidth="1"/>
    <col min="22" max="22" width="10.28515625" bestFit="1" customWidth="1"/>
    <col min="23" max="23" width="3.5703125" bestFit="1" customWidth="1"/>
    <col min="24" max="24" width="3.5703125" customWidth="1"/>
    <col min="25" max="25" width="10.28515625" bestFit="1" customWidth="1"/>
    <col min="26" max="26" width="3.85546875" customWidth="1"/>
    <col min="27" max="27" width="4" customWidth="1"/>
    <col min="28" max="28" width="10" customWidth="1"/>
    <col min="29" max="29" width="4" bestFit="1" customWidth="1"/>
    <col min="30" max="30" width="4" customWidth="1"/>
    <col min="31" max="31" width="10" customWidth="1"/>
    <col min="32" max="32" width="3.5703125" bestFit="1" customWidth="1"/>
    <col min="33" max="33" width="4" customWidth="1"/>
    <col min="34" max="34" width="10.140625" customWidth="1"/>
    <col min="35" max="35" width="3.5703125" customWidth="1"/>
    <col min="36" max="36" width="4.42578125" bestFit="1" customWidth="1"/>
    <col min="37" max="37" width="10.140625" customWidth="1"/>
    <col min="38" max="38" width="3.7109375" customWidth="1"/>
    <col min="39" max="39" width="3.42578125" bestFit="1" customWidth="1"/>
    <col min="40" max="40" width="10.140625" customWidth="1"/>
    <col min="41" max="41" width="3.5703125" bestFit="1" customWidth="1"/>
    <col min="42" max="42" width="4" customWidth="1"/>
    <col min="43" max="43" width="11.7109375" bestFit="1" customWidth="1"/>
    <col min="44" max="44" width="10.42578125" bestFit="1" customWidth="1"/>
    <col min="45" max="45" width="5.85546875" bestFit="1" customWidth="1"/>
    <col min="46" max="46" width="16.28515625" customWidth="1"/>
  </cols>
  <sheetData>
    <row r="1" spans="1: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x14ac:dyDescent="0.2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28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5.75" x14ac:dyDescent="0.25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6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x14ac:dyDescent="0.25">
      <c r="A11" s="8" t="s">
        <v>2</v>
      </c>
      <c r="B11" s="9" t="s">
        <v>3</v>
      </c>
      <c r="C11" s="9"/>
      <c r="D11" s="9"/>
      <c r="E11" s="9" t="s">
        <v>4</v>
      </c>
      <c r="F11" s="9"/>
      <c r="G11" s="9"/>
      <c r="H11" s="9" t="s">
        <v>5</v>
      </c>
      <c r="I11" s="9"/>
      <c r="J11" s="9"/>
      <c r="K11" s="9" t="s">
        <v>6</v>
      </c>
      <c r="L11" s="9"/>
      <c r="M11" s="9"/>
      <c r="N11" s="9" t="s">
        <v>7</v>
      </c>
      <c r="O11" s="9"/>
      <c r="P11" s="9"/>
      <c r="Q11" s="9" t="s">
        <v>8</v>
      </c>
      <c r="R11" s="9"/>
      <c r="S11" s="9"/>
      <c r="T11" s="9" t="s">
        <v>9</v>
      </c>
      <c r="U11" s="9"/>
      <c r="V11" s="9"/>
      <c r="W11" s="9" t="s">
        <v>10</v>
      </c>
      <c r="X11" s="9"/>
      <c r="Y11" s="9"/>
      <c r="Z11" s="10" t="s">
        <v>11</v>
      </c>
      <c r="AA11" s="11"/>
      <c r="AB11" s="11"/>
      <c r="AC11" s="10" t="s">
        <v>12</v>
      </c>
      <c r="AD11" s="11"/>
      <c r="AE11" s="12"/>
      <c r="AF11" s="10" t="s">
        <v>13</v>
      </c>
      <c r="AG11" s="11"/>
      <c r="AH11" s="12"/>
      <c r="AI11" s="10" t="s">
        <v>14</v>
      </c>
      <c r="AJ11" s="11"/>
      <c r="AK11" s="12"/>
      <c r="AL11" s="10" t="s">
        <v>15</v>
      </c>
      <c r="AM11" s="11"/>
      <c r="AN11" s="12"/>
      <c r="AO11" s="9" t="s">
        <v>16</v>
      </c>
      <c r="AP11" s="9"/>
      <c r="AQ11" s="9"/>
      <c r="AR11" s="13" t="s">
        <v>17</v>
      </c>
      <c r="AS11" s="14"/>
      <c r="AT11" s="15"/>
    </row>
    <row r="12" spans="1:46" x14ac:dyDescent="0.25">
      <c r="A12" s="16" t="s">
        <v>18</v>
      </c>
      <c r="B12" s="17">
        <f>B13+B14+B15</f>
        <v>9586.0300000000007</v>
      </c>
      <c r="C12" s="18"/>
      <c r="D12" s="19"/>
      <c r="E12" s="20"/>
      <c r="F12" s="21"/>
      <c r="G12" s="22"/>
      <c r="H12" s="20"/>
      <c r="I12" s="21"/>
      <c r="J12" s="22"/>
      <c r="K12" s="20"/>
      <c r="L12" s="21"/>
      <c r="M12" s="22"/>
      <c r="N12" s="20"/>
      <c r="O12" s="21"/>
      <c r="P12" s="22"/>
      <c r="Q12" s="20"/>
      <c r="R12" s="21"/>
      <c r="S12" s="22"/>
      <c r="T12" s="20"/>
      <c r="U12" s="21"/>
      <c r="V12" s="22"/>
      <c r="W12" s="20"/>
      <c r="X12" s="21"/>
      <c r="Y12" s="22"/>
      <c r="Z12" s="23"/>
      <c r="AA12" s="23"/>
      <c r="AB12" s="23"/>
      <c r="AC12" s="24"/>
      <c r="AD12" s="25"/>
      <c r="AE12" s="26"/>
      <c r="AF12" s="27"/>
      <c r="AG12" s="27"/>
      <c r="AH12" s="27"/>
      <c r="AI12" s="28"/>
      <c r="AJ12" s="28"/>
      <c r="AK12" s="28"/>
      <c r="AL12" s="20"/>
      <c r="AM12" s="21"/>
      <c r="AN12" s="22"/>
      <c r="AO12" s="17">
        <f>9586.03</f>
        <v>9586.0300000000007</v>
      </c>
      <c r="AP12" s="18"/>
      <c r="AQ12" s="19"/>
      <c r="AR12" s="29">
        <f>9586.03</f>
        <v>9586.0300000000007</v>
      </c>
      <c r="AS12" s="30"/>
      <c r="AT12" s="31"/>
    </row>
    <row r="13" spans="1:46" x14ac:dyDescent="0.25">
      <c r="A13" s="32" t="s">
        <v>19</v>
      </c>
      <c r="B13" s="33">
        <f>13836</f>
        <v>13836</v>
      </c>
      <c r="C13" s="34"/>
      <c r="D13" s="35"/>
      <c r="E13" s="36"/>
      <c r="F13" s="37"/>
      <c r="G13" s="38"/>
      <c r="H13" s="36"/>
      <c r="I13" s="37"/>
      <c r="J13" s="38"/>
      <c r="K13" s="36"/>
      <c r="L13" s="37"/>
      <c r="M13" s="38"/>
      <c r="N13" s="36"/>
      <c r="O13" s="37"/>
      <c r="P13" s="38"/>
      <c r="Q13" s="36"/>
      <c r="R13" s="37"/>
      <c r="S13" s="38"/>
      <c r="T13" s="36"/>
      <c r="U13" s="37"/>
      <c r="V13" s="38"/>
      <c r="W13" s="36"/>
      <c r="X13" s="37"/>
      <c r="Y13" s="38"/>
      <c r="Z13" s="39"/>
      <c r="AA13" s="39"/>
      <c r="AB13" s="39"/>
      <c r="AC13" s="40"/>
      <c r="AD13" s="41"/>
      <c r="AE13" s="42"/>
      <c r="AF13" s="43"/>
      <c r="AG13" s="43"/>
      <c r="AH13" s="43"/>
      <c r="AI13" s="44"/>
      <c r="AJ13" s="44"/>
      <c r="AK13" s="44"/>
      <c r="AL13" s="36"/>
      <c r="AM13" s="37"/>
      <c r="AN13" s="38"/>
      <c r="AO13" s="33">
        <v>13836</v>
      </c>
      <c r="AP13" s="34"/>
      <c r="AQ13" s="35"/>
      <c r="AR13" s="45">
        <v>13836</v>
      </c>
      <c r="AS13" s="46"/>
      <c r="AT13" s="47"/>
    </row>
    <row r="14" spans="1:46" x14ac:dyDescent="0.25">
      <c r="A14" s="32" t="s">
        <v>20</v>
      </c>
      <c r="B14" s="33">
        <f>642.76</f>
        <v>642.76</v>
      </c>
      <c r="C14" s="34"/>
      <c r="D14" s="35"/>
      <c r="E14" s="36"/>
      <c r="F14" s="37"/>
      <c r="G14" s="38"/>
      <c r="H14" s="36"/>
      <c r="I14" s="37"/>
      <c r="J14" s="38"/>
      <c r="K14" s="36"/>
      <c r="L14" s="37"/>
      <c r="M14" s="38"/>
      <c r="N14" s="36"/>
      <c r="O14" s="37"/>
      <c r="P14" s="38"/>
      <c r="Q14" s="36"/>
      <c r="R14" s="37"/>
      <c r="S14" s="38"/>
      <c r="T14" s="36"/>
      <c r="U14" s="37"/>
      <c r="V14" s="38"/>
      <c r="W14" s="36"/>
      <c r="X14" s="37"/>
      <c r="Y14" s="38"/>
      <c r="Z14" s="39"/>
      <c r="AA14" s="39"/>
      <c r="AB14" s="39"/>
      <c r="AC14" s="40"/>
      <c r="AD14" s="41"/>
      <c r="AE14" s="42"/>
      <c r="AF14" s="43"/>
      <c r="AG14" s="43"/>
      <c r="AH14" s="43"/>
      <c r="AI14" s="44"/>
      <c r="AJ14" s="44"/>
      <c r="AK14" s="44"/>
      <c r="AL14" s="36"/>
      <c r="AM14" s="37"/>
      <c r="AN14" s="38"/>
      <c r="AO14" s="33">
        <v>642.76</v>
      </c>
      <c r="AP14" s="34"/>
      <c r="AQ14" s="35"/>
      <c r="AR14" s="48">
        <v>642.76</v>
      </c>
      <c r="AS14" s="49"/>
      <c r="AT14" s="50"/>
    </row>
    <row r="15" spans="1:46" x14ac:dyDescent="0.25">
      <c r="A15" s="32" t="s">
        <v>21</v>
      </c>
      <c r="B15" s="33">
        <f>-4892.73</f>
        <v>-4892.7299999999996</v>
      </c>
      <c r="C15" s="34"/>
      <c r="D15" s="35"/>
      <c r="E15" s="36"/>
      <c r="F15" s="37"/>
      <c r="G15" s="38"/>
      <c r="H15" s="36"/>
      <c r="I15" s="37"/>
      <c r="J15" s="38"/>
      <c r="K15" s="36"/>
      <c r="L15" s="37"/>
      <c r="M15" s="38"/>
      <c r="N15" s="36"/>
      <c r="O15" s="37"/>
      <c r="P15" s="38"/>
      <c r="Q15" s="36"/>
      <c r="R15" s="37"/>
      <c r="S15" s="38"/>
      <c r="T15" s="36"/>
      <c r="U15" s="37"/>
      <c r="V15" s="38"/>
      <c r="W15" s="36"/>
      <c r="X15" s="37"/>
      <c r="Y15" s="38"/>
      <c r="Z15" s="39"/>
      <c r="AA15" s="39"/>
      <c r="AB15" s="39"/>
      <c r="AC15" s="40"/>
      <c r="AD15" s="41"/>
      <c r="AE15" s="42"/>
      <c r="AF15" s="43"/>
      <c r="AG15" s="43"/>
      <c r="AH15" s="43"/>
      <c r="AI15" s="44"/>
      <c r="AJ15" s="44"/>
      <c r="AK15" s="44"/>
      <c r="AL15" s="36"/>
      <c r="AM15" s="37"/>
      <c r="AN15" s="38"/>
      <c r="AO15" s="33">
        <f>-4892.73</f>
        <v>-4892.7299999999996</v>
      </c>
      <c r="AP15" s="34"/>
      <c r="AQ15" s="35"/>
      <c r="AR15" s="48">
        <f>-4892.73</f>
        <v>-4892.7299999999996</v>
      </c>
      <c r="AS15" s="49"/>
      <c r="AT15" s="50"/>
    </row>
    <row r="16" spans="1:46" x14ac:dyDescent="0.25">
      <c r="A16" s="51" t="s">
        <v>22</v>
      </c>
      <c r="B16" s="52">
        <f>D27</f>
        <v>3009042.79</v>
      </c>
      <c r="C16" s="53"/>
      <c r="D16" s="54"/>
      <c r="E16" s="55"/>
      <c r="F16" s="56"/>
      <c r="G16" s="57"/>
      <c r="H16" s="55"/>
      <c r="I16" s="56"/>
      <c r="J16" s="57"/>
      <c r="K16" s="55"/>
      <c r="L16" s="56"/>
      <c r="M16" s="57"/>
      <c r="N16" s="55"/>
      <c r="O16" s="56"/>
      <c r="P16" s="57"/>
      <c r="Q16" s="55"/>
      <c r="R16" s="56"/>
      <c r="S16" s="57"/>
      <c r="T16" s="55"/>
      <c r="U16" s="56"/>
      <c r="V16" s="57"/>
      <c r="W16" s="55"/>
      <c r="X16" s="56"/>
      <c r="Y16" s="57"/>
      <c r="Z16" s="58"/>
      <c r="AA16" s="58"/>
      <c r="AB16" s="58"/>
      <c r="AC16" s="59"/>
      <c r="AD16" s="60"/>
      <c r="AE16" s="61"/>
      <c r="AF16" s="62"/>
      <c r="AG16" s="62"/>
      <c r="AH16" s="62"/>
      <c r="AI16" s="63"/>
      <c r="AJ16" s="63"/>
      <c r="AK16" s="63"/>
      <c r="AL16" s="55"/>
      <c r="AM16" s="56"/>
      <c r="AN16" s="57"/>
      <c r="AO16" s="52">
        <f>AQ27</f>
        <v>1177381.7</v>
      </c>
      <c r="AP16" s="53"/>
      <c r="AQ16" s="54"/>
      <c r="AR16" s="64">
        <f>AT27</f>
        <v>4186449.0600000005</v>
      </c>
      <c r="AS16" s="65"/>
      <c r="AT16" s="66"/>
    </row>
    <row r="17" spans="1:46" x14ac:dyDescent="0.25">
      <c r="A17" s="67" t="s">
        <v>23</v>
      </c>
      <c r="B17" s="68">
        <f>B102</f>
        <v>1370224.77</v>
      </c>
      <c r="C17" s="69"/>
      <c r="D17" s="70"/>
      <c r="E17" s="71"/>
      <c r="F17" s="72"/>
      <c r="G17" s="73"/>
      <c r="H17" s="71"/>
      <c r="I17" s="72"/>
      <c r="J17" s="73"/>
      <c r="K17" s="71"/>
      <c r="L17" s="72"/>
      <c r="M17" s="73"/>
      <c r="N17" s="71"/>
      <c r="O17" s="72"/>
      <c r="P17" s="73"/>
      <c r="Q17" s="71"/>
      <c r="R17" s="72"/>
      <c r="S17" s="73"/>
      <c r="T17" s="71"/>
      <c r="U17" s="72"/>
      <c r="V17" s="73"/>
      <c r="W17" s="71"/>
      <c r="X17" s="72"/>
      <c r="Y17" s="73"/>
      <c r="Z17" s="74"/>
      <c r="AA17" s="74"/>
      <c r="AB17" s="74"/>
      <c r="AC17" s="75"/>
      <c r="AD17" s="76"/>
      <c r="AE17" s="77"/>
      <c r="AF17" s="78"/>
      <c r="AG17" s="78"/>
      <c r="AH17" s="78"/>
      <c r="AI17" s="79"/>
      <c r="AJ17" s="79"/>
      <c r="AK17" s="79"/>
      <c r="AL17" s="71"/>
      <c r="AM17" s="72"/>
      <c r="AN17" s="73"/>
      <c r="AO17" s="68">
        <f>AO100</f>
        <v>665976.36999999988</v>
      </c>
      <c r="AP17" s="69"/>
      <c r="AQ17" s="70"/>
      <c r="AR17" s="80">
        <f>AS100</f>
        <v>2036201.1399999997</v>
      </c>
      <c r="AS17" s="81"/>
      <c r="AT17" s="82"/>
    </row>
    <row r="18" spans="1:46" x14ac:dyDescent="0.25">
      <c r="A18" s="51" t="s">
        <v>24</v>
      </c>
      <c r="B18" s="83">
        <f>B16-B17+B12</f>
        <v>1648404.05</v>
      </c>
      <c r="C18" s="84"/>
      <c r="D18" s="85"/>
      <c r="E18" s="86"/>
      <c r="F18" s="87"/>
      <c r="G18" s="88"/>
      <c r="H18" s="86"/>
      <c r="I18" s="87"/>
      <c r="J18" s="88"/>
      <c r="K18" s="86"/>
      <c r="L18" s="87"/>
      <c r="M18" s="88"/>
      <c r="N18" s="86"/>
      <c r="O18" s="87"/>
      <c r="P18" s="88"/>
      <c r="Q18" s="86"/>
      <c r="R18" s="87"/>
      <c r="S18" s="88"/>
      <c r="T18" s="86"/>
      <c r="U18" s="87"/>
      <c r="V18" s="88"/>
      <c r="W18" s="86"/>
      <c r="X18" s="87"/>
      <c r="Y18" s="88"/>
      <c r="Z18" s="89"/>
      <c r="AA18" s="90"/>
      <c r="AB18" s="90"/>
      <c r="AC18" s="91"/>
      <c r="AD18" s="92"/>
      <c r="AE18" s="93"/>
      <c r="AF18" s="94"/>
      <c r="AG18" s="94"/>
      <c r="AH18" s="94"/>
      <c r="AI18" s="95"/>
      <c r="AJ18" s="95"/>
      <c r="AK18" s="95"/>
      <c r="AL18" s="86"/>
      <c r="AM18" s="87"/>
      <c r="AN18" s="88"/>
      <c r="AO18" s="83">
        <f>AO16-AO17</f>
        <v>511405.33000000007</v>
      </c>
      <c r="AP18" s="84"/>
      <c r="AQ18" s="85"/>
      <c r="AR18" s="96">
        <f>AR16-AR17+AR12</f>
        <v>2159833.9500000007</v>
      </c>
      <c r="AS18" s="96"/>
      <c r="AT18" s="96"/>
    </row>
    <row r="19" spans="1:4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x14ac:dyDescent="0.25">
      <c r="A21" s="97" t="s">
        <v>25</v>
      </c>
      <c r="B21" s="9" t="s">
        <v>3</v>
      </c>
      <c r="C21" s="9"/>
      <c r="D21" s="9"/>
      <c r="E21" s="10" t="s">
        <v>4</v>
      </c>
      <c r="F21" s="11"/>
      <c r="G21" s="12"/>
      <c r="H21" s="10" t="s">
        <v>5</v>
      </c>
      <c r="I21" s="11"/>
      <c r="J21" s="12"/>
      <c r="K21" s="10" t="s">
        <v>6</v>
      </c>
      <c r="L21" s="11"/>
      <c r="M21" s="12"/>
      <c r="N21" s="10" t="s">
        <v>7</v>
      </c>
      <c r="O21" s="11"/>
      <c r="P21" s="12"/>
      <c r="Q21" s="10" t="s">
        <v>8</v>
      </c>
      <c r="R21" s="11"/>
      <c r="S21" s="12"/>
      <c r="T21" s="10" t="s">
        <v>9</v>
      </c>
      <c r="U21" s="11"/>
      <c r="V21" s="12"/>
      <c r="W21" s="10" t="s">
        <v>10</v>
      </c>
      <c r="X21" s="11"/>
      <c r="Y21" s="12"/>
      <c r="Z21" s="10" t="s">
        <v>11</v>
      </c>
      <c r="AA21" s="11"/>
      <c r="AB21" s="11"/>
      <c r="AC21" s="10" t="s">
        <v>12</v>
      </c>
      <c r="AD21" s="11"/>
      <c r="AE21" s="12"/>
      <c r="AF21" s="10" t="s">
        <v>13</v>
      </c>
      <c r="AG21" s="11"/>
      <c r="AH21" s="12"/>
      <c r="AI21" s="10" t="s">
        <v>14</v>
      </c>
      <c r="AJ21" s="11"/>
      <c r="AK21" s="12"/>
      <c r="AL21" s="10" t="s">
        <v>15</v>
      </c>
      <c r="AM21" s="11"/>
      <c r="AN21" s="12"/>
      <c r="AO21" s="9" t="s">
        <v>16</v>
      </c>
      <c r="AP21" s="9"/>
      <c r="AQ21" s="9"/>
      <c r="AR21" s="98" t="s">
        <v>26</v>
      </c>
      <c r="AS21" s="99" t="s">
        <v>17</v>
      </c>
      <c r="AT21" s="99"/>
    </row>
    <row r="22" spans="1:46" x14ac:dyDescent="0.25">
      <c r="A22" s="100"/>
      <c r="B22" s="101" t="s">
        <v>27</v>
      </c>
      <c r="C22" s="102"/>
      <c r="D22" s="103" t="s">
        <v>28</v>
      </c>
      <c r="E22" s="103" t="s">
        <v>29</v>
      </c>
      <c r="F22" s="103" t="s">
        <v>30</v>
      </c>
      <c r="G22" s="103" t="s">
        <v>28</v>
      </c>
      <c r="H22" s="103" t="s">
        <v>29</v>
      </c>
      <c r="I22" s="103" t="s">
        <v>30</v>
      </c>
      <c r="J22" s="103" t="s">
        <v>28</v>
      </c>
      <c r="K22" s="103" t="s">
        <v>29</v>
      </c>
      <c r="L22" s="103" t="s">
        <v>30</v>
      </c>
      <c r="M22" s="103" t="s">
        <v>28</v>
      </c>
      <c r="N22" s="103" t="s">
        <v>29</v>
      </c>
      <c r="O22" s="103" t="s">
        <v>30</v>
      </c>
      <c r="P22" s="103" t="s">
        <v>28</v>
      </c>
      <c r="Q22" s="103" t="s">
        <v>29</v>
      </c>
      <c r="R22" s="103" t="s">
        <v>30</v>
      </c>
      <c r="S22" s="103" t="s">
        <v>28</v>
      </c>
      <c r="T22" s="103" t="s">
        <v>29</v>
      </c>
      <c r="U22" s="103" t="s">
        <v>30</v>
      </c>
      <c r="V22" s="103" t="s">
        <v>28</v>
      </c>
      <c r="W22" s="103" t="s">
        <v>29</v>
      </c>
      <c r="X22" s="103" t="s">
        <v>30</v>
      </c>
      <c r="Y22" s="103" t="s">
        <v>28</v>
      </c>
      <c r="Z22" s="103" t="s">
        <v>29</v>
      </c>
      <c r="AA22" s="103" t="s">
        <v>30</v>
      </c>
      <c r="AB22" s="104" t="s">
        <v>28</v>
      </c>
      <c r="AC22" s="105"/>
      <c r="AD22" s="105"/>
      <c r="AE22" s="105"/>
      <c r="AF22" s="103" t="s">
        <v>29</v>
      </c>
      <c r="AG22" s="103" t="s">
        <v>30</v>
      </c>
      <c r="AH22" s="105"/>
      <c r="AI22" s="105"/>
      <c r="AJ22" s="105"/>
      <c r="AK22" s="105"/>
      <c r="AL22" s="105"/>
      <c r="AM22" s="105"/>
      <c r="AN22" s="105"/>
      <c r="AO22" s="103" t="s">
        <v>29</v>
      </c>
      <c r="AP22" s="103" t="s">
        <v>30</v>
      </c>
      <c r="AQ22" s="103" t="s">
        <v>28</v>
      </c>
      <c r="AR22" s="98"/>
      <c r="AS22" s="106" t="s">
        <v>27</v>
      </c>
      <c r="AT22" s="106" t="s">
        <v>28</v>
      </c>
    </row>
    <row r="23" spans="1:46" x14ac:dyDescent="0.25">
      <c r="A23" s="107" t="s">
        <v>31</v>
      </c>
      <c r="B23" s="108">
        <v>158</v>
      </c>
      <c r="C23" s="109"/>
      <c r="D23" s="110">
        <f>17760.02+186880+2455.53+1205.11</f>
        <v>208300.65999999997</v>
      </c>
      <c r="E23" s="111"/>
      <c r="F23" s="111"/>
      <c r="G23" s="110"/>
      <c r="H23" s="111"/>
      <c r="I23" s="111"/>
      <c r="J23" s="110"/>
      <c r="K23" s="111"/>
      <c r="L23" s="111"/>
      <c r="M23" s="110"/>
      <c r="N23" s="111"/>
      <c r="O23" s="111"/>
      <c r="P23" s="110"/>
      <c r="Q23" s="111"/>
      <c r="R23" s="111"/>
      <c r="S23" s="110"/>
      <c r="T23" s="111"/>
      <c r="U23" s="111"/>
      <c r="V23" s="110"/>
      <c r="W23" s="111"/>
      <c r="X23" s="111"/>
      <c r="Y23" s="110"/>
      <c r="Z23" s="110"/>
      <c r="AA23" s="110"/>
      <c r="AB23" s="112"/>
      <c r="AC23" s="113"/>
      <c r="AD23" s="113"/>
      <c r="AE23" s="113"/>
      <c r="AF23" s="111"/>
      <c r="AG23" s="114"/>
      <c r="AH23" s="113"/>
      <c r="AI23" s="113"/>
      <c r="AJ23" s="113"/>
      <c r="AK23" s="113"/>
      <c r="AL23" s="113"/>
      <c r="AM23" s="113"/>
      <c r="AN23" s="113"/>
      <c r="AO23" s="111"/>
      <c r="AP23" s="114"/>
      <c r="AQ23" s="113"/>
      <c r="AR23" s="115"/>
      <c r="AS23" s="116">
        <f>140+18+5584</f>
        <v>5742</v>
      </c>
      <c r="AT23" s="117">
        <f>208300.66</f>
        <v>208300.66</v>
      </c>
    </row>
    <row r="24" spans="1:46" x14ac:dyDescent="0.25">
      <c r="A24" s="32" t="s">
        <v>32</v>
      </c>
      <c r="B24" s="108">
        <f>5584</f>
        <v>5584</v>
      </c>
      <c r="C24" s="109"/>
      <c r="D24" s="110">
        <f>2625767</f>
        <v>2625767</v>
      </c>
      <c r="E24" s="111">
        <v>-5</v>
      </c>
      <c r="F24" s="111">
        <v>25</v>
      </c>
      <c r="G24" s="118">
        <f>111920</f>
        <v>111920</v>
      </c>
      <c r="H24" s="111">
        <v>-7</v>
      </c>
      <c r="I24" s="111">
        <v>11</v>
      </c>
      <c r="J24" s="118">
        <v>111920</v>
      </c>
      <c r="K24" s="111">
        <v>-10</v>
      </c>
      <c r="L24" s="111">
        <v>15</v>
      </c>
      <c r="M24" s="118">
        <v>113115</v>
      </c>
      <c r="N24" s="111">
        <v>-8</v>
      </c>
      <c r="O24" s="111">
        <v>56</v>
      </c>
      <c r="P24" s="118">
        <v>113300</v>
      </c>
      <c r="Q24" s="111">
        <v>-19</v>
      </c>
      <c r="R24" s="111">
        <v>11</v>
      </c>
      <c r="S24" s="118">
        <v>160820</v>
      </c>
      <c r="T24" s="111">
        <v>-2</v>
      </c>
      <c r="U24" s="111">
        <v>12</v>
      </c>
      <c r="V24" s="118">
        <v>99920.03</v>
      </c>
      <c r="W24" s="111">
        <f>-2</f>
        <v>-2</v>
      </c>
      <c r="X24" s="111">
        <f>14</f>
        <v>14</v>
      </c>
      <c r="Y24" s="118">
        <f>120+360+140+360+100+360+360+360+360+360+360+360+360+360+360+360+360+360+360+360+360+360+360+360+360+40+360+20+360+120+360+360+360+360+360+360+360+20+20+20+20+20+20+20+20+360+20+360+360+20+20+20+1140+111800</f>
        <v>125960</v>
      </c>
      <c r="Z24" s="119">
        <f>-9</f>
        <v>-9</v>
      </c>
      <c r="AA24" s="120">
        <f>8</f>
        <v>8</v>
      </c>
      <c r="AB24" s="121">
        <f>1440+1500+3240+5780+4720+4020+500</f>
        <v>21200</v>
      </c>
      <c r="AC24" s="122">
        <f>-14</f>
        <v>-14</v>
      </c>
      <c r="AD24" s="123">
        <v>12</v>
      </c>
      <c r="AE24" s="124">
        <f>20+80+360+20+60+20+20+20+360+31620</f>
        <v>32580</v>
      </c>
      <c r="AF24" s="111">
        <v>-2</v>
      </c>
      <c r="AG24" s="125">
        <v>68</v>
      </c>
      <c r="AH24" s="124">
        <f>20+13740+20+20</f>
        <v>13800</v>
      </c>
      <c r="AI24" s="125">
        <f>-6</f>
        <v>-6</v>
      </c>
      <c r="AJ24" s="125">
        <f>142</f>
        <v>142</v>
      </c>
      <c r="AK24" s="124">
        <f>20+20+1780+34280</f>
        <v>36100</v>
      </c>
      <c r="AL24" s="126">
        <v>-12</v>
      </c>
      <c r="AM24" s="127">
        <v>10</v>
      </c>
      <c r="AN24" s="124">
        <f>15840+3300+12820+114800+160+20</f>
        <v>146940</v>
      </c>
      <c r="AO24" s="111">
        <f>-5-7-10-8-19-2-2-9-14-2-6-12</f>
        <v>-96</v>
      </c>
      <c r="AP24" s="114">
        <f>25+11+15+56+11+12+14+8+12+68+142+10</f>
        <v>384</v>
      </c>
      <c r="AQ24" s="113">
        <f>G24+J24+M24+P24+S24+V24+Y24+AB24+AE24+AH24+AK24+AN24</f>
        <v>1087575.03</v>
      </c>
      <c r="AR24" s="128">
        <f>AQ24/AQ27</f>
        <v>0.92372340252952811</v>
      </c>
      <c r="AS24" s="129">
        <f>E24+F24+H24+I24+K24+L24+N24+O24+Q24+R24+T24+U24+W24+X24+Z24+AA24+AC24+AD24+AF24+AG24+AI24+AJ24+AL24+AM24</f>
        <v>288</v>
      </c>
      <c r="AT24" s="130">
        <f>2625767+AQ24</f>
        <v>3713342.0300000003</v>
      </c>
    </row>
    <row r="25" spans="1:46" x14ac:dyDescent="0.25">
      <c r="A25" s="131" t="s">
        <v>33</v>
      </c>
      <c r="B25" s="108"/>
      <c r="C25" s="109"/>
      <c r="D25" s="110">
        <f>174975.13</f>
        <v>174975.13</v>
      </c>
      <c r="E25" s="111"/>
      <c r="F25" s="111"/>
      <c r="G25" s="118">
        <f>8732.32</f>
        <v>8732.32</v>
      </c>
      <c r="H25" s="111"/>
      <c r="I25" s="111"/>
      <c r="J25" s="118">
        <v>6781.57</v>
      </c>
      <c r="K25" s="111"/>
      <c r="L25" s="111"/>
      <c r="M25" s="118">
        <v>6199.68</v>
      </c>
      <c r="N25" s="111"/>
      <c r="O25" s="111"/>
      <c r="P25" s="118">
        <v>7252.4</v>
      </c>
      <c r="Q25" s="111"/>
      <c r="R25" s="111"/>
      <c r="S25" s="118">
        <v>8016.26</v>
      </c>
      <c r="T25" s="111"/>
      <c r="U25" s="111"/>
      <c r="V25" s="118">
        <v>7378.23</v>
      </c>
      <c r="W25" s="111"/>
      <c r="X25" s="111"/>
      <c r="Y25" s="118">
        <f>9188.45</f>
        <v>9188.4500000000007</v>
      </c>
      <c r="Z25" s="110"/>
      <c r="AA25" s="110"/>
      <c r="AB25" s="121">
        <f>2635.97+1659.5+3172.24+159.75</f>
        <v>7627.4599999999991</v>
      </c>
      <c r="AC25" s="113"/>
      <c r="AD25" s="113"/>
      <c r="AE25" s="124">
        <f>3663.57+2420.54+1323.76</f>
        <v>7407.8700000000008</v>
      </c>
      <c r="AF25" s="111"/>
      <c r="AG25" s="125"/>
      <c r="AH25" s="124">
        <f>3592.28+378.5+1181.62+712.74+1919.17</f>
        <v>7784.3099999999995</v>
      </c>
      <c r="AI25" s="113"/>
      <c r="AJ25" s="113"/>
      <c r="AK25" s="124">
        <f>2853.03+2012.31+1254.65</f>
        <v>6119.99</v>
      </c>
      <c r="AL25" s="113"/>
      <c r="AM25" s="113"/>
      <c r="AN25" s="124">
        <f>2834.93+2297.78+1175.26</f>
        <v>6307.97</v>
      </c>
      <c r="AO25" s="111"/>
      <c r="AP25" s="114"/>
      <c r="AQ25" s="113">
        <f>G25+J25+M25+P25+S25+V25+Y25+AB25+AE25+AH25+AK25+AN25</f>
        <v>88796.510000000009</v>
      </c>
      <c r="AR25" s="128">
        <f>AQ25/AQ27</f>
        <v>7.5418625922247656E-2</v>
      </c>
      <c r="AS25" s="114"/>
      <c r="AT25" s="130">
        <f>174975.13+AQ25</f>
        <v>263771.64</v>
      </c>
    </row>
    <row r="26" spans="1:46" x14ac:dyDescent="0.25">
      <c r="A26" s="114" t="s">
        <v>34</v>
      </c>
      <c r="B26" s="108"/>
      <c r="C26" s="109"/>
      <c r="D26" s="110"/>
      <c r="E26" s="111"/>
      <c r="F26" s="111"/>
      <c r="G26" s="110"/>
      <c r="H26" s="111"/>
      <c r="I26" s="111"/>
      <c r="J26" s="110"/>
      <c r="K26" s="111"/>
      <c r="L26" s="111"/>
      <c r="M26" s="110"/>
      <c r="N26" s="111"/>
      <c r="O26" s="111"/>
      <c r="P26" s="110"/>
      <c r="Q26" s="111"/>
      <c r="R26" s="111"/>
      <c r="S26" s="110"/>
      <c r="T26" s="111"/>
      <c r="U26" s="111"/>
      <c r="V26" s="110"/>
      <c r="W26" s="111"/>
      <c r="X26" s="111"/>
      <c r="Y26" s="110"/>
      <c r="Z26" s="110"/>
      <c r="AA26" s="110"/>
      <c r="AB26" s="112"/>
      <c r="AC26" s="113"/>
      <c r="AD26" s="113"/>
      <c r="AE26" s="113"/>
      <c r="AF26" s="111"/>
      <c r="AG26" s="114"/>
      <c r="AH26" s="113"/>
      <c r="AI26" s="113"/>
      <c r="AJ26" s="113"/>
      <c r="AK26" s="113"/>
      <c r="AL26" s="113"/>
      <c r="AM26" s="113"/>
      <c r="AN26" s="113">
        <f>456.66+553.5</f>
        <v>1010.1600000000001</v>
      </c>
      <c r="AO26" s="111"/>
      <c r="AP26" s="114"/>
      <c r="AQ26" s="113">
        <f>0+AN26</f>
        <v>1010.1600000000001</v>
      </c>
      <c r="AR26" s="115">
        <f>AQ26/AQ27</f>
        <v>8.5797154822433552E-4</v>
      </c>
      <c r="AS26" s="116"/>
      <c r="AT26" s="117">
        <f>24.57+AQ26</f>
        <v>1034.73</v>
      </c>
    </row>
    <row r="27" spans="1:46" x14ac:dyDescent="0.25">
      <c r="A27" s="132" t="s">
        <v>35</v>
      </c>
      <c r="B27" s="133">
        <f>SUM(B23:C26)</f>
        <v>5742</v>
      </c>
      <c r="C27" s="134"/>
      <c r="D27" s="135">
        <f>SUM(D23:D26)</f>
        <v>3009042.79</v>
      </c>
      <c r="E27" s="133">
        <f>B27+E24+F24</f>
        <v>5762</v>
      </c>
      <c r="F27" s="134"/>
      <c r="G27" s="135">
        <f>SUM(G23:G26)</f>
        <v>120652.32</v>
      </c>
      <c r="H27" s="133">
        <f>E27+H24+I24</f>
        <v>5766</v>
      </c>
      <c r="I27" s="134"/>
      <c r="J27" s="135">
        <f>SUM(J23:J26)</f>
        <v>118701.57</v>
      </c>
      <c r="K27" s="133">
        <f>H27+K24+L24</f>
        <v>5771</v>
      </c>
      <c r="L27" s="134"/>
      <c r="M27" s="135">
        <f>SUM(M23:M26)</f>
        <v>119314.68</v>
      </c>
      <c r="N27" s="133">
        <f>K27+N24+O24</f>
        <v>5819</v>
      </c>
      <c r="O27" s="134"/>
      <c r="P27" s="135">
        <f>SUM(P23:P26)</f>
        <v>120552.4</v>
      </c>
      <c r="Q27" s="133">
        <f>N27+Q24+R24</f>
        <v>5811</v>
      </c>
      <c r="R27" s="134"/>
      <c r="S27" s="135">
        <f>SUM(S23:S26)</f>
        <v>168836.26</v>
      </c>
      <c r="T27" s="133">
        <f>Q27+T24+U24</f>
        <v>5821</v>
      </c>
      <c r="U27" s="134"/>
      <c r="V27" s="135">
        <f>SUM(V23:V26)</f>
        <v>107298.26</v>
      </c>
      <c r="W27" s="133">
        <f>T27+W24+X24</f>
        <v>5833</v>
      </c>
      <c r="X27" s="134"/>
      <c r="Y27" s="135">
        <f>SUM(Y23:Y26)</f>
        <v>135148.45000000001</v>
      </c>
      <c r="Z27" s="136">
        <f>W27+Z24+AA24</f>
        <v>5832</v>
      </c>
      <c r="AA27" s="137"/>
      <c r="AB27" s="138">
        <f>SUM(AB23:AB26)</f>
        <v>28827.46</v>
      </c>
      <c r="AC27" s="139">
        <f>Z27+AC24+AD24</f>
        <v>5830</v>
      </c>
      <c r="AD27" s="139"/>
      <c r="AE27" s="140">
        <f>SUM(AE23:AE26)</f>
        <v>39987.870000000003</v>
      </c>
      <c r="AF27" s="139">
        <f>AC27+AF24+AG24</f>
        <v>5896</v>
      </c>
      <c r="AG27" s="139"/>
      <c r="AH27" s="135">
        <f>AH24+AH25</f>
        <v>21584.309999999998</v>
      </c>
      <c r="AI27" s="136">
        <f>AF27+AI24+AJ24</f>
        <v>6032</v>
      </c>
      <c r="AJ27" s="137"/>
      <c r="AK27" s="135">
        <f>SUM(AK24:AK26)</f>
        <v>42219.99</v>
      </c>
      <c r="AL27" s="136">
        <f>AI27+AL24+AM24</f>
        <v>6030</v>
      </c>
      <c r="AM27" s="137"/>
      <c r="AN27" s="135">
        <f>SUM(AN24:AN26)</f>
        <v>154258.13</v>
      </c>
      <c r="AO27" s="141">
        <f>B27+AO24+AP24</f>
        <v>6030</v>
      </c>
      <c r="AP27" s="141"/>
      <c r="AQ27" s="135">
        <f>SUM(AQ23:AQ26)</f>
        <v>1177381.7</v>
      </c>
      <c r="AR27" s="142">
        <f>AQ27/AQ27</f>
        <v>1</v>
      </c>
      <c r="AS27" s="143">
        <f>SUM(AS23:AS26)</f>
        <v>6030</v>
      </c>
      <c r="AT27" s="144">
        <f>SUM(AT23:AT26)</f>
        <v>4186449.0600000005</v>
      </c>
    </row>
    <row r="28" spans="1:46" x14ac:dyDescent="0.25">
      <c r="A28" s="145" t="s">
        <v>36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</row>
    <row r="29" spans="1:46" x14ac:dyDescent="0.25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</row>
    <row r="30" spans="1:46" ht="15.75" x14ac:dyDescent="0.25">
      <c r="A30" s="146" t="s">
        <v>37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</row>
    <row r="31" spans="1:46" x14ac:dyDescent="0.2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</row>
    <row r="32" spans="1:46" x14ac:dyDescent="0.25">
      <c r="A32" s="148" t="s">
        <v>23</v>
      </c>
      <c r="B32" s="9" t="s">
        <v>3</v>
      </c>
      <c r="C32" s="9"/>
      <c r="D32" s="9"/>
      <c r="E32" s="149" t="s">
        <v>4</v>
      </c>
      <c r="F32" s="150"/>
      <c r="G32" s="150"/>
      <c r="H32" s="149" t="s">
        <v>5</v>
      </c>
      <c r="I32" s="150"/>
      <c r="J32" s="150"/>
      <c r="K32" s="151" t="s">
        <v>6</v>
      </c>
      <c r="L32" s="151"/>
      <c r="M32" s="151"/>
      <c r="N32" s="149" t="s">
        <v>7</v>
      </c>
      <c r="O32" s="150"/>
      <c r="P32" s="152"/>
      <c r="Q32" s="149" t="s">
        <v>8</v>
      </c>
      <c r="R32" s="150"/>
      <c r="S32" s="150"/>
      <c r="T32" s="149" t="s">
        <v>9</v>
      </c>
      <c r="U32" s="150"/>
      <c r="V32" s="152"/>
      <c r="W32" s="10" t="s">
        <v>10</v>
      </c>
      <c r="X32" s="11"/>
      <c r="Y32" s="11"/>
      <c r="Z32" s="10" t="s">
        <v>11</v>
      </c>
      <c r="AA32" s="11"/>
      <c r="AB32" s="11"/>
      <c r="AC32" s="9" t="s">
        <v>12</v>
      </c>
      <c r="AD32" s="9"/>
      <c r="AE32" s="9"/>
      <c r="AF32" s="10" t="s">
        <v>13</v>
      </c>
      <c r="AG32" s="11"/>
      <c r="AH32" s="11"/>
      <c r="AI32" s="9" t="s">
        <v>14</v>
      </c>
      <c r="AJ32" s="9"/>
      <c r="AK32" s="9"/>
      <c r="AL32" s="10" t="s">
        <v>15</v>
      </c>
      <c r="AM32" s="11"/>
      <c r="AN32" s="11"/>
      <c r="AO32" s="9" t="s">
        <v>16</v>
      </c>
      <c r="AP32" s="9"/>
      <c r="AQ32" s="9"/>
      <c r="AR32" s="153" t="s">
        <v>26</v>
      </c>
      <c r="AS32" s="99" t="s">
        <v>17</v>
      </c>
      <c r="AT32" s="99"/>
    </row>
    <row r="33" spans="1:46" x14ac:dyDescent="0.25">
      <c r="A33" s="154" t="s">
        <v>38</v>
      </c>
      <c r="B33" s="155">
        <f>SUM(B34:D41)</f>
        <v>171975.98</v>
      </c>
      <c r="C33" s="155"/>
      <c r="D33" s="155"/>
      <c r="E33" s="156">
        <f>SUM(E34:E41)</f>
        <v>2990.34</v>
      </c>
      <c r="F33" s="157"/>
      <c r="G33" s="158"/>
      <c r="H33" s="156">
        <f>SUM(H34:H41)</f>
        <v>15532.5</v>
      </c>
      <c r="I33" s="157"/>
      <c r="J33" s="158"/>
      <c r="K33" s="159">
        <f>SUM(K34:K41)</f>
        <v>5932.5</v>
      </c>
      <c r="L33" s="159"/>
      <c r="M33" s="159"/>
      <c r="N33" s="156">
        <f t="shared" ref="N33" si="0">SUM(N34:N41)</f>
        <v>5682.5</v>
      </c>
      <c r="O33" s="157"/>
      <c r="P33" s="158"/>
      <c r="Q33" s="156">
        <f t="shared" ref="Q33" si="1">SUM(Q34:Q41)</f>
        <v>5678.15</v>
      </c>
      <c r="R33" s="157"/>
      <c r="S33" s="158"/>
      <c r="T33" s="156">
        <f t="shared" ref="T33" si="2">SUM(T34:T41)</f>
        <v>5574.27</v>
      </c>
      <c r="U33" s="157"/>
      <c r="V33" s="158"/>
      <c r="W33" s="160">
        <f>SUM(W34:Y41)</f>
        <v>11532.5</v>
      </c>
      <c r="X33" s="161"/>
      <c r="Y33" s="161"/>
      <c r="Z33" s="160">
        <f>SUM(Z34:AB41)</f>
        <v>11952.5</v>
      </c>
      <c r="AA33" s="161"/>
      <c r="AB33" s="161"/>
      <c r="AC33" s="155">
        <f>SUM(AC34:AE41)</f>
        <v>11952.5</v>
      </c>
      <c r="AD33" s="155"/>
      <c r="AE33" s="155"/>
      <c r="AF33" s="160">
        <f>SUM(AF34:AH41)</f>
        <v>16186.41</v>
      </c>
      <c r="AG33" s="161"/>
      <c r="AH33" s="161"/>
      <c r="AI33" s="160">
        <f>SUM(AI34:AK41)</f>
        <v>16186.41</v>
      </c>
      <c r="AJ33" s="161"/>
      <c r="AK33" s="161"/>
      <c r="AL33" s="160">
        <f>SUM(AL34:AN41)</f>
        <v>12146.41</v>
      </c>
      <c r="AM33" s="161"/>
      <c r="AN33" s="161"/>
      <c r="AO33" s="155">
        <f>SUM(AO34:AQ41)</f>
        <v>121346.99</v>
      </c>
      <c r="AP33" s="155"/>
      <c r="AQ33" s="155"/>
      <c r="AR33" s="162">
        <f>AO33/AO100</f>
        <v>0.18220915255596837</v>
      </c>
      <c r="AS33" s="163">
        <f>SUM(AS34:AT41)</f>
        <v>291683.03000000003</v>
      </c>
      <c r="AT33" s="163"/>
    </row>
    <row r="34" spans="1:46" x14ac:dyDescent="0.25">
      <c r="A34" s="164" t="s">
        <v>39</v>
      </c>
      <c r="B34" s="165">
        <f>61810.3</f>
        <v>61810.3</v>
      </c>
      <c r="C34" s="165"/>
      <c r="D34" s="165"/>
      <c r="E34" s="166">
        <v>1790.34</v>
      </c>
      <c r="F34" s="167"/>
      <c r="G34" s="168"/>
      <c r="H34" s="166">
        <v>10000</v>
      </c>
      <c r="I34" s="167"/>
      <c r="J34" s="168"/>
      <c r="K34" s="169">
        <v>0</v>
      </c>
      <c r="L34" s="169"/>
      <c r="M34" s="169"/>
      <c r="N34" s="166">
        <v>0</v>
      </c>
      <c r="O34" s="167"/>
      <c r="P34" s="168"/>
      <c r="Q34" s="170">
        <v>0</v>
      </c>
      <c r="R34" s="171"/>
      <c r="S34" s="172"/>
      <c r="T34" s="166">
        <v>0</v>
      </c>
      <c r="U34" s="167"/>
      <c r="V34" s="168"/>
      <c r="W34" s="170">
        <v>0</v>
      </c>
      <c r="X34" s="171"/>
      <c r="Y34" s="171"/>
      <c r="Z34" s="170">
        <v>0</v>
      </c>
      <c r="AA34" s="171"/>
      <c r="AB34" s="172"/>
      <c r="AC34" s="173">
        <v>0</v>
      </c>
      <c r="AD34" s="173"/>
      <c r="AE34" s="173"/>
      <c r="AF34" s="170">
        <v>0</v>
      </c>
      <c r="AG34" s="171"/>
      <c r="AH34" s="171"/>
      <c r="AI34" s="173">
        <v>0</v>
      </c>
      <c r="AJ34" s="173"/>
      <c r="AK34" s="170"/>
      <c r="AL34" s="173">
        <v>0</v>
      </c>
      <c r="AM34" s="173"/>
      <c r="AN34" s="170"/>
      <c r="AO34" s="165">
        <f>1790.34+10000</f>
        <v>11790.34</v>
      </c>
      <c r="AP34" s="165"/>
      <c r="AQ34" s="165"/>
      <c r="AR34" s="174">
        <f>AO34/AO100</f>
        <v>1.7703841354010808E-2</v>
      </c>
      <c r="AS34" s="173">
        <f>60410.3+AO34</f>
        <v>72200.639999999999</v>
      </c>
      <c r="AT34" s="173"/>
    </row>
    <row r="35" spans="1:46" x14ac:dyDescent="0.25">
      <c r="A35" s="175" t="s">
        <v>40</v>
      </c>
      <c r="B35" s="165">
        <v>0</v>
      </c>
      <c r="C35" s="165"/>
      <c r="D35" s="165"/>
      <c r="E35" s="170">
        <v>0</v>
      </c>
      <c r="F35" s="171"/>
      <c r="G35" s="172"/>
      <c r="H35" s="170">
        <v>0</v>
      </c>
      <c r="I35" s="171"/>
      <c r="J35" s="172"/>
      <c r="K35" s="169">
        <v>0</v>
      </c>
      <c r="L35" s="169"/>
      <c r="M35" s="169"/>
      <c r="N35" s="170">
        <v>0</v>
      </c>
      <c r="O35" s="171"/>
      <c r="P35" s="172"/>
      <c r="Q35" s="170">
        <v>0</v>
      </c>
      <c r="R35" s="171"/>
      <c r="S35" s="172"/>
      <c r="T35" s="170">
        <v>0</v>
      </c>
      <c r="U35" s="171"/>
      <c r="V35" s="172"/>
      <c r="W35" s="170">
        <f>6000</f>
        <v>6000</v>
      </c>
      <c r="X35" s="171"/>
      <c r="Y35" s="171"/>
      <c r="Z35" s="170">
        <f>6000</f>
        <v>6000</v>
      </c>
      <c r="AA35" s="171"/>
      <c r="AB35" s="172"/>
      <c r="AC35" s="173">
        <f>6000</f>
        <v>6000</v>
      </c>
      <c r="AD35" s="173"/>
      <c r="AE35" s="173"/>
      <c r="AF35" s="170">
        <f>6000</f>
        <v>6000</v>
      </c>
      <c r="AG35" s="171"/>
      <c r="AH35" s="171"/>
      <c r="AI35" s="173">
        <f>6000</f>
        <v>6000</v>
      </c>
      <c r="AJ35" s="173"/>
      <c r="AK35" s="170"/>
      <c r="AL35" s="173">
        <f>6000</f>
        <v>6000</v>
      </c>
      <c r="AM35" s="173"/>
      <c r="AN35" s="170"/>
      <c r="AO35" s="165">
        <f>6000+6000+6000+6000+6000+6000</f>
        <v>36000</v>
      </c>
      <c r="AP35" s="165"/>
      <c r="AQ35" s="165"/>
      <c r="AR35" s="174">
        <f>AO35/AO100</f>
        <v>5.4055971985912964E-2</v>
      </c>
      <c r="AS35" s="170">
        <f>0+AO35</f>
        <v>36000</v>
      </c>
      <c r="AT35" s="172"/>
    </row>
    <row r="36" spans="1:46" x14ac:dyDescent="0.25">
      <c r="A36" s="164" t="s">
        <v>41</v>
      </c>
      <c r="B36" s="165">
        <f>28820.48</f>
        <v>28820.48</v>
      </c>
      <c r="C36" s="165"/>
      <c r="D36" s="165"/>
      <c r="E36" s="166">
        <v>1200</v>
      </c>
      <c r="F36" s="167"/>
      <c r="G36" s="168"/>
      <c r="H36" s="166">
        <v>840</v>
      </c>
      <c r="I36" s="167"/>
      <c r="J36" s="168"/>
      <c r="K36" s="169">
        <v>1240</v>
      </c>
      <c r="L36" s="169"/>
      <c r="M36" s="169"/>
      <c r="N36" s="166">
        <v>990</v>
      </c>
      <c r="O36" s="167"/>
      <c r="P36" s="168"/>
      <c r="Q36" s="170">
        <v>985.65</v>
      </c>
      <c r="R36" s="171"/>
      <c r="S36" s="172"/>
      <c r="T36" s="166">
        <v>881.77</v>
      </c>
      <c r="U36" s="167"/>
      <c r="V36" s="168"/>
      <c r="W36" s="170">
        <f>840</f>
        <v>840</v>
      </c>
      <c r="X36" s="171"/>
      <c r="Y36" s="171"/>
      <c r="Z36" s="170">
        <f>1260</f>
        <v>1260</v>
      </c>
      <c r="AA36" s="171"/>
      <c r="AB36" s="172"/>
      <c r="AC36" s="173">
        <f>1260</f>
        <v>1260</v>
      </c>
      <c r="AD36" s="173"/>
      <c r="AE36" s="173"/>
      <c r="AF36" s="170">
        <f>840</f>
        <v>840</v>
      </c>
      <c r="AG36" s="171"/>
      <c r="AH36" s="171"/>
      <c r="AI36" s="173">
        <f>840</f>
        <v>840</v>
      </c>
      <c r="AJ36" s="173"/>
      <c r="AK36" s="170"/>
      <c r="AL36" s="173">
        <f>1300</f>
        <v>1300</v>
      </c>
      <c r="AM36" s="173"/>
      <c r="AN36" s="170"/>
      <c r="AO36" s="165">
        <f>1200+840+1240+990+985.65+881.77+840+1260+1260+840+840+1300</f>
        <v>12477.42</v>
      </c>
      <c r="AP36" s="165"/>
      <c r="AQ36" s="165"/>
      <c r="AR36" s="174">
        <f>AO36/AO100</f>
        <v>1.8735529610457505E-2</v>
      </c>
      <c r="AS36" s="173">
        <f>28580.54+AO36</f>
        <v>41057.96</v>
      </c>
      <c r="AT36" s="173"/>
    </row>
    <row r="37" spans="1:46" x14ac:dyDescent="0.25">
      <c r="A37" s="164" t="s">
        <v>42</v>
      </c>
      <c r="B37" s="165">
        <f>45518.05</f>
        <v>45518.05</v>
      </c>
      <c r="C37" s="165"/>
      <c r="D37" s="165"/>
      <c r="E37" s="166">
        <v>0</v>
      </c>
      <c r="F37" s="167"/>
      <c r="G37" s="168"/>
      <c r="H37" s="166">
        <v>4692.5</v>
      </c>
      <c r="I37" s="167"/>
      <c r="J37" s="168"/>
      <c r="K37" s="169">
        <v>4692.5</v>
      </c>
      <c r="L37" s="169"/>
      <c r="M37" s="169"/>
      <c r="N37" s="166">
        <v>4692.5</v>
      </c>
      <c r="O37" s="167"/>
      <c r="P37" s="168"/>
      <c r="Q37" s="170">
        <v>4692.5</v>
      </c>
      <c r="R37" s="171"/>
      <c r="S37" s="172"/>
      <c r="T37" s="166">
        <v>4692.5</v>
      </c>
      <c r="U37" s="167"/>
      <c r="V37" s="168"/>
      <c r="W37" s="170">
        <f>4692.5</f>
        <v>4692.5</v>
      </c>
      <c r="X37" s="171"/>
      <c r="Y37" s="171"/>
      <c r="Z37" s="170">
        <f>4692.5</f>
        <v>4692.5</v>
      </c>
      <c r="AA37" s="171"/>
      <c r="AB37" s="172"/>
      <c r="AC37" s="173">
        <f>4692.5</f>
        <v>4692.5</v>
      </c>
      <c r="AD37" s="173"/>
      <c r="AE37" s="173"/>
      <c r="AF37" s="170">
        <f>4846.41</f>
        <v>4846.41</v>
      </c>
      <c r="AG37" s="171"/>
      <c r="AH37" s="171"/>
      <c r="AI37" s="173">
        <f>4846.41</f>
        <v>4846.41</v>
      </c>
      <c r="AJ37" s="173"/>
      <c r="AK37" s="170"/>
      <c r="AL37" s="173">
        <f>4846.41</f>
        <v>4846.41</v>
      </c>
      <c r="AM37" s="173"/>
      <c r="AN37" s="170"/>
      <c r="AO37" s="165">
        <f>4692.5+4692.5+4692.5+4692.5+4692.5+4692.5+4692.5+4692.5+4846.41+4846.41+4846.41</f>
        <v>52079.23000000001</v>
      </c>
      <c r="AP37" s="165"/>
      <c r="AQ37" s="165"/>
      <c r="AR37" s="174">
        <f>AO37/AO100</f>
        <v>7.8199816609108852E-2</v>
      </c>
      <c r="AS37" s="173">
        <f>45518.05+AO37</f>
        <v>97597.280000000013</v>
      </c>
      <c r="AT37" s="173"/>
    </row>
    <row r="38" spans="1:46" x14ac:dyDescent="0.25">
      <c r="A38" s="164" t="s">
        <v>43</v>
      </c>
      <c r="B38" s="165">
        <f>17669.75</f>
        <v>17669.75</v>
      </c>
      <c r="C38" s="165"/>
      <c r="D38" s="165"/>
      <c r="E38" s="166">
        <v>0</v>
      </c>
      <c r="F38" s="167"/>
      <c r="G38" s="168"/>
      <c r="H38" s="166">
        <v>0</v>
      </c>
      <c r="I38" s="167"/>
      <c r="J38" s="168"/>
      <c r="K38" s="169">
        <v>0</v>
      </c>
      <c r="L38" s="169"/>
      <c r="M38" s="169"/>
      <c r="N38" s="166">
        <v>0</v>
      </c>
      <c r="O38" s="167"/>
      <c r="P38" s="168"/>
      <c r="Q38" s="170">
        <v>0</v>
      </c>
      <c r="R38" s="171"/>
      <c r="S38" s="172"/>
      <c r="T38" s="166">
        <v>0</v>
      </c>
      <c r="U38" s="167"/>
      <c r="V38" s="168"/>
      <c r="W38" s="170">
        <v>0</v>
      </c>
      <c r="X38" s="171"/>
      <c r="Y38" s="171"/>
      <c r="Z38" s="170">
        <v>0</v>
      </c>
      <c r="AA38" s="171"/>
      <c r="AB38" s="172"/>
      <c r="AC38" s="173">
        <v>0</v>
      </c>
      <c r="AD38" s="173"/>
      <c r="AE38" s="173"/>
      <c r="AF38" s="170">
        <f>4500</f>
        <v>4500</v>
      </c>
      <c r="AG38" s="171"/>
      <c r="AH38" s="171"/>
      <c r="AI38" s="173">
        <f>4500</f>
        <v>4500</v>
      </c>
      <c r="AJ38" s="173"/>
      <c r="AK38" s="170"/>
      <c r="AL38" s="173">
        <v>0</v>
      </c>
      <c r="AM38" s="173"/>
      <c r="AN38" s="170"/>
      <c r="AO38" s="165">
        <f>4500+4500</f>
        <v>9000</v>
      </c>
      <c r="AP38" s="165"/>
      <c r="AQ38" s="165"/>
      <c r="AR38" s="174">
        <f>AO38/AO100</f>
        <v>1.3513992996478241E-2</v>
      </c>
      <c r="AS38" s="173">
        <f>17669.75+AO38</f>
        <v>26669.75</v>
      </c>
      <c r="AT38" s="173"/>
    </row>
    <row r="39" spans="1:46" x14ac:dyDescent="0.25">
      <c r="A39" s="164" t="s">
        <v>44</v>
      </c>
      <c r="B39" s="165">
        <f>8289</f>
        <v>8289</v>
      </c>
      <c r="C39" s="165"/>
      <c r="D39" s="165"/>
      <c r="E39" s="166">
        <v>0</v>
      </c>
      <c r="F39" s="167"/>
      <c r="G39" s="168"/>
      <c r="H39" s="166">
        <v>0</v>
      </c>
      <c r="I39" s="167"/>
      <c r="J39" s="168"/>
      <c r="K39" s="169">
        <v>0</v>
      </c>
      <c r="L39" s="169"/>
      <c r="M39" s="169"/>
      <c r="N39" s="166">
        <v>0</v>
      </c>
      <c r="O39" s="167"/>
      <c r="P39" s="168"/>
      <c r="Q39" s="170">
        <v>0</v>
      </c>
      <c r="R39" s="171"/>
      <c r="S39" s="172"/>
      <c r="T39" s="166">
        <v>0</v>
      </c>
      <c r="U39" s="167"/>
      <c r="V39" s="168"/>
      <c r="W39" s="170">
        <v>0</v>
      </c>
      <c r="X39" s="171"/>
      <c r="Y39" s="171"/>
      <c r="Z39" s="170">
        <v>0</v>
      </c>
      <c r="AA39" s="171"/>
      <c r="AB39" s="172"/>
      <c r="AC39" s="173">
        <v>0</v>
      </c>
      <c r="AD39" s="173"/>
      <c r="AE39" s="173"/>
      <c r="AF39" s="170">
        <v>0</v>
      </c>
      <c r="AG39" s="171"/>
      <c r="AH39" s="171"/>
      <c r="AI39" s="173">
        <v>0</v>
      </c>
      <c r="AJ39" s="173"/>
      <c r="AK39" s="170"/>
      <c r="AL39" s="173">
        <v>0</v>
      </c>
      <c r="AM39" s="173"/>
      <c r="AN39" s="170"/>
      <c r="AO39" s="165">
        <v>0</v>
      </c>
      <c r="AP39" s="165"/>
      <c r="AQ39" s="165"/>
      <c r="AR39" s="174">
        <f>AO39/AO100</f>
        <v>0</v>
      </c>
      <c r="AS39" s="173">
        <f>8289+AO39</f>
        <v>8289</v>
      </c>
      <c r="AT39" s="173"/>
    </row>
    <row r="40" spans="1:46" x14ac:dyDescent="0.25">
      <c r="A40" s="164" t="s">
        <v>45</v>
      </c>
      <c r="B40" s="165">
        <f>7863.4</f>
        <v>7863.4</v>
      </c>
      <c r="C40" s="165"/>
      <c r="D40" s="165"/>
      <c r="E40" s="166">
        <v>0</v>
      </c>
      <c r="F40" s="167"/>
      <c r="G40" s="168"/>
      <c r="H40" s="166">
        <v>0</v>
      </c>
      <c r="I40" s="167"/>
      <c r="J40" s="168"/>
      <c r="K40" s="169">
        <v>0</v>
      </c>
      <c r="L40" s="169"/>
      <c r="M40" s="169"/>
      <c r="N40" s="166">
        <v>0</v>
      </c>
      <c r="O40" s="167"/>
      <c r="P40" s="168"/>
      <c r="Q40" s="170">
        <v>0</v>
      </c>
      <c r="R40" s="171"/>
      <c r="S40" s="172"/>
      <c r="T40" s="166">
        <v>0</v>
      </c>
      <c r="U40" s="167"/>
      <c r="V40" s="168"/>
      <c r="W40" s="170">
        <v>0</v>
      </c>
      <c r="X40" s="171"/>
      <c r="Y40" s="171"/>
      <c r="Z40" s="170">
        <v>0</v>
      </c>
      <c r="AA40" s="171"/>
      <c r="AB40" s="172"/>
      <c r="AC40" s="173">
        <v>0</v>
      </c>
      <c r="AD40" s="173"/>
      <c r="AE40" s="173"/>
      <c r="AF40" s="170">
        <v>0</v>
      </c>
      <c r="AG40" s="171"/>
      <c r="AH40" s="171"/>
      <c r="AI40" s="173">
        <v>0</v>
      </c>
      <c r="AJ40" s="173"/>
      <c r="AK40" s="170"/>
      <c r="AL40" s="173">
        <v>0</v>
      </c>
      <c r="AM40" s="173"/>
      <c r="AN40" s="170"/>
      <c r="AO40" s="165">
        <f>0</f>
        <v>0</v>
      </c>
      <c r="AP40" s="165"/>
      <c r="AQ40" s="165"/>
      <c r="AR40" s="174">
        <f>AO40/AO100</f>
        <v>0</v>
      </c>
      <c r="AS40" s="173">
        <f>7863.4+AO40</f>
        <v>7863.4</v>
      </c>
      <c r="AT40" s="173"/>
    </row>
    <row r="41" spans="1:46" x14ac:dyDescent="0.25">
      <c r="A41" s="164" t="s">
        <v>46</v>
      </c>
      <c r="B41" s="165">
        <f>2005</f>
        <v>2005</v>
      </c>
      <c r="C41" s="165"/>
      <c r="D41" s="165"/>
      <c r="E41" s="166">
        <v>0</v>
      </c>
      <c r="F41" s="167"/>
      <c r="G41" s="168"/>
      <c r="H41" s="166">
        <v>0</v>
      </c>
      <c r="I41" s="167"/>
      <c r="J41" s="168"/>
      <c r="K41" s="169">
        <v>0</v>
      </c>
      <c r="L41" s="169"/>
      <c r="M41" s="169"/>
      <c r="N41" s="166">
        <v>0</v>
      </c>
      <c r="O41" s="167"/>
      <c r="P41" s="168"/>
      <c r="Q41" s="170">
        <v>0</v>
      </c>
      <c r="R41" s="171"/>
      <c r="S41" s="172"/>
      <c r="T41" s="166">
        <v>0</v>
      </c>
      <c r="U41" s="167"/>
      <c r="V41" s="168"/>
      <c r="W41" s="170">
        <v>0</v>
      </c>
      <c r="X41" s="171"/>
      <c r="Y41" s="171"/>
      <c r="Z41" s="170">
        <v>0</v>
      </c>
      <c r="AA41" s="171"/>
      <c r="AB41" s="172"/>
      <c r="AC41" s="173">
        <v>0</v>
      </c>
      <c r="AD41" s="173"/>
      <c r="AE41" s="173"/>
      <c r="AF41" s="170">
        <v>0</v>
      </c>
      <c r="AG41" s="171"/>
      <c r="AH41" s="171"/>
      <c r="AI41" s="173">
        <v>0</v>
      </c>
      <c r="AJ41" s="173"/>
      <c r="AK41" s="170"/>
      <c r="AL41" s="173">
        <v>0</v>
      </c>
      <c r="AM41" s="173"/>
      <c r="AN41" s="170"/>
      <c r="AO41" s="165">
        <v>0</v>
      </c>
      <c r="AP41" s="165"/>
      <c r="AQ41" s="165"/>
      <c r="AR41" s="174">
        <f>AO41/AO100</f>
        <v>0</v>
      </c>
      <c r="AS41" s="173">
        <f>2005+AO41</f>
        <v>2005</v>
      </c>
      <c r="AT41" s="173"/>
    </row>
    <row r="42" spans="1:46" x14ac:dyDescent="0.25">
      <c r="A42" s="154" t="s">
        <v>47</v>
      </c>
      <c r="B42" s="155">
        <f>SUM(B43:D44)</f>
        <v>366074.13</v>
      </c>
      <c r="C42" s="155"/>
      <c r="D42" s="155"/>
      <c r="E42" s="155">
        <f t="shared" ref="E42" si="3">SUM(E43:G44)</f>
        <v>0</v>
      </c>
      <c r="F42" s="155"/>
      <c r="G42" s="155"/>
      <c r="H42" s="155">
        <f t="shared" ref="H42" si="4">SUM(H43:J44)</f>
        <v>0</v>
      </c>
      <c r="I42" s="155"/>
      <c r="J42" s="155"/>
      <c r="K42" s="155">
        <f t="shared" ref="K42" si="5">SUM(K43:M44)</f>
        <v>0</v>
      </c>
      <c r="L42" s="155"/>
      <c r="M42" s="155"/>
      <c r="N42" s="155">
        <f t="shared" ref="N42" si="6">SUM(N43:P44)</f>
        <v>0</v>
      </c>
      <c r="O42" s="155"/>
      <c r="P42" s="155"/>
      <c r="Q42" s="155">
        <f t="shared" ref="Q42" si="7">SUM(Q43:S44)</f>
        <v>0</v>
      </c>
      <c r="R42" s="155"/>
      <c r="S42" s="155"/>
      <c r="T42" s="155">
        <f t="shared" ref="T42" si="8">SUM(T43:V44)</f>
        <v>0</v>
      </c>
      <c r="U42" s="155"/>
      <c r="V42" s="155"/>
      <c r="W42" s="155">
        <f>SUM(W43:Y44)</f>
        <v>0</v>
      </c>
      <c r="X42" s="155"/>
      <c r="Y42" s="160"/>
      <c r="Z42" s="155">
        <f>SUM(Z43:AB44)</f>
        <v>0</v>
      </c>
      <c r="AA42" s="155"/>
      <c r="AB42" s="160"/>
      <c r="AC42" s="155">
        <f>SUM(AC43:AE44)</f>
        <v>0</v>
      </c>
      <c r="AD42" s="155"/>
      <c r="AE42" s="155"/>
      <c r="AF42" s="155">
        <f>SUM(AF43:AH44)</f>
        <v>0</v>
      </c>
      <c r="AG42" s="155"/>
      <c r="AH42" s="160"/>
      <c r="AI42" s="155">
        <f>SUM(AI43:AK45)</f>
        <v>1000</v>
      </c>
      <c r="AJ42" s="155"/>
      <c r="AK42" s="160"/>
      <c r="AL42" s="155">
        <f>SUM(AL43:AN45)</f>
        <v>13339.72</v>
      </c>
      <c r="AM42" s="155"/>
      <c r="AN42" s="160"/>
      <c r="AO42" s="155">
        <f>SUM(AO43:AQ45)</f>
        <v>14339.72</v>
      </c>
      <c r="AP42" s="155"/>
      <c r="AQ42" s="155"/>
      <c r="AR42" s="176">
        <f>AO42/AO100</f>
        <v>2.1531875072384327E-2</v>
      </c>
      <c r="AS42" s="177">
        <f>SUM(AS43:AT45)</f>
        <v>380413.85</v>
      </c>
      <c r="AT42" s="177"/>
    </row>
    <row r="43" spans="1:46" x14ac:dyDescent="0.25">
      <c r="A43" s="164" t="s">
        <v>48</v>
      </c>
      <c r="B43" s="165">
        <f>214077.5</f>
        <v>214077.5</v>
      </c>
      <c r="C43" s="165"/>
      <c r="D43" s="165"/>
      <c r="E43" s="166">
        <v>0</v>
      </c>
      <c r="F43" s="167"/>
      <c r="G43" s="168"/>
      <c r="H43" s="166">
        <v>0</v>
      </c>
      <c r="I43" s="167"/>
      <c r="J43" s="168"/>
      <c r="K43" s="169">
        <v>0</v>
      </c>
      <c r="L43" s="169"/>
      <c r="M43" s="169"/>
      <c r="N43" s="166">
        <v>0</v>
      </c>
      <c r="O43" s="167"/>
      <c r="P43" s="168"/>
      <c r="Q43" s="170">
        <v>0</v>
      </c>
      <c r="R43" s="171"/>
      <c r="S43" s="172"/>
      <c r="T43" s="166">
        <v>0</v>
      </c>
      <c r="U43" s="167"/>
      <c r="V43" s="168"/>
      <c r="W43" s="170">
        <v>0</v>
      </c>
      <c r="X43" s="171"/>
      <c r="Y43" s="171"/>
      <c r="Z43" s="170">
        <v>0</v>
      </c>
      <c r="AA43" s="171"/>
      <c r="AB43" s="172"/>
      <c r="AC43" s="173">
        <v>0</v>
      </c>
      <c r="AD43" s="173"/>
      <c r="AE43" s="173"/>
      <c r="AF43" s="170">
        <v>0</v>
      </c>
      <c r="AG43" s="171"/>
      <c r="AH43" s="171"/>
      <c r="AI43" s="173">
        <v>0</v>
      </c>
      <c r="AJ43" s="173"/>
      <c r="AK43" s="170"/>
      <c r="AL43" s="173">
        <v>0</v>
      </c>
      <c r="AM43" s="173"/>
      <c r="AN43" s="170"/>
      <c r="AO43" s="165">
        <v>0</v>
      </c>
      <c r="AP43" s="165"/>
      <c r="AQ43" s="165"/>
      <c r="AR43" s="174">
        <f>AO43/AO100</f>
        <v>0</v>
      </c>
      <c r="AS43" s="173">
        <f>214077.5+AO43</f>
        <v>214077.5</v>
      </c>
      <c r="AT43" s="173"/>
    </row>
    <row r="44" spans="1:46" x14ac:dyDescent="0.25">
      <c r="A44" s="164" t="s">
        <v>49</v>
      </c>
      <c r="B44" s="165">
        <f>151996.63</f>
        <v>151996.63</v>
      </c>
      <c r="C44" s="165"/>
      <c r="D44" s="165"/>
      <c r="E44" s="166">
        <v>0</v>
      </c>
      <c r="F44" s="167"/>
      <c r="G44" s="168"/>
      <c r="H44" s="166">
        <v>0</v>
      </c>
      <c r="I44" s="167"/>
      <c r="J44" s="168"/>
      <c r="K44" s="169">
        <v>0</v>
      </c>
      <c r="L44" s="169"/>
      <c r="M44" s="169"/>
      <c r="N44" s="166">
        <v>0</v>
      </c>
      <c r="O44" s="167"/>
      <c r="P44" s="168"/>
      <c r="Q44" s="170">
        <v>0</v>
      </c>
      <c r="R44" s="171"/>
      <c r="S44" s="172"/>
      <c r="T44" s="166">
        <v>0</v>
      </c>
      <c r="U44" s="167"/>
      <c r="V44" s="168"/>
      <c r="W44" s="170">
        <v>0</v>
      </c>
      <c r="X44" s="171"/>
      <c r="Y44" s="171"/>
      <c r="Z44" s="170">
        <v>0</v>
      </c>
      <c r="AA44" s="171"/>
      <c r="AB44" s="172"/>
      <c r="AC44" s="173">
        <v>0</v>
      </c>
      <c r="AD44" s="173"/>
      <c r="AE44" s="173"/>
      <c r="AF44" s="170">
        <v>0</v>
      </c>
      <c r="AG44" s="171"/>
      <c r="AH44" s="171"/>
      <c r="AI44" s="173">
        <v>0</v>
      </c>
      <c r="AJ44" s="173"/>
      <c r="AK44" s="170"/>
      <c r="AL44" s="173">
        <v>0</v>
      </c>
      <c r="AM44" s="173"/>
      <c r="AN44" s="170"/>
      <c r="AO44" s="165">
        <v>0</v>
      </c>
      <c r="AP44" s="165"/>
      <c r="AQ44" s="165"/>
      <c r="AR44" s="174">
        <f>AO44/AO100</f>
        <v>0</v>
      </c>
      <c r="AS44" s="173">
        <f>151996.63+AO44</f>
        <v>151996.63</v>
      </c>
      <c r="AT44" s="173"/>
    </row>
    <row r="45" spans="1:46" x14ac:dyDescent="0.25">
      <c r="A45" s="164" t="s">
        <v>50</v>
      </c>
      <c r="B45" s="33">
        <v>0</v>
      </c>
      <c r="C45" s="34"/>
      <c r="D45" s="35"/>
      <c r="E45" s="170">
        <v>0</v>
      </c>
      <c r="F45" s="171"/>
      <c r="G45" s="172"/>
      <c r="H45" s="170">
        <v>0</v>
      </c>
      <c r="I45" s="171"/>
      <c r="J45" s="172"/>
      <c r="K45" s="170">
        <v>0</v>
      </c>
      <c r="L45" s="171"/>
      <c r="M45" s="172"/>
      <c r="N45" s="170">
        <v>0</v>
      </c>
      <c r="O45" s="171"/>
      <c r="P45" s="172"/>
      <c r="Q45" s="170">
        <v>0</v>
      </c>
      <c r="R45" s="171"/>
      <c r="S45" s="172"/>
      <c r="T45" s="170">
        <v>0</v>
      </c>
      <c r="U45" s="171"/>
      <c r="V45" s="172"/>
      <c r="W45" s="170">
        <v>0</v>
      </c>
      <c r="X45" s="171"/>
      <c r="Y45" s="172"/>
      <c r="Z45" s="170">
        <v>0</v>
      </c>
      <c r="AA45" s="171"/>
      <c r="AB45" s="172"/>
      <c r="AC45" s="170">
        <v>0</v>
      </c>
      <c r="AD45" s="171"/>
      <c r="AE45" s="172"/>
      <c r="AF45" s="170">
        <v>0</v>
      </c>
      <c r="AG45" s="171"/>
      <c r="AH45" s="172"/>
      <c r="AI45" s="170">
        <f>250+250+250+250</f>
        <v>1000</v>
      </c>
      <c r="AJ45" s="171"/>
      <c r="AK45" s="171"/>
      <c r="AL45" s="173">
        <f>13339.72</f>
        <v>13339.72</v>
      </c>
      <c r="AM45" s="173"/>
      <c r="AN45" s="170"/>
      <c r="AO45" s="33">
        <f>0+1000+13339.72</f>
        <v>14339.72</v>
      </c>
      <c r="AP45" s="34"/>
      <c r="AQ45" s="35"/>
      <c r="AR45" s="174">
        <f>AO45/AO101</f>
        <v>2.8039832905143943E-2</v>
      </c>
      <c r="AS45" s="170">
        <f>0+AO45</f>
        <v>14339.72</v>
      </c>
      <c r="AT45" s="172"/>
    </row>
    <row r="46" spans="1:46" x14ac:dyDescent="0.25">
      <c r="A46" s="154" t="s">
        <v>51</v>
      </c>
      <c r="B46" s="155">
        <f>SUM(B47:D49)</f>
        <v>57379.83</v>
      </c>
      <c r="C46" s="155"/>
      <c r="D46" s="155"/>
      <c r="E46" s="155">
        <f t="shared" ref="E46" si="9">SUM(E47:G49)</f>
        <v>0</v>
      </c>
      <c r="F46" s="155"/>
      <c r="G46" s="155"/>
      <c r="H46" s="155">
        <f t="shared" ref="H46" si="10">SUM(H47:J49)</f>
        <v>12.25</v>
      </c>
      <c r="I46" s="155"/>
      <c r="J46" s="155"/>
      <c r="K46" s="155">
        <f t="shared" ref="K46" si="11">SUM(K47:M49)</f>
        <v>9.5</v>
      </c>
      <c r="L46" s="155"/>
      <c r="M46" s="155"/>
      <c r="N46" s="155">
        <f t="shared" ref="N46" si="12">SUM(N47:P49)</f>
        <v>0</v>
      </c>
      <c r="O46" s="155"/>
      <c r="P46" s="155"/>
      <c r="Q46" s="155">
        <f t="shared" ref="Q46" si="13">SUM(Q47:S49)</f>
        <v>8265</v>
      </c>
      <c r="R46" s="155"/>
      <c r="S46" s="155"/>
      <c r="T46" s="155">
        <f t="shared" ref="T46" si="14">SUM(T47:V49)</f>
        <v>0</v>
      </c>
      <c r="U46" s="155"/>
      <c r="V46" s="155"/>
      <c r="W46" s="155">
        <f t="shared" ref="W46" si="15">SUM(W47:Y49)</f>
        <v>1449.95</v>
      </c>
      <c r="X46" s="155"/>
      <c r="Y46" s="160"/>
      <c r="Z46" s="155">
        <f>SUM(Z47:AB49)</f>
        <v>6.25</v>
      </c>
      <c r="AA46" s="155"/>
      <c r="AB46" s="160"/>
      <c r="AC46" s="155">
        <f>SUM(AC47:AE49)</f>
        <v>176.58</v>
      </c>
      <c r="AD46" s="155"/>
      <c r="AE46" s="155"/>
      <c r="AF46" s="155">
        <f>SUM(AF47:AH49)</f>
        <v>0</v>
      </c>
      <c r="AG46" s="155"/>
      <c r="AH46" s="160"/>
      <c r="AI46" s="155">
        <f>SUM(AI47:AK49)</f>
        <v>10505.9</v>
      </c>
      <c r="AJ46" s="155"/>
      <c r="AK46" s="160"/>
      <c r="AL46" s="155">
        <f>SUM(AL47:AN49)</f>
        <v>0</v>
      </c>
      <c r="AM46" s="155"/>
      <c r="AN46" s="160"/>
      <c r="AO46" s="155">
        <f>SUM(AO47:AQ49)</f>
        <v>20425.43</v>
      </c>
      <c r="AP46" s="155"/>
      <c r="AQ46" s="155"/>
      <c r="AR46" s="162">
        <f>AO46/AO100</f>
        <v>3.0669901996672952E-2</v>
      </c>
      <c r="AS46" s="163">
        <f>SUM(AS47:AT49)</f>
        <v>77211.740000000005</v>
      </c>
      <c r="AT46" s="163"/>
    </row>
    <row r="47" spans="1:46" x14ac:dyDescent="0.25">
      <c r="A47" s="164" t="s">
        <v>52</v>
      </c>
      <c r="B47" s="178">
        <f>3448.33</f>
        <v>3448.33</v>
      </c>
      <c r="C47" s="178"/>
      <c r="D47" s="178"/>
      <c r="E47" s="166">
        <v>0</v>
      </c>
      <c r="F47" s="167"/>
      <c r="G47" s="168"/>
      <c r="H47" s="166">
        <v>0</v>
      </c>
      <c r="I47" s="167"/>
      <c r="J47" s="168"/>
      <c r="K47" s="169">
        <v>0</v>
      </c>
      <c r="L47" s="169"/>
      <c r="M47" s="169"/>
      <c r="N47" s="166">
        <v>0</v>
      </c>
      <c r="O47" s="167"/>
      <c r="P47" s="168"/>
      <c r="Q47" s="170">
        <v>0</v>
      </c>
      <c r="R47" s="171"/>
      <c r="S47" s="172"/>
      <c r="T47" s="166">
        <v>0</v>
      </c>
      <c r="U47" s="167"/>
      <c r="V47" s="168"/>
      <c r="W47" s="179">
        <v>0</v>
      </c>
      <c r="X47" s="180"/>
      <c r="Y47" s="180"/>
      <c r="Z47" s="170">
        <v>0</v>
      </c>
      <c r="AA47" s="171"/>
      <c r="AB47" s="172"/>
      <c r="AC47" s="173">
        <f>176.58</f>
        <v>176.58</v>
      </c>
      <c r="AD47" s="173"/>
      <c r="AE47" s="173"/>
      <c r="AF47" s="170">
        <v>0</v>
      </c>
      <c r="AG47" s="171"/>
      <c r="AH47" s="171"/>
      <c r="AI47" s="173">
        <v>0</v>
      </c>
      <c r="AJ47" s="173"/>
      <c r="AK47" s="170"/>
      <c r="AL47" s="173">
        <v>0</v>
      </c>
      <c r="AM47" s="173"/>
      <c r="AN47" s="170"/>
      <c r="AO47" s="165">
        <f>176.58</f>
        <v>176.58</v>
      </c>
      <c r="AP47" s="165"/>
      <c r="AQ47" s="165"/>
      <c r="AR47" s="174">
        <f>AO47/AO100</f>
        <v>2.6514454259090312E-4</v>
      </c>
      <c r="AS47" s="173">
        <f>3238.33+AO47</f>
        <v>3414.91</v>
      </c>
      <c r="AT47" s="173"/>
    </row>
    <row r="48" spans="1:46" x14ac:dyDescent="0.25">
      <c r="A48" s="164" t="s">
        <v>53</v>
      </c>
      <c r="B48" s="165">
        <f>8945.5</f>
        <v>8945.5</v>
      </c>
      <c r="C48" s="165"/>
      <c r="D48" s="165"/>
      <c r="E48" s="166">
        <v>0</v>
      </c>
      <c r="F48" s="167"/>
      <c r="G48" s="168"/>
      <c r="H48" s="166">
        <v>12.25</v>
      </c>
      <c r="I48" s="167"/>
      <c r="J48" s="168"/>
      <c r="K48" s="169">
        <v>9.5</v>
      </c>
      <c r="L48" s="169"/>
      <c r="M48" s="169"/>
      <c r="N48" s="166">
        <v>0</v>
      </c>
      <c r="O48" s="167"/>
      <c r="P48" s="168"/>
      <c r="Q48" s="170">
        <v>0</v>
      </c>
      <c r="R48" s="171"/>
      <c r="S48" s="172"/>
      <c r="T48" s="166">
        <v>0</v>
      </c>
      <c r="U48" s="167"/>
      <c r="V48" s="168"/>
      <c r="W48" s="170">
        <f>1449.95</f>
        <v>1449.95</v>
      </c>
      <c r="X48" s="171"/>
      <c r="Y48" s="171"/>
      <c r="Z48" s="170">
        <f>6.25</f>
        <v>6.25</v>
      </c>
      <c r="AA48" s="171"/>
      <c r="AB48" s="172"/>
      <c r="AC48" s="173">
        <v>0</v>
      </c>
      <c r="AD48" s="173"/>
      <c r="AE48" s="173"/>
      <c r="AF48" s="170">
        <v>0</v>
      </c>
      <c r="AG48" s="171"/>
      <c r="AH48" s="171"/>
      <c r="AI48" s="173">
        <f>1575.9</f>
        <v>1575.9</v>
      </c>
      <c r="AJ48" s="173"/>
      <c r="AK48" s="170"/>
      <c r="AL48" s="173">
        <v>0</v>
      </c>
      <c r="AM48" s="173"/>
      <c r="AN48" s="170"/>
      <c r="AO48" s="165">
        <f>12.25+9.5+1449.95+6.25+1575.9</f>
        <v>3053.8500000000004</v>
      </c>
      <c r="AP48" s="165"/>
      <c r="AQ48" s="165"/>
      <c r="AR48" s="174">
        <f>AO48/AO100</f>
        <v>4.5855230569216759E-3</v>
      </c>
      <c r="AS48" s="173">
        <f>8561.98+AO48</f>
        <v>11615.83</v>
      </c>
      <c r="AT48" s="173"/>
    </row>
    <row r="49" spans="1:46" x14ac:dyDescent="0.25">
      <c r="A49" s="164" t="s">
        <v>54</v>
      </c>
      <c r="B49" s="165">
        <f>44986</f>
        <v>44986</v>
      </c>
      <c r="C49" s="165"/>
      <c r="D49" s="165"/>
      <c r="E49" s="166">
        <v>0</v>
      </c>
      <c r="F49" s="167"/>
      <c r="G49" s="168"/>
      <c r="H49" s="166">
        <v>0</v>
      </c>
      <c r="I49" s="167"/>
      <c r="J49" s="168"/>
      <c r="K49" s="169">
        <v>0</v>
      </c>
      <c r="L49" s="169"/>
      <c r="M49" s="169"/>
      <c r="N49" s="166">
        <v>0</v>
      </c>
      <c r="O49" s="167"/>
      <c r="P49" s="168"/>
      <c r="Q49" s="170">
        <v>8265</v>
      </c>
      <c r="R49" s="171"/>
      <c r="S49" s="172"/>
      <c r="T49" s="166">
        <v>0</v>
      </c>
      <c r="U49" s="167"/>
      <c r="V49" s="168"/>
      <c r="W49" s="170">
        <v>0</v>
      </c>
      <c r="X49" s="171"/>
      <c r="Y49" s="171"/>
      <c r="Z49" s="170">
        <v>0</v>
      </c>
      <c r="AA49" s="171"/>
      <c r="AB49" s="172"/>
      <c r="AC49" s="173">
        <v>0</v>
      </c>
      <c r="AD49" s="173"/>
      <c r="AE49" s="173"/>
      <c r="AF49" s="170">
        <v>0</v>
      </c>
      <c r="AG49" s="171"/>
      <c r="AH49" s="171"/>
      <c r="AI49" s="173">
        <f>8930</f>
        <v>8930</v>
      </c>
      <c r="AJ49" s="173"/>
      <c r="AK49" s="170"/>
      <c r="AL49" s="173">
        <v>0</v>
      </c>
      <c r="AM49" s="173"/>
      <c r="AN49" s="170"/>
      <c r="AO49" s="165">
        <f>8265+8930</f>
        <v>17195</v>
      </c>
      <c r="AP49" s="165"/>
      <c r="AQ49" s="165"/>
      <c r="AR49" s="174">
        <f>AO49/AO100</f>
        <v>2.5819234397160374E-2</v>
      </c>
      <c r="AS49" s="173">
        <f>44986+AO49</f>
        <v>62181</v>
      </c>
      <c r="AT49" s="173"/>
    </row>
    <row r="50" spans="1:46" x14ac:dyDescent="0.25">
      <c r="A50" s="154" t="s">
        <v>55</v>
      </c>
      <c r="B50" s="155">
        <f>SUM(B51:D62)</f>
        <v>196250.06</v>
      </c>
      <c r="C50" s="155"/>
      <c r="D50" s="155"/>
      <c r="E50" s="155">
        <f t="shared" ref="E50" si="16">SUM(E51:G62)</f>
        <v>3394.76</v>
      </c>
      <c r="F50" s="155"/>
      <c r="G50" s="155"/>
      <c r="H50" s="155">
        <f t="shared" ref="H50" si="17">SUM(H51:J62)</f>
        <v>3445.4700000000003</v>
      </c>
      <c r="I50" s="155"/>
      <c r="J50" s="155"/>
      <c r="K50" s="155">
        <f t="shared" ref="K50" si="18">SUM(K51:M62)</f>
        <v>3648.71</v>
      </c>
      <c r="L50" s="155"/>
      <c r="M50" s="155"/>
      <c r="N50" s="155">
        <f t="shared" ref="N50" si="19">SUM(N51:P62)</f>
        <v>3566.1600000000003</v>
      </c>
      <c r="O50" s="155"/>
      <c r="P50" s="155"/>
      <c r="Q50" s="155">
        <f t="shared" ref="Q50" si="20">SUM(Q51:S62)</f>
        <v>5452.22</v>
      </c>
      <c r="R50" s="155"/>
      <c r="S50" s="155"/>
      <c r="T50" s="155">
        <f t="shared" ref="T50" si="21">SUM(T51:V62)</f>
        <v>5594.24</v>
      </c>
      <c r="U50" s="155"/>
      <c r="V50" s="155"/>
      <c r="W50" s="155">
        <f>SUM(W51:Y62)</f>
        <v>3578.57</v>
      </c>
      <c r="X50" s="155"/>
      <c r="Y50" s="160"/>
      <c r="Z50" s="155">
        <f>SUM(Z51:AB62)</f>
        <v>3583.9700000000003</v>
      </c>
      <c r="AA50" s="155"/>
      <c r="AB50" s="160"/>
      <c r="AC50" s="155">
        <f>SUM(AC51:AE62)</f>
        <v>3583.52</v>
      </c>
      <c r="AD50" s="155"/>
      <c r="AE50" s="155"/>
      <c r="AF50" s="155">
        <f>SUM(AF51:AH62)</f>
        <v>3586.8</v>
      </c>
      <c r="AG50" s="155"/>
      <c r="AH50" s="160"/>
      <c r="AI50" s="155">
        <f>SUM(AI51:AK62)</f>
        <v>3615.02</v>
      </c>
      <c r="AJ50" s="155"/>
      <c r="AK50" s="160"/>
      <c r="AL50" s="155">
        <f>SUM(AL51:AN62)</f>
        <v>4956.72</v>
      </c>
      <c r="AM50" s="155"/>
      <c r="AN50" s="160"/>
      <c r="AO50" s="155">
        <f>SUM(AO51:AQ62)</f>
        <v>48006.159999999996</v>
      </c>
      <c r="AP50" s="155"/>
      <c r="AQ50" s="155"/>
      <c r="AR50" s="162">
        <f>AO50/AO100</f>
        <v>7.2083878891979314E-2</v>
      </c>
      <c r="AS50" s="163">
        <f>SUM(AS51:AT62)</f>
        <v>241215.44999999998</v>
      </c>
      <c r="AT50" s="163"/>
    </row>
    <row r="51" spans="1:46" x14ac:dyDescent="0.25">
      <c r="A51" s="181" t="s">
        <v>56</v>
      </c>
      <c r="B51" s="165">
        <f>5210.64</f>
        <v>5210.6400000000003</v>
      </c>
      <c r="C51" s="165"/>
      <c r="D51" s="165"/>
      <c r="E51" s="166">
        <v>0</v>
      </c>
      <c r="F51" s="167"/>
      <c r="G51" s="168"/>
      <c r="H51" s="166">
        <v>0</v>
      </c>
      <c r="I51" s="167"/>
      <c r="J51" s="168"/>
      <c r="K51" s="169">
        <v>0</v>
      </c>
      <c r="L51" s="169"/>
      <c r="M51" s="169"/>
      <c r="N51" s="166">
        <v>0</v>
      </c>
      <c r="O51" s="167"/>
      <c r="P51" s="168"/>
      <c r="Q51" s="170">
        <v>0</v>
      </c>
      <c r="R51" s="171"/>
      <c r="S51" s="172"/>
      <c r="T51" s="166">
        <v>0</v>
      </c>
      <c r="U51" s="167"/>
      <c r="V51" s="168"/>
      <c r="W51" s="170">
        <v>0</v>
      </c>
      <c r="X51" s="171"/>
      <c r="Y51" s="171"/>
      <c r="Z51" s="170">
        <v>0</v>
      </c>
      <c r="AA51" s="171"/>
      <c r="AB51" s="172"/>
      <c r="AC51" s="173">
        <v>0</v>
      </c>
      <c r="AD51" s="173"/>
      <c r="AE51" s="173"/>
      <c r="AF51" s="170">
        <v>0</v>
      </c>
      <c r="AG51" s="171"/>
      <c r="AH51" s="171"/>
      <c r="AI51" s="173">
        <v>0</v>
      </c>
      <c r="AJ51" s="173"/>
      <c r="AK51" s="170"/>
      <c r="AL51" s="173">
        <v>0</v>
      </c>
      <c r="AM51" s="173"/>
      <c r="AN51" s="170"/>
      <c r="AO51" s="33">
        <v>0</v>
      </c>
      <c r="AP51" s="34"/>
      <c r="AQ51" s="35"/>
      <c r="AR51" s="174">
        <f>AO51/AO100</f>
        <v>0</v>
      </c>
      <c r="AS51" s="182">
        <f>28211.28+AO51</f>
        <v>28211.279999999999</v>
      </c>
      <c r="AT51" s="183"/>
    </row>
    <row r="52" spans="1:46" x14ac:dyDescent="0.25">
      <c r="A52" s="164" t="s">
        <v>57</v>
      </c>
      <c r="B52" s="165">
        <f>7320</f>
        <v>7320</v>
      </c>
      <c r="C52" s="165"/>
      <c r="D52" s="165"/>
      <c r="E52" s="166">
        <v>0</v>
      </c>
      <c r="F52" s="167"/>
      <c r="G52" s="168"/>
      <c r="H52" s="166">
        <v>0</v>
      </c>
      <c r="I52" s="167"/>
      <c r="J52" s="168"/>
      <c r="K52" s="169">
        <v>0</v>
      </c>
      <c r="L52" s="169"/>
      <c r="M52" s="169"/>
      <c r="N52" s="166">
        <v>0</v>
      </c>
      <c r="O52" s="167"/>
      <c r="P52" s="168"/>
      <c r="Q52" s="170">
        <v>0</v>
      </c>
      <c r="R52" s="171"/>
      <c r="S52" s="172"/>
      <c r="T52" s="166">
        <v>2020</v>
      </c>
      <c r="U52" s="167"/>
      <c r="V52" s="168"/>
      <c r="W52" s="170">
        <v>0</v>
      </c>
      <c r="X52" s="171"/>
      <c r="Y52" s="171"/>
      <c r="Z52" s="170">
        <v>0</v>
      </c>
      <c r="AA52" s="171"/>
      <c r="AB52" s="172"/>
      <c r="AC52" s="173">
        <v>0</v>
      </c>
      <c r="AD52" s="173"/>
      <c r="AE52" s="173"/>
      <c r="AF52" s="170">
        <v>0</v>
      </c>
      <c r="AG52" s="171"/>
      <c r="AH52" s="171"/>
      <c r="AI52" s="173">
        <v>0</v>
      </c>
      <c r="AJ52" s="173"/>
      <c r="AK52" s="170"/>
      <c r="AL52" s="173">
        <v>0</v>
      </c>
      <c r="AM52" s="173"/>
      <c r="AN52" s="170"/>
      <c r="AO52" s="33">
        <f>2020</f>
        <v>2020</v>
      </c>
      <c r="AP52" s="34"/>
      <c r="AQ52" s="35"/>
      <c r="AR52" s="174">
        <f>AO52/AO100</f>
        <v>3.033140650320672E-3</v>
      </c>
      <c r="AS52" s="170">
        <f>7320+AO52</f>
        <v>9340</v>
      </c>
      <c r="AT52" s="172"/>
    </row>
    <row r="53" spans="1:46" x14ac:dyDescent="0.25">
      <c r="A53" s="164" t="s">
        <v>58</v>
      </c>
      <c r="B53" s="165">
        <f>38253.84</f>
        <v>38253.839999999997</v>
      </c>
      <c r="C53" s="165"/>
      <c r="D53" s="165"/>
      <c r="E53" s="166">
        <v>450</v>
      </c>
      <c r="F53" s="167"/>
      <c r="G53" s="168"/>
      <c r="H53" s="166">
        <v>450</v>
      </c>
      <c r="I53" s="167"/>
      <c r="J53" s="168"/>
      <c r="K53" s="169">
        <v>690</v>
      </c>
      <c r="L53" s="169"/>
      <c r="M53" s="169"/>
      <c r="N53" s="166">
        <v>450</v>
      </c>
      <c r="O53" s="167"/>
      <c r="P53" s="168"/>
      <c r="Q53" s="170">
        <v>450</v>
      </c>
      <c r="R53" s="171"/>
      <c r="S53" s="172"/>
      <c r="T53" s="166">
        <v>450</v>
      </c>
      <c r="U53" s="167"/>
      <c r="V53" s="168"/>
      <c r="W53" s="170">
        <f>450</f>
        <v>450</v>
      </c>
      <c r="X53" s="171"/>
      <c r="Y53" s="171"/>
      <c r="Z53" s="170">
        <f>450</f>
        <v>450</v>
      </c>
      <c r="AA53" s="171"/>
      <c r="AB53" s="172"/>
      <c r="AC53" s="173">
        <f>450</f>
        <v>450</v>
      </c>
      <c r="AD53" s="173"/>
      <c r="AE53" s="173"/>
      <c r="AF53" s="170">
        <f>450</f>
        <v>450</v>
      </c>
      <c r="AG53" s="171"/>
      <c r="AH53" s="171"/>
      <c r="AI53" s="173">
        <f>450</f>
        <v>450</v>
      </c>
      <c r="AJ53" s="173"/>
      <c r="AK53" s="170"/>
      <c r="AL53" s="173">
        <f>450</f>
        <v>450</v>
      </c>
      <c r="AM53" s="173"/>
      <c r="AN53" s="170"/>
      <c r="AO53" s="33">
        <f>450+450+690+450+450+450+450+450+450+450+450+450</f>
        <v>5640</v>
      </c>
      <c r="AP53" s="34"/>
      <c r="AQ53" s="35"/>
      <c r="AR53" s="174">
        <f>AO53/AO100</f>
        <v>8.4687689444596977E-3</v>
      </c>
      <c r="AS53" s="170">
        <f>11250+AO53</f>
        <v>16890</v>
      </c>
      <c r="AT53" s="172"/>
    </row>
    <row r="54" spans="1:46" x14ac:dyDescent="0.25">
      <c r="A54" s="164" t="s">
        <v>59</v>
      </c>
      <c r="B54" s="165">
        <f>43576.7</f>
        <v>43576.7</v>
      </c>
      <c r="C54" s="165"/>
      <c r="D54" s="165"/>
      <c r="E54" s="166">
        <v>0</v>
      </c>
      <c r="F54" s="167"/>
      <c r="G54" s="168"/>
      <c r="H54" s="166">
        <v>0</v>
      </c>
      <c r="I54" s="167"/>
      <c r="J54" s="168"/>
      <c r="K54" s="169">
        <v>0</v>
      </c>
      <c r="L54" s="169"/>
      <c r="M54" s="169"/>
      <c r="N54" s="166">
        <v>0</v>
      </c>
      <c r="O54" s="167"/>
      <c r="P54" s="168"/>
      <c r="Q54" s="170">
        <v>0</v>
      </c>
      <c r="R54" s="171"/>
      <c r="S54" s="172"/>
      <c r="T54" s="166">
        <v>0</v>
      </c>
      <c r="U54" s="167"/>
      <c r="V54" s="168"/>
      <c r="W54" s="170">
        <v>0</v>
      </c>
      <c r="X54" s="171"/>
      <c r="Y54" s="171"/>
      <c r="Z54" s="170">
        <v>0</v>
      </c>
      <c r="AA54" s="171"/>
      <c r="AB54" s="172"/>
      <c r="AC54" s="173">
        <v>0</v>
      </c>
      <c r="AD54" s="173"/>
      <c r="AE54" s="173"/>
      <c r="AF54" s="170">
        <v>0</v>
      </c>
      <c r="AG54" s="171"/>
      <c r="AH54" s="171"/>
      <c r="AI54" s="173">
        <v>0</v>
      </c>
      <c r="AJ54" s="173"/>
      <c r="AK54" s="170"/>
      <c r="AL54" s="173">
        <v>0</v>
      </c>
      <c r="AM54" s="173"/>
      <c r="AN54" s="170"/>
      <c r="AO54" s="33">
        <v>0</v>
      </c>
      <c r="AP54" s="34"/>
      <c r="AQ54" s="35"/>
      <c r="AR54" s="174">
        <f>AO54/AO100</f>
        <v>0</v>
      </c>
      <c r="AS54" s="170">
        <f>43576.7+AO54</f>
        <v>43576.7</v>
      </c>
      <c r="AT54" s="172"/>
    </row>
    <row r="55" spans="1:46" x14ac:dyDescent="0.25">
      <c r="A55" s="164" t="s">
        <v>60</v>
      </c>
      <c r="B55" s="165">
        <f>65396.1</f>
        <v>65396.1</v>
      </c>
      <c r="C55" s="165"/>
      <c r="D55" s="165"/>
      <c r="E55" s="166">
        <v>2581.65</v>
      </c>
      <c r="F55" s="167"/>
      <c r="G55" s="168"/>
      <c r="H55" s="166">
        <v>2590.5100000000002</v>
      </c>
      <c r="I55" s="167"/>
      <c r="J55" s="168"/>
      <c r="K55" s="169">
        <v>2595.6</v>
      </c>
      <c r="L55" s="169"/>
      <c r="M55" s="169"/>
      <c r="N55" s="166">
        <v>2597.4</v>
      </c>
      <c r="O55" s="167"/>
      <c r="P55" s="168"/>
      <c r="Q55" s="170">
        <v>2618.5500000000002</v>
      </c>
      <c r="R55" s="171"/>
      <c r="S55" s="172"/>
      <c r="T55" s="166">
        <v>2615.4</v>
      </c>
      <c r="U55" s="167"/>
      <c r="V55" s="168"/>
      <c r="W55" s="170">
        <f>2619.9</f>
        <v>2619.9</v>
      </c>
      <c r="X55" s="171"/>
      <c r="Y55" s="171"/>
      <c r="Z55" s="170">
        <f>2625.3</f>
        <v>2625.3</v>
      </c>
      <c r="AA55" s="171"/>
      <c r="AB55" s="172"/>
      <c r="AC55" s="173">
        <f>2624.85</f>
        <v>2624.85</v>
      </c>
      <c r="AD55" s="173"/>
      <c r="AE55" s="173"/>
      <c r="AF55" s="170">
        <f>2623.05</f>
        <v>2623.05</v>
      </c>
      <c r="AG55" s="171"/>
      <c r="AH55" s="171"/>
      <c r="AI55" s="173">
        <f>2656.35</f>
        <v>2656.35</v>
      </c>
      <c r="AJ55" s="173"/>
      <c r="AK55" s="170"/>
      <c r="AL55" s="173">
        <f>2713.05</f>
        <v>2713.05</v>
      </c>
      <c r="AM55" s="173"/>
      <c r="AN55" s="170"/>
      <c r="AO55" s="165">
        <f>2581.65+2590.51+2595.6+2597.4+2618.55+2615.4+2619.9+2625.3+2624.85+2623.05+2656.35+2713.05</f>
        <v>31461.609999999993</v>
      </c>
      <c r="AP55" s="165"/>
      <c r="AQ55" s="165"/>
      <c r="AR55" s="174">
        <f>AO55/AO100</f>
        <v>4.7241330799769964E-2</v>
      </c>
      <c r="AS55" s="184">
        <f>65396.1+AO55</f>
        <v>96857.709999999992</v>
      </c>
      <c r="AT55" s="184"/>
    </row>
    <row r="56" spans="1:46" x14ac:dyDescent="0.25">
      <c r="A56" s="164" t="s">
        <v>61</v>
      </c>
      <c r="B56" s="165">
        <f>5687.89</f>
        <v>5687.89</v>
      </c>
      <c r="C56" s="165"/>
      <c r="D56" s="165"/>
      <c r="E56" s="166">
        <v>273.11</v>
      </c>
      <c r="F56" s="167"/>
      <c r="G56" s="168"/>
      <c r="H56" s="166">
        <v>273.11</v>
      </c>
      <c r="I56" s="167"/>
      <c r="J56" s="168"/>
      <c r="K56" s="169">
        <v>273.11</v>
      </c>
      <c r="L56" s="169"/>
      <c r="M56" s="169"/>
      <c r="N56" s="166">
        <v>293.67</v>
      </c>
      <c r="O56" s="167"/>
      <c r="P56" s="168"/>
      <c r="Q56" s="170">
        <v>293.67</v>
      </c>
      <c r="R56" s="171"/>
      <c r="S56" s="172"/>
      <c r="T56" s="166">
        <v>293.67</v>
      </c>
      <c r="U56" s="167"/>
      <c r="V56" s="168"/>
      <c r="W56" s="170">
        <f>293.67</f>
        <v>293.67</v>
      </c>
      <c r="X56" s="171"/>
      <c r="Y56" s="171"/>
      <c r="Z56" s="170">
        <f>293.67</f>
        <v>293.67</v>
      </c>
      <c r="AA56" s="171"/>
      <c r="AB56" s="172"/>
      <c r="AC56" s="173">
        <f>293.67</f>
        <v>293.67</v>
      </c>
      <c r="AD56" s="173"/>
      <c r="AE56" s="173"/>
      <c r="AF56" s="170">
        <f>293.67</f>
        <v>293.67</v>
      </c>
      <c r="AG56" s="171"/>
      <c r="AH56" s="171"/>
      <c r="AI56" s="173">
        <f>293.67</f>
        <v>293.67</v>
      </c>
      <c r="AJ56" s="173"/>
      <c r="AK56" s="170"/>
      <c r="AL56" s="173">
        <f>293.67</f>
        <v>293.67</v>
      </c>
      <c r="AM56" s="173"/>
      <c r="AN56" s="170"/>
      <c r="AO56" s="165">
        <f>273.11+273.11+273.11+293.67+293.67+293.67+293.67+293.67+293.67+293.67+293.67+293.67</f>
        <v>3462.3600000000006</v>
      </c>
      <c r="AP56" s="165"/>
      <c r="AQ56" s="165"/>
      <c r="AR56" s="174">
        <f>AO56/AO100</f>
        <v>5.1989231990318234E-3</v>
      </c>
      <c r="AS56" s="173">
        <f>5687.89+AO56</f>
        <v>9150.25</v>
      </c>
      <c r="AT56" s="173"/>
    </row>
    <row r="57" spans="1:46" x14ac:dyDescent="0.25">
      <c r="A57" s="164" t="s">
        <v>62</v>
      </c>
      <c r="B57" s="165">
        <f>360</f>
        <v>360</v>
      </c>
      <c r="C57" s="165"/>
      <c r="D57" s="165"/>
      <c r="E57" s="166">
        <v>90</v>
      </c>
      <c r="F57" s="167"/>
      <c r="G57" s="168"/>
      <c r="H57" s="166">
        <v>131.85</v>
      </c>
      <c r="I57" s="167"/>
      <c r="J57" s="168"/>
      <c r="K57" s="169">
        <v>90</v>
      </c>
      <c r="L57" s="169"/>
      <c r="M57" s="169"/>
      <c r="N57" s="166">
        <v>225.09</v>
      </c>
      <c r="O57" s="167"/>
      <c r="P57" s="168"/>
      <c r="Q57" s="170">
        <v>90</v>
      </c>
      <c r="R57" s="171"/>
      <c r="S57" s="172"/>
      <c r="T57" s="166">
        <v>215.17</v>
      </c>
      <c r="U57" s="167"/>
      <c r="V57" s="168"/>
      <c r="W57" s="170">
        <f>215</f>
        <v>215</v>
      </c>
      <c r="X57" s="171"/>
      <c r="Y57" s="171"/>
      <c r="Z57" s="170">
        <f>215</f>
        <v>215</v>
      </c>
      <c r="AA57" s="171"/>
      <c r="AB57" s="172"/>
      <c r="AC57" s="173">
        <f>215</f>
        <v>215</v>
      </c>
      <c r="AD57" s="173"/>
      <c r="AE57" s="173"/>
      <c r="AF57" s="170">
        <f>220.08</f>
        <v>220.08</v>
      </c>
      <c r="AG57" s="171"/>
      <c r="AH57" s="171"/>
      <c r="AI57" s="173">
        <f>215</f>
        <v>215</v>
      </c>
      <c r="AJ57" s="173"/>
      <c r="AK57" s="170"/>
      <c r="AL57" s="173">
        <v>0</v>
      </c>
      <c r="AM57" s="173"/>
      <c r="AN57" s="170"/>
      <c r="AO57" s="165">
        <f>90+131.85+90+225.09+90+215.17+215+215+215+220.08+215</f>
        <v>1922.19</v>
      </c>
      <c r="AP57" s="165"/>
      <c r="AQ57" s="165"/>
      <c r="AR57" s="174">
        <f>AO57/AO100</f>
        <v>2.8862735775445013E-3</v>
      </c>
      <c r="AS57" s="173">
        <f>696.75+AO57</f>
        <v>2618.94</v>
      </c>
      <c r="AT57" s="173"/>
    </row>
    <row r="58" spans="1:46" x14ac:dyDescent="0.25">
      <c r="A58" s="164" t="s">
        <v>63</v>
      </c>
      <c r="B58" s="165">
        <f>19782.78</f>
        <v>19782.78</v>
      </c>
      <c r="C58" s="165"/>
      <c r="D58" s="165"/>
      <c r="E58" s="166">
        <v>0</v>
      </c>
      <c r="F58" s="167"/>
      <c r="G58" s="168"/>
      <c r="H58" s="166">
        <v>0</v>
      </c>
      <c r="I58" s="167"/>
      <c r="J58" s="168"/>
      <c r="K58" s="169">
        <v>0</v>
      </c>
      <c r="L58" s="169"/>
      <c r="M58" s="169"/>
      <c r="N58" s="166">
        <v>0</v>
      </c>
      <c r="O58" s="167"/>
      <c r="P58" s="168"/>
      <c r="Q58" s="170">
        <v>2000</v>
      </c>
      <c r="R58" s="171"/>
      <c r="S58" s="172"/>
      <c r="T58" s="166">
        <v>0</v>
      </c>
      <c r="U58" s="167"/>
      <c r="V58" s="168"/>
      <c r="W58" s="170">
        <v>0</v>
      </c>
      <c r="X58" s="171"/>
      <c r="Y58" s="171"/>
      <c r="Z58" s="170">
        <v>0</v>
      </c>
      <c r="AA58" s="171"/>
      <c r="AB58" s="172"/>
      <c r="AC58" s="173">
        <v>0</v>
      </c>
      <c r="AD58" s="173"/>
      <c r="AE58" s="173"/>
      <c r="AF58" s="170">
        <v>0</v>
      </c>
      <c r="AG58" s="171"/>
      <c r="AH58" s="171"/>
      <c r="AI58" s="173">
        <v>0</v>
      </c>
      <c r="AJ58" s="173"/>
      <c r="AK58" s="170"/>
      <c r="AL58" s="173">
        <f>1500</f>
        <v>1500</v>
      </c>
      <c r="AM58" s="173"/>
      <c r="AN58" s="170"/>
      <c r="AO58" s="165">
        <f>2000+1500</f>
        <v>3500</v>
      </c>
      <c r="AP58" s="165"/>
      <c r="AQ58" s="165"/>
      <c r="AR58" s="174">
        <f>AO58/AO100</f>
        <v>5.2554417208526489E-3</v>
      </c>
      <c r="AS58" s="173">
        <f>21782.46+AO58</f>
        <v>25282.46</v>
      </c>
      <c r="AT58" s="173"/>
    </row>
    <row r="59" spans="1:46" x14ac:dyDescent="0.25">
      <c r="A59" s="164" t="s">
        <v>64</v>
      </c>
      <c r="B59" s="165">
        <f>3000</f>
        <v>3000</v>
      </c>
      <c r="C59" s="165"/>
      <c r="D59" s="165"/>
      <c r="E59" s="166">
        <v>0</v>
      </c>
      <c r="F59" s="167"/>
      <c r="G59" s="168"/>
      <c r="H59" s="166">
        <v>0</v>
      </c>
      <c r="I59" s="167"/>
      <c r="J59" s="168"/>
      <c r="K59" s="169">
        <v>0</v>
      </c>
      <c r="L59" s="169"/>
      <c r="M59" s="169"/>
      <c r="N59" s="166">
        <v>0</v>
      </c>
      <c r="O59" s="167"/>
      <c r="P59" s="168"/>
      <c r="Q59" s="170">
        <v>0</v>
      </c>
      <c r="R59" s="171"/>
      <c r="S59" s="172"/>
      <c r="T59" s="166">
        <v>0</v>
      </c>
      <c r="U59" s="167"/>
      <c r="V59" s="168"/>
      <c r="W59" s="170">
        <v>0</v>
      </c>
      <c r="X59" s="171"/>
      <c r="Y59" s="171"/>
      <c r="Z59" s="170">
        <v>0</v>
      </c>
      <c r="AA59" s="171"/>
      <c r="AB59" s="172"/>
      <c r="AC59" s="173">
        <v>0</v>
      </c>
      <c r="AD59" s="173"/>
      <c r="AE59" s="173"/>
      <c r="AF59" s="170">
        <v>0</v>
      </c>
      <c r="AG59" s="171"/>
      <c r="AH59" s="171"/>
      <c r="AI59" s="173">
        <v>0</v>
      </c>
      <c r="AJ59" s="173"/>
      <c r="AK59" s="170"/>
      <c r="AL59" s="173">
        <v>0</v>
      </c>
      <c r="AM59" s="173"/>
      <c r="AN59" s="170"/>
      <c r="AO59" s="165">
        <v>0</v>
      </c>
      <c r="AP59" s="165"/>
      <c r="AQ59" s="165"/>
      <c r="AR59" s="174">
        <f>AO59/AO100</f>
        <v>0</v>
      </c>
      <c r="AS59" s="173">
        <f>1500+AO59</f>
        <v>1500</v>
      </c>
      <c r="AT59" s="173"/>
    </row>
    <row r="60" spans="1:46" x14ac:dyDescent="0.25">
      <c r="A60" s="164" t="s">
        <v>65</v>
      </c>
      <c r="B60" s="165">
        <f>5618.11</f>
        <v>5618.11</v>
      </c>
      <c r="C60" s="165"/>
      <c r="D60" s="165"/>
      <c r="E60" s="166">
        <v>0</v>
      </c>
      <c r="F60" s="167"/>
      <c r="G60" s="168"/>
      <c r="H60" s="166">
        <v>0</v>
      </c>
      <c r="I60" s="167"/>
      <c r="J60" s="168"/>
      <c r="K60" s="169">
        <v>0</v>
      </c>
      <c r="L60" s="169"/>
      <c r="M60" s="169"/>
      <c r="N60" s="166">
        <v>0</v>
      </c>
      <c r="O60" s="167"/>
      <c r="P60" s="168"/>
      <c r="Q60" s="170">
        <v>0</v>
      </c>
      <c r="R60" s="171"/>
      <c r="S60" s="172"/>
      <c r="T60" s="166">
        <v>0</v>
      </c>
      <c r="U60" s="167"/>
      <c r="V60" s="168"/>
      <c r="W60" s="170">
        <v>0</v>
      </c>
      <c r="X60" s="171"/>
      <c r="Y60" s="171"/>
      <c r="Z60" s="170">
        <v>0</v>
      </c>
      <c r="AA60" s="171"/>
      <c r="AB60" s="172"/>
      <c r="AC60" s="173">
        <v>0</v>
      </c>
      <c r="AD60" s="173"/>
      <c r="AE60" s="173"/>
      <c r="AF60" s="170">
        <v>0</v>
      </c>
      <c r="AG60" s="171"/>
      <c r="AH60" s="171"/>
      <c r="AI60" s="173">
        <v>0</v>
      </c>
      <c r="AJ60" s="173"/>
      <c r="AK60" s="170"/>
      <c r="AL60" s="173">
        <v>0</v>
      </c>
      <c r="AM60" s="173"/>
      <c r="AN60" s="170"/>
      <c r="AO60" s="165">
        <v>0</v>
      </c>
      <c r="AP60" s="165"/>
      <c r="AQ60" s="165"/>
      <c r="AR60" s="174">
        <f>AO60/AO100</f>
        <v>0</v>
      </c>
      <c r="AS60" s="173">
        <f>5618.11+AO60</f>
        <v>5618.11</v>
      </c>
      <c r="AT60" s="173"/>
    </row>
    <row r="61" spans="1:46" x14ac:dyDescent="0.25">
      <c r="A61" s="164" t="s">
        <v>66</v>
      </c>
      <c r="B61" s="165">
        <f>84</f>
        <v>84</v>
      </c>
      <c r="C61" s="165"/>
      <c r="D61" s="165"/>
      <c r="E61" s="166">
        <v>0</v>
      </c>
      <c r="F61" s="167"/>
      <c r="G61" s="168"/>
      <c r="H61" s="166">
        <v>0</v>
      </c>
      <c r="I61" s="167"/>
      <c r="J61" s="168"/>
      <c r="K61" s="169">
        <v>0</v>
      </c>
      <c r="L61" s="169"/>
      <c r="M61" s="169"/>
      <c r="N61" s="166">
        <v>0</v>
      </c>
      <c r="O61" s="167"/>
      <c r="P61" s="168"/>
      <c r="Q61" s="170">
        <v>0</v>
      </c>
      <c r="R61" s="171"/>
      <c r="S61" s="172"/>
      <c r="T61" s="166">
        <v>0</v>
      </c>
      <c r="U61" s="167"/>
      <c r="V61" s="168"/>
      <c r="W61" s="170">
        <v>0</v>
      </c>
      <c r="X61" s="171"/>
      <c r="Y61" s="171"/>
      <c r="Z61" s="170">
        <v>0</v>
      </c>
      <c r="AA61" s="171"/>
      <c r="AB61" s="172"/>
      <c r="AC61" s="173">
        <v>0</v>
      </c>
      <c r="AD61" s="173"/>
      <c r="AE61" s="173"/>
      <c r="AF61" s="170">
        <v>0</v>
      </c>
      <c r="AG61" s="171"/>
      <c r="AH61" s="171"/>
      <c r="AI61" s="173">
        <v>0</v>
      </c>
      <c r="AJ61" s="173"/>
      <c r="AK61" s="170"/>
      <c r="AL61" s="173">
        <v>0</v>
      </c>
      <c r="AM61" s="173"/>
      <c r="AN61" s="170"/>
      <c r="AO61" s="165">
        <f>0</f>
        <v>0</v>
      </c>
      <c r="AP61" s="165"/>
      <c r="AQ61" s="165"/>
      <c r="AR61" s="174">
        <f>AO61/AO100</f>
        <v>0</v>
      </c>
      <c r="AS61" s="173">
        <f>0+AO61</f>
        <v>0</v>
      </c>
      <c r="AT61" s="173"/>
    </row>
    <row r="62" spans="1:46" x14ac:dyDescent="0.25">
      <c r="A62" s="164" t="s">
        <v>67</v>
      </c>
      <c r="B62" s="165">
        <f>1960</f>
        <v>1960</v>
      </c>
      <c r="C62" s="165"/>
      <c r="D62" s="165"/>
      <c r="E62" s="166">
        <v>0</v>
      </c>
      <c r="F62" s="167"/>
      <c r="G62" s="168"/>
      <c r="H62" s="166">
        <v>0</v>
      </c>
      <c r="I62" s="167"/>
      <c r="J62" s="168"/>
      <c r="K62" s="169">
        <v>0</v>
      </c>
      <c r="L62" s="169"/>
      <c r="M62" s="169"/>
      <c r="N62" s="166">
        <v>0</v>
      </c>
      <c r="O62" s="167"/>
      <c r="P62" s="168"/>
      <c r="Q62" s="170">
        <v>0</v>
      </c>
      <c r="R62" s="171"/>
      <c r="S62" s="172"/>
      <c r="T62" s="166">
        <v>0</v>
      </c>
      <c r="U62" s="167"/>
      <c r="V62" s="168"/>
      <c r="W62" s="170">
        <v>0</v>
      </c>
      <c r="X62" s="171"/>
      <c r="Y62" s="171"/>
      <c r="Z62" s="170">
        <v>0</v>
      </c>
      <c r="AA62" s="171"/>
      <c r="AB62" s="172"/>
      <c r="AC62" s="173">
        <v>0</v>
      </c>
      <c r="AD62" s="173"/>
      <c r="AE62" s="173"/>
      <c r="AF62" s="170">
        <v>0</v>
      </c>
      <c r="AG62" s="171"/>
      <c r="AH62" s="171"/>
      <c r="AI62" s="173">
        <v>0</v>
      </c>
      <c r="AJ62" s="173"/>
      <c r="AK62" s="170"/>
      <c r="AL62" s="173">
        <v>0</v>
      </c>
      <c r="AM62" s="173"/>
      <c r="AN62" s="170"/>
      <c r="AO62" s="165">
        <v>0</v>
      </c>
      <c r="AP62" s="165"/>
      <c r="AQ62" s="165"/>
      <c r="AR62" s="174">
        <f>AO62/AO100</f>
        <v>0</v>
      </c>
      <c r="AS62" s="173">
        <f>2170+AO62</f>
        <v>2170</v>
      </c>
      <c r="AT62" s="173"/>
    </row>
    <row r="63" spans="1:46" x14ac:dyDescent="0.25">
      <c r="A63" s="154" t="s">
        <v>68</v>
      </c>
      <c r="B63" s="155">
        <v>36231.96</v>
      </c>
      <c r="C63" s="155"/>
      <c r="D63" s="155"/>
      <c r="E63" s="156">
        <f>SUM(E64:E67)</f>
        <v>3987.0299999999997</v>
      </c>
      <c r="F63" s="157"/>
      <c r="G63" s="158"/>
      <c r="H63" s="156">
        <f t="shared" ref="H63" si="22">SUM(H64:H67)</f>
        <v>4769.6900000000005</v>
      </c>
      <c r="I63" s="157"/>
      <c r="J63" s="158"/>
      <c r="K63" s="159">
        <f>SUM(K64:K67)</f>
        <v>4101.08</v>
      </c>
      <c r="L63" s="159"/>
      <c r="M63" s="159"/>
      <c r="N63" s="156">
        <f t="shared" ref="N63" si="23">SUM(N64:N67)</f>
        <v>4024.0099999999998</v>
      </c>
      <c r="O63" s="157"/>
      <c r="P63" s="158"/>
      <c r="Q63" s="156">
        <f t="shared" ref="Q63" si="24">SUM(Q64:Q67)</f>
        <v>7067.6200000000008</v>
      </c>
      <c r="R63" s="157"/>
      <c r="S63" s="158"/>
      <c r="T63" s="156">
        <f t="shared" ref="T63" si="25">SUM(T64:T67)</f>
        <v>434.25</v>
      </c>
      <c r="U63" s="157"/>
      <c r="V63" s="158"/>
      <c r="W63" s="160">
        <f>SUM(W64:Y67)</f>
        <v>4297.43</v>
      </c>
      <c r="X63" s="161"/>
      <c r="Y63" s="161"/>
      <c r="Z63" s="160">
        <f>SUM(Z64:AB67)</f>
        <v>1359.5900000000001</v>
      </c>
      <c r="AA63" s="161"/>
      <c r="AB63" s="161"/>
      <c r="AC63" s="155">
        <f>SUM(AC64:AE67)</f>
        <v>3969.12</v>
      </c>
      <c r="AD63" s="155"/>
      <c r="AE63" s="155"/>
      <c r="AF63" s="160">
        <f>SUM(AF64:AH67)</f>
        <v>5752.85</v>
      </c>
      <c r="AG63" s="161"/>
      <c r="AH63" s="161"/>
      <c r="AI63" s="160">
        <f>SUM(AI64:AK67)</f>
        <v>5143.22</v>
      </c>
      <c r="AJ63" s="161"/>
      <c r="AK63" s="161"/>
      <c r="AL63" s="160">
        <f>SUM(AL64:AN67)</f>
        <v>11016.58</v>
      </c>
      <c r="AM63" s="161"/>
      <c r="AN63" s="161"/>
      <c r="AO63" s="155">
        <f>SUM(AO64:AQ67)</f>
        <v>55922.469999999994</v>
      </c>
      <c r="AP63" s="155"/>
      <c r="AQ63" s="155"/>
      <c r="AR63" s="162">
        <f>AO63/AO100</f>
        <v>8.3970651991751605E-2</v>
      </c>
      <c r="AS63" s="163">
        <f>SUM(AS64:AT67)</f>
        <v>192764.56999999998</v>
      </c>
      <c r="AT63" s="163"/>
    </row>
    <row r="64" spans="1:46" x14ac:dyDescent="0.25">
      <c r="A64" s="164" t="s">
        <v>69</v>
      </c>
      <c r="B64" s="165">
        <v>20526.309999999998</v>
      </c>
      <c r="C64" s="165"/>
      <c r="D64" s="165"/>
      <c r="E64" s="166">
        <v>3422.2</v>
      </c>
      <c r="F64" s="167"/>
      <c r="G64" s="168"/>
      <c r="H64" s="166">
        <v>3668.5</v>
      </c>
      <c r="I64" s="167"/>
      <c r="J64" s="168"/>
      <c r="K64" s="169">
        <v>3437.6</v>
      </c>
      <c r="L64" s="169"/>
      <c r="M64" s="169"/>
      <c r="N64" s="166">
        <v>3450.4</v>
      </c>
      <c r="O64" s="167"/>
      <c r="P64" s="168"/>
      <c r="Q64" s="170">
        <v>3538.9</v>
      </c>
      <c r="R64" s="171"/>
      <c r="S64" s="172"/>
      <c r="T64" s="166">
        <v>120.6</v>
      </c>
      <c r="U64" s="167"/>
      <c r="V64" s="168"/>
      <c r="W64" s="170">
        <f>3441</f>
        <v>3441</v>
      </c>
      <c r="X64" s="171"/>
      <c r="Y64" s="171"/>
      <c r="Z64" s="170">
        <f>24.5+9.5+1.5+1.5+9.5+9.5+42</f>
        <v>98</v>
      </c>
      <c r="AA64" s="171"/>
      <c r="AB64" s="172"/>
      <c r="AC64" s="173">
        <f>24.5+9.5+9.5+9.5+9.5+9.5+1+1+3156.14+42+1</f>
        <v>3273.14</v>
      </c>
      <c r="AD64" s="173"/>
      <c r="AE64" s="173"/>
      <c r="AF64" s="170">
        <f>12.25+9.5+1391.01+9+9.5+9.5+42</f>
        <v>1482.76</v>
      </c>
      <c r="AG64" s="171"/>
      <c r="AH64" s="171"/>
      <c r="AI64" s="173">
        <f>177.11+12.25+9.5+3.98+9.5+9.5+42+3422.8</f>
        <v>3686.6400000000003</v>
      </c>
      <c r="AJ64" s="173"/>
      <c r="AK64" s="170"/>
      <c r="AL64" s="173">
        <f>1582.05+12.25+350.24+1309.42+9.5+9.5+9.5+3+39.8+5874.48+1+15.92+42</f>
        <v>9258.66</v>
      </c>
      <c r="AM64" s="173"/>
      <c r="AN64" s="170"/>
      <c r="AO64" s="165">
        <f>3422.2+3668.5+3437.6+3450.4+3538.9+120.6+3441+98+3273.14+1482.76+3686.64+9258.66</f>
        <v>38878.399999999994</v>
      </c>
      <c r="AP64" s="165"/>
      <c r="AQ64" s="165"/>
      <c r="AR64" s="174">
        <f>AO64/AO100</f>
        <v>5.8378047257142171E-2</v>
      </c>
      <c r="AS64" s="184">
        <f>82070.16+AO64</f>
        <v>120948.56</v>
      </c>
      <c r="AT64" s="184"/>
    </row>
    <row r="65" spans="1:46" x14ac:dyDescent="0.25">
      <c r="A65" s="164" t="s">
        <v>70</v>
      </c>
      <c r="B65" s="165">
        <v>9727.3100000000013</v>
      </c>
      <c r="C65" s="165"/>
      <c r="D65" s="165"/>
      <c r="E65" s="166">
        <v>529.87</v>
      </c>
      <c r="F65" s="167"/>
      <c r="G65" s="168"/>
      <c r="H65" s="166">
        <v>562.69000000000005</v>
      </c>
      <c r="I65" s="167"/>
      <c r="J65" s="168"/>
      <c r="K65" s="169">
        <v>551.74</v>
      </c>
      <c r="L65" s="169"/>
      <c r="M65" s="169"/>
      <c r="N65" s="166">
        <v>524.16</v>
      </c>
      <c r="O65" s="167"/>
      <c r="P65" s="168"/>
      <c r="Q65" s="170">
        <v>529.87</v>
      </c>
      <c r="R65" s="171"/>
      <c r="S65" s="172"/>
      <c r="T65" s="166">
        <v>311.62</v>
      </c>
      <c r="U65" s="167"/>
      <c r="V65" s="168"/>
      <c r="W65" s="170">
        <f>75+232.5+240.73+257.07</f>
        <v>805.3</v>
      </c>
      <c r="X65" s="171"/>
      <c r="Y65" s="171"/>
      <c r="Z65" s="170">
        <f>255.4+75+232.5</f>
        <v>562.9</v>
      </c>
      <c r="AA65" s="171"/>
      <c r="AB65" s="172"/>
      <c r="AC65" s="173">
        <f>232.5+75+262.73</f>
        <v>570.23</v>
      </c>
      <c r="AD65" s="173"/>
      <c r="AE65" s="173"/>
      <c r="AF65" s="170">
        <f>232.5+75+254.82</f>
        <v>562.31999999999994</v>
      </c>
      <c r="AG65" s="171"/>
      <c r="AH65" s="171"/>
      <c r="AI65" s="173">
        <f>240.13+77.46+25.85+140.64</f>
        <v>484.08</v>
      </c>
      <c r="AJ65" s="173"/>
      <c r="AK65" s="170"/>
      <c r="AL65" s="173">
        <f>140.64+141.31+209.25+240.13+232.05+77.46+74.85+67.5</f>
        <v>1183.1899999999998</v>
      </c>
      <c r="AM65" s="173"/>
      <c r="AN65" s="170"/>
      <c r="AO65" s="165">
        <f>529.87+562.69+551.74+524.16+529.87+311.62+805.3+562.9+570.23+562.32+484.08+1183.19</f>
        <v>7177.9699999999993</v>
      </c>
      <c r="AP65" s="165"/>
      <c r="AQ65" s="165"/>
      <c r="AR65" s="174">
        <f>AO65/AO100</f>
        <v>1.0778115145436768E-2</v>
      </c>
      <c r="AS65" s="184">
        <f>40464.83+AO65</f>
        <v>47642.8</v>
      </c>
      <c r="AT65" s="184"/>
    </row>
    <row r="66" spans="1:46" x14ac:dyDescent="0.25">
      <c r="A66" s="164" t="s">
        <v>71</v>
      </c>
      <c r="B66" s="165">
        <v>5978.34</v>
      </c>
      <c r="C66" s="165"/>
      <c r="D66" s="165"/>
      <c r="E66" s="166">
        <v>34.96</v>
      </c>
      <c r="F66" s="167"/>
      <c r="G66" s="168"/>
      <c r="H66" s="166">
        <v>538.5</v>
      </c>
      <c r="I66" s="167"/>
      <c r="J66" s="168"/>
      <c r="K66" s="169">
        <v>111.74</v>
      </c>
      <c r="L66" s="169"/>
      <c r="M66" s="169"/>
      <c r="N66" s="166">
        <v>49.45</v>
      </c>
      <c r="O66" s="167"/>
      <c r="P66" s="168"/>
      <c r="Q66" s="170">
        <v>2998.8500000000004</v>
      </c>
      <c r="R66" s="171"/>
      <c r="S66" s="172"/>
      <c r="T66" s="166">
        <v>2.0299999999999998</v>
      </c>
      <c r="U66" s="167"/>
      <c r="V66" s="168"/>
      <c r="W66" s="170">
        <f>51.13</f>
        <v>51.13</v>
      </c>
      <c r="X66" s="171"/>
      <c r="Y66" s="171"/>
      <c r="Z66" s="170">
        <f>698.69</f>
        <v>698.69</v>
      </c>
      <c r="AA66" s="171"/>
      <c r="AB66" s="172"/>
      <c r="AC66" s="173">
        <f>125.75</f>
        <v>125.75</v>
      </c>
      <c r="AD66" s="173"/>
      <c r="AE66" s="173"/>
      <c r="AF66" s="170">
        <f>1290.02+11.2+2406.55</f>
        <v>3707.7700000000004</v>
      </c>
      <c r="AG66" s="171"/>
      <c r="AH66" s="171"/>
      <c r="AI66" s="173">
        <f>589.72+379.43+3.35</f>
        <v>972.50000000000011</v>
      </c>
      <c r="AJ66" s="173"/>
      <c r="AK66" s="170"/>
      <c r="AL66" s="173">
        <f>574.73</f>
        <v>574.73</v>
      </c>
      <c r="AM66" s="173"/>
      <c r="AN66" s="170"/>
      <c r="AO66" s="165">
        <f>34.96+538.5+111.74+49.45+2998.85+2.03+51.13+698.69+125.75+3707.77+972.5+574.73</f>
        <v>9866.1</v>
      </c>
      <c r="AP66" s="165"/>
      <c r="AQ66" s="165"/>
      <c r="AR66" s="174">
        <f>AO66/AO100</f>
        <v>1.4814489589172664E-2</v>
      </c>
      <c r="AS66" s="184">
        <f>14281.74+AO66</f>
        <v>24147.84</v>
      </c>
      <c r="AT66" s="184"/>
    </row>
    <row r="67" spans="1:46" x14ac:dyDescent="0.25">
      <c r="A67" s="164" t="s">
        <v>72</v>
      </c>
      <c r="B67" s="165">
        <v>0</v>
      </c>
      <c r="C67" s="165"/>
      <c r="D67" s="165"/>
      <c r="E67" s="166">
        <v>0</v>
      </c>
      <c r="F67" s="167"/>
      <c r="G67" s="168"/>
      <c r="H67" s="166">
        <v>0</v>
      </c>
      <c r="I67" s="167"/>
      <c r="J67" s="168"/>
      <c r="K67" s="169">
        <v>0</v>
      </c>
      <c r="L67" s="169"/>
      <c r="M67" s="169"/>
      <c r="N67" s="166">
        <v>0</v>
      </c>
      <c r="O67" s="167"/>
      <c r="P67" s="168"/>
      <c r="Q67" s="170">
        <v>0</v>
      </c>
      <c r="R67" s="171"/>
      <c r="S67" s="172"/>
      <c r="T67" s="166">
        <v>0</v>
      </c>
      <c r="U67" s="167"/>
      <c r="V67" s="168"/>
      <c r="W67" s="170">
        <v>0</v>
      </c>
      <c r="X67" s="171"/>
      <c r="Y67" s="171"/>
      <c r="Z67" s="170">
        <v>0</v>
      </c>
      <c r="AA67" s="171"/>
      <c r="AB67" s="172"/>
      <c r="AC67" s="173">
        <v>0</v>
      </c>
      <c r="AD67" s="173"/>
      <c r="AE67" s="173"/>
      <c r="AF67" s="170">
        <v>0</v>
      </c>
      <c r="AG67" s="171"/>
      <c r="AH67" s="171"/>
      <c r="AI67" s="173">
        <v>0</v>
      </c>
      <c r="AJ67" s="173"/>
      <c r="AK67" s="170"/>
      <c r="AL67" s="173">
        <v>0</v>
      </c>
      <c r="AM67" s="173"/>
      <c r="AN67" s="170"/>
      <c r="AO67" s="165">
        <v>0</v>
      </c>
      <c r="AP67" s="165"/>
      <c r="AQ67" s="165"/>
      <c r="AR67" s="174">
        <f>AO67/AO100</f>
        <v>0</v>
      </c>
      <c r="AS67" s="182">
        <f>25.37+AO67</f>
        <v>25.37</v>
      </c>
      <c r="AT67" s="183"/>
    </row>
    <row r="68" spans="1:46" x14ac:dyDescent="0.25">
      <c r="A68" s="154" t="s">
        <v>73</v>
      </c>
      <c r="B68" s="155">
        <v>130947.96</v>
      </c>
      <c r="C68" s="155"/>
      <c r="D68" s="155"/>
      <c r="E68" s="156">
        <f>SUM(E69:E80)</f>
        <v>9724.5499999999993</v>
      </c>
      <c r="F68" s="157"/>
      <c r="G68" s="158"/>
      <c r="H68" s="156">
        <f t="shared" ref="H68" si="26">SUM(H69:H80)</f>
        <v>12319.49</v>
      </c>
      <c r="I68" s="157"/>
      <c r="J68" s="158"/>
      <c r="K68" s="159">
        <f>SUM(K69:K80)</f>
        <v>8863.43</v>
      </c>
      <c r="L68" s="159"/>
      <c r="M68" s="159"/>
      <c r="N68" s="156">
        <f t="shared" ref="N68" si="27">SUM(N69:N80)</f>
        <v>9496.3100000000013</v>
      </c>
      <c r="O68" s="157"/>
      <c r="P68" s="158"/>
      <c r="Q68" s="156">
        <f t="shared" ref="Q68" si="28">SUM(Q69:Q80)</f>
        <v>10003.540000000001</v>
      </c>
      <c r="R68" s="157"/>
      <c r="S68" s="158"/>
      <c r="T68" s="156">
        <f t="shared" ref="T68" si="29">SUM(T69:T80)</f>
        <v>10812.829999999998</v>
      </c>
      <c r="U68" s="157"/>
      <c r="V68" s="158"/>
      <c r="W68" s="160">
        <f>SUM(W69:Y80)</f>
        <v>11711.54</v>
      </c>
      <c r="X68" s="161"/>
      <c r="Y68" s="161"/>
      <c r="Z68" s="160">
        <f>SUM(Z69:AB80)</f>
        <v>10229.530000000001</v>
      </c>
      <c r="AA68" s="161"/>
      <c r="AB68" s="161"/>
      <c r="AC68" s="155">
        <f>SUM(AC69:AE80)</f>
        <v>20191.64</v>
      </c>
      <c r="AD68" s="155"/>
      <c r="AE68" s="155"/>
      <c r="AF68" s="160">
        <f>SUM(AF69:AH80)</f>
        <v>8389.65</v>
      </c>
      <c r="AG68" s="161"/>
      <c r="AH68" s="161"/>
      <c r="AI68" s="160">
        <f>SUM(AI69:AK80)</f>
        <v>8500.4700000000012</v>
      </c>
      <c r="AJ68" s="161"/>
      <c r="AK68" s="161"/>
      <c r="AL68" s="160">
        <f>SUM(AL69:AN80)</f>
        <v>11382.439999999999</v>
      </c>
      <c r="AM68" s="161"/>
      <c r="AN68" s="161"/>
      <c r="AO68" s="160">
        <f>SUM(AO69:AQ80)</f>
        <v>131625.41999999998</v>
      </c>
      <c r="AP68" s="161"/>
      <c r="AQ68" s="185"/>
      <c r="AR68" s="162">
        <f>AO68/AO100</f>
        <v>0.19764277822650075</v>
      </c>
      <c r="AS68" s="163">
        <f>SUM(AS69:AT80)</f>
        <v>379800.62</v>
      </c>
      <c r="AT68" s="163"/>
    </row>
    <row r="69" spans="1:46" x14ac:dyDescent="0.25">
      <c r="A69" s="181" t="s">
        <v>74</v>
      </c>
      <c r="B69" s="165">
        <v>3962.51</v>
      </c>
      <c r="C69" s="165"/>
      <c r="D69" s="165"/>
      <c r="E69" s="166">
        <v>0</v>
      </c>
      <c r="F69" s="167"/>
      <c r="G69" s="168"/>
      <c r="H69" s="166">
        <v>0</v>
      </c>
      <c r="I69" s="167"/>
      <c r="J69" s="168"/>
      <c r="K69" s="169">
        <v>0</v>
      </c>
      <c r="L69" s="169"/>
      <c r="M69" s="169"/>
      <c r="N69" s="166">
        <v>0</v>
      </c>
      <c r="O69" s="167"/>
      <c r="P69" s="168"/>
      <c r="Q69" s="170">
        <v>0</v>
      </c>
      <c r="R69" s="171"/>
      <c r="S69" s="172"/>
      <c r="T69" s="166">
        <v>0</v>
      </c>
      <c r="U69" s="167"/>
      <c r="V69" s="168"/>
      <c r="W69" s="170">
        <v>0</v>
      </c>
      <c r="X69" s="171"/>
      <c r="Y69" s="171"/>
      <c r="Z69" s="170">
        <v>0</v>
      </c>
      <c r="AA69" s="171"/>
      <c r="AB69" s="172"/>
      <c r="AC69" s="173">
        <v>0</v>
      </c>
      <c r="AD69" s="173"/>
      <c r="AE69" s="173"/>
      <c r="AF69" s="170">
        <v>0</v>
      </c>
      <c r="AG69" s="171"/>
      <c r="AH69" s="171"/>
      <c r="AI69" s="173">
        <v>0</v>
      </c>
      <c r="AJ69" s="173"/>
      <c r="AK69" s="170"/>
      <c r="AL69" s="173">
        <v>0</v>
      </c>
      <c r="AM69" s="173"/>
      <c r="AN69" s="170"/>
      <c r="AO69" s="33">
        <v>0</v>
      </c>
      <c r="AP69" s="34"/>
      <c r="AQ69" s="35"/>
      <c r="AR69" s="174">
        <f>AO69/AO100</f>
        <v>0</v>
      </c>
      <c r="AS69" s="184">
        <f>9608.91+AO69</f>
        <v>9608.91</v>
      </c>
      <c r="AT69" s="184"/>
    </row>
    <row r="70" spans="1:46" x14ac:dyDescent="0.25">
      <c r="A70" s="181" t="s">
        <v>75</v>
      </c>
      <c r="B70" s="165">
        <v>0</v>
      </c>
      <c r="C70" s="165"/>
      <c r="D70" s="165"/>
      <c r="E70" s="166">
        <v>0</v>
      </c>
      <c r="F70" s="167"/>
      <c r="G70" s="168"/>
      <c r="H70" s="166">
        <v>0</v>
      </c>
      <c r="I70" s="167"/>
      <c r="J70" s="168"/>
      <c r="K70" s="169">
        <v>0</v>
      </c>
      <c r="L70" s="169"/>
      <c r="M70" s="169"/>
      <c r="N70" s="166">
        <v>0</v>
      </c>
      <c r="O70" s="167"/>
      <c r="P70" s="168"/>
      <c r="Q70" s="170">
        <v>0</v>
      </c>
      <c r="R70" s="171"/>
      <c r="S70" s="172"/>
      <c r="T70" s="166">
        <v>859</v>
      </c>
      <c r="U70" s="167"/>
      <c r="V70" s="168"/>
      <c r="W70" s="170">
        <v>0</v>
      </c>
      <c r="X70" s="171"/>
      <c r="Y70" s="171"/>
      <c r="Z70" s="170">
        <v>0</v>
      </c>
      <c r="AA70" s="171"/>
      <c r="AB70" s="172"/>
      <c r="AC70" s="173">
        <v>0</v>
      </c>
      <c r="AD70" s="173"/>
      <c r="AE70" s="173"/>
      <c r="AF70" s="170">
        <v>0</v>
      </c>
      <c r="AG70" s="171"/>
      <c r="AH70" s="171"/>
      <c r="AI70" s="173">
        <v>0</v>
      </c>
      <c r="AJ70" s="173"/>
      <c r="AK70" s="170"/>
      <c r="AL70" s="173">
        <v>0</v>
      </c>
      <c r="AM70" s="173"/>
      <c r="AN70" s="170"/>
      <c r="AO70" s="33">
        <f>859</f>
        <v>859</v>
      </c>
      <c r="AP70" s="34"/>
      <c r="AQ70" s="35"/>
      <c r="AR70" s="174">
        <f>AO70/AO100</f>
        <v>1.2898355537749788E-3</v>
      </c>
      <c r="AS70" s="184">
        <f>8251+AO70</f>
        <v>9110</v>
      </c>
      <c r="AT70" s="184"/>
    </row>
    <row r="71" spans="1:46" x14ac:dyDescent="0.25">
      <c r="A71" s="181" t="s">
        <v>76</v>
      </c>
      <c r="B71" s="165">
        <v>720.8</v>
      </c>
      <c r="C71" s="165"/>
      <c r="D71" s="165"/>
      <c r="E71" s="166">
        <v>0</v>
      </c>
      <c r="F71" s="167"/>
      <c r="G71" s="168"/>
      <c r="H71" s="166">
        <v>2093.1799999999998</v>
      </c>
      <c r="I71" s="167"/>
      <c r="J71" s="168"/>
      <c r="K71" s="169">
        <v>0</v>
      </c>
      <c r="L71" s="169"/>
      <c r="M71" s="169"/>
      <c r="N71" s="166">
        <v>0</v>
      </c>
      <c r="O71" s="167"/>
      <c r="P71" s="168"/>
      <c r="Q71" s="170">
        <v>0</v>
      </c>
      <c r="R71" s="171"/>
      <c r="S71" s="172"/>
      <c r="T71" s="166">
        <v>0</v>
      </c>
      <c r="U71" s="167"/>
      <c r="V71" s="168"/>
      <c r="W71" s="170">
        <v>0</v>
      </c>
      <c r="X71" s="171"/>
      <c r="Y71" s="171"/>
      <c r="Z71" s="170">
        <v>0</v>
      </c>
      <c r="AA71" s="171"/>
      <c r="AB71" s="172"/>
      <c r="AC71" s="173">
        <v>0</v>
      </c>
      <c r="AD71" s="173"/>
      <c r="AE71" s="173"/>
      <c r="AF71" s="170">
        <v>0</v>
      </c>
      <c r="AG71" s="171"/>
      <c r="AH71" s="171"/>
      <c r="AI71" s="173">
        <v>0</v>
      </c>
      <c r="AJ71" s="173"/>
      <c r="AK71" s="170"/>
      <c r="AL71" s="173">
        <v>0</v>
      </c>
      <c r="AM71" s="173"/>
      <c r="AN71" s="170"/>
      <c r="AO71" s="33">
        <f>2093.18</f>
        <v>2093.1799999999998</v>
      </c>
      <c r="AP71" s="34"/>
      <c r="AQ71" s="35"/>
      <c r="AR71" s="174">
        <f>AO71/AO100</f>
        <v>3.1430244289298134E-3</v>
      </c>
      <c r="AS71" s="184">
        <f>2037.04+AO71</f>
        <v>4130.2199999999993</v>
      </c>
      <c r="AT71" s="184"/>
    </row>
    <row r="72" spans="1:46" x14ac:dyDescent="0.25">
      <c r="A72" s="164" t="s">
        <v>77</v>
      </c>
      <c r="B72" s="165">
        <v>945.44</v>
      </c>
      <c r="C72" s="165"/>
      <c r="D72" s="165"/>
      <c r="E72" s="166">
        <v>150</v>
      </c>
      <c r="F72" s="167"/>
      <c r="G72" s="168"/>
      <c r="H72" s="166">
        <v>147.87</v>
      </c>
      <c r="I72" s="167"/>
      <c r="J72" s="168"/>
      <c r="K72" s="169">
        <v>209.7</v>
      </c>
      <c r="L72" s="169"/>
      <c r="M72" s="169"/>
      <c r="N72" s="166">
        <v>0</v>
      </c>
      <c r="O72" s="167"/>
      <c r="P72" s="168"/>
      <c r="Q72" s="170">
        <v>137.32999999999998</v>
      </c>
      <c r="R72" s="171"/>
      <c r="S72" s="172"/>
      <c r="T72" s="166">
        <v>5</v>
      </c>
      <c r="U72" s="167"/>
      <c r="V72" s="168"/>
      <c r="W72" s="170">
        <f>231+10.62</f>
        <v>241.62</v>
      </c>
      <c r="X72" s="171"/>
      <c r="Y72" s="171"/>
      <c r="Z72" s="170">
        <v>0</v>
      </c>
      <c r="AA72" s="171"/>
      <c r="AB72" s="172"/>
      <c r="AC72" s="173">
        <v>0</v>
      </c>
      <c r="AD72" s="173"/>
      <c r="AE72" s="173"/>
      <c r="AF72" s="170">
        <v>0</v>
      </c>
      <c r="AG72" s="171"/>
      <c r="AH72" s="171"/>
      <c r="AI72" s="173">
        <f>39.96</f>
        <v>39.96</v>
      </c>
      <c r="AJ72" s="173"/>
      <c r="AK72" s="170"/>
      <c r="AL72" s="173">
        <f>25.58</f>
        <v>25.58</v>
      </c>
      <c r="AM72" s="173"/>
      <c r="AN72" s="170"/>
      <c r="AO72" s="33">
        <f>150+147.87+209.7+137.33+5+241.62+39.96+25.58</f>
        <v>957.06000000000006</v>
      </c>
      <c r="AP72" s="34"/>
      <c r="AQ72" s="35"/>
      <c r="AR72" s="174">
        <f>AO72/AO100</f>
        <v>1.4370780152454963E-3</v>
      </c>
      <c r="AS72" s="184">
        <f>5085.95+AO72</f>
        <v>6043.01</v>
      </c>
      <c r="AT72" s="184"/>
    </row>
    <row r="73" spans="1:46" x14ac:dyDescent="0.25">
      <c r="A73" s="181" t="s">
        <v>78</v>
      </c>
      <c r="B73" s="165">
        <v>16097.460000000003</v>
      </c>
      <c r="C73" s="165"/>
      <c r="D73" s="165"/>
      <c r="E73" s="166">
        <v>1233.49</v>
      </c>
      <c r="F73" s="167"/>
      <c r="G73" s="168"/>
      <c r="H73" s="166">
        <v>1355.23</v>
      </c>
      <c r="I73" s="167"/>
      <c r="J73" s="168"/>
      <c r="K73" s="169">
        <v>1418.45</v>
      </c>
      <c r="L73" s="169"/>
      <c r="M73" s="169"/>
      <c r="N73" s="166">
        <v>1400.19</v>
      </c>
      <c r="O73" s="167"/>
      <c r="P73" s="168"/>
      <c r="Q73" s="170">
        <v>1414.67</v>
      </c>
      <c r="R73" s="171"/>
      <c r="S73" s="172"/>
      <c r="T73" s="166">
        <v>1380.6499999999999</v>
      </c>
      <c r="U73" s="167"/>
      <c r="V73" s="168"/>
      <c r="W73" s="170">
        <f>1358.44+52.31</f>
        <v>1410.75</v>
      </c>
      <c r="X73" s="171"/>
      <c r="Y73" s="171"/>
      <c r="Z73" s="170">
        <f>1396.74+52.52</f>
        <v>1449.26</v>
      </c>
      <c r="AA73" s="171"/>
      <c r="AB73" s="172"/>
      <c r="AC73" s="173">
        <f>1396.74+52.51</f>
        <v>1449.25</v>
      </c>
      <c r="AD73" s="173"/>
      <c r="AE73" s="173"/>
      <c r="AF73" s="170">
        <f>1483.4+52.5</f>
        <v>1535.9</v>
      </c>
      <c r="AG73" s="171"/>
      <c r="AH73" s="171"/>
      <c r="AI73" s="173">
        <f>1427.37+52.46</f>
        <v>1479.83</v>
      </c>
      <c r="AJ73" s="173"/>
      <c r="AK73" s="170"/>
      <c r="AL73" s="173">
        <f>1263.86+278.13</f>
        <v>1541.9899999999998</v>
      </c>
      <c r="AM73" s="173"/>
      <c r="AN73" s="170"/>
      <c r="AO73" s="33">
        <f>1233.49+1355.23+1418.45+1400.19+1414.67+1380.65+1410.75+1449.26+1449.25+1535.9+1479.83+1541.99</f>
        <v>17069.66</v>
      </c>
      <c r="AP73" s="34"/>
      <c r="AQ73" s="35"/>
      <c r="AR73" s="174">
        <f>AO73/AO100</f>
        <v>2.5631029521362751E-2</v>
      </c>
      <c r="AS73" s="173">
        <f>36304.7+AO73</f>
        <v>53374.36</v>
      </c>
      <c r="AT73" s="173"/>
    </row>
    <row r="74" spans="1:46" x14ac:dyDescent="0.25">
      <c r="A74" s="181" t="s">
        <v>79</v>
      </c>
      <c r="B74" s="165">
        <v>4311.88</v>
      </c>
      <c r="C74" s="165"/>
      <c r="D74" s="165"/>
      <c r="E74" s="166">
        <v>618.41</v>
      </c>
      <c r="F74" s="167"/>
      <c r="G74" s="168"/>
      <c r="H74" s="166">
        <v>269.39</v>
      </c>
      <c r="I74" s="167"/>
      <c r="J74" s="168"/>
      <c r="K74" s="169">
        <v>312.01</v>
      </c>
      <c r="L74" s="169"/>
      <c r="M74" s="169"/>
      <c r="N74" s="166">
        <v>343.07</v>
      </c>
      <c r="O74" s="167"/>
      <c r="P74" s="168"/>
      <c r="Q74" s="170">
        <v>300.14999999999998</v>
      </c>
      <c r="R74" s="171"/>
      <c r="S74" s="172"/>
      <c r="T74" s="166">
        <v>314.70999999999998</v>
      </c>
      <c r="U74" s="167"/>
      <c r="V74" s="168"/>
      <c r="W74" s="170">
        <f>259.93+121.83</f>
        <v>381.76</v>
      </c>
      <c r="X74" s="171"/>
      <c r="Y74" s="171"/>
      <c r="Z74" s="170">
        <f>55.08+137.97+99.25</f>
        <v>292.3</v>
      </c>
      <c r="AA74" s="171"/>
      <c r="AB74" s="172"/>
      <c r="AC74" s="173">
        <f>114.99+137.91+60.02</f>
        <v>312.91999999999996</v>
      </c>
      <c r="AD74" s="173"/>
      <c r="AE74" s="173"/>
      <c r="AF74" s="170">
        <f>51.31+114.99+66.05</f>
        <v>232.35000000000002</v>
      </c>
      <c r="AG74" s="171"/>
      <c r="AH74" s="171"/>
      <c r="AI74" s="173">
        <f>50.24+114.99+105.58</f>
        <v>270.81</v>
      </c>
      <c r="AJ74" s="173"/>
      <c r="AK74" s="170"/>
      <c r="AL74" s="173">
        <f>114.99+49.99+137.79</f>
        <v>302.77</v>
      </c>
      <c r="AM74" s="173"/>
      <c r="AN74" s="170"/>
      <c r="AO74" s="33">
        <f>618.41+269.39+312.01+343.07+300.15+314.71+381.76+292.3+312.92+232.35+270.81+302.77</f>
        <v>3950.65</v>
      </c>
      <c r="AP74" s="34"/>
      <c r="AQ74" s="35"/>
      <c r="AR74" s="174">
        <f>AO74/AO100</f>
        <v>5.9321173812818626E-3</v>
      </c>
      <c r="AS74" s="173">
        <f>9284.02+AO74</f>
        <v>13234.67</v>
      </c>
      <c r="AT74" s="173"/>
    </row>
    <row r="75" spans="1:46" x14ac:dyDescent="0.25">
      <c r="A75" s="181" t="s">
        <v>80</v>
      </c>
      <c r="B75" s="165">
        <v>2319.3700000000003</v>
      </c>
      <c r="C75" s="165"/>
      <c r="D75" s="165"/>
      <c r="E75" s="166">
        <v>76.8</v>
      </c>
      <c r="F75" s="167"/>
      <c r="G75" s="168"/>
      <c r="H75" s="166">
        <v>54.9</v>
      </c>
      <c r="I75" s="167"/>
      <c r="J75" s="168"/>
      <c r="K75" s="169">
        <v>62</v>
      </c>
      <c r="L75" s="169"/>
      <c r="M75" s="169"/>
      <c r="N75" s="166">
        <v>78.489999999999995</v>
      </c>
      <c r="O75" s="167"/>
      <c r="P75" s="168"/>
      <c r="Q75" s="170">
        <v>110.78</v>
      </c>
      <c r="R75" s="171"/>
      <c r="S75" s="172"/>
      <c r="T75" s="166">
        <v>87.78</v>
      </c>
      <c r="U75" s="167"/>
      <c r="V75" s="168"/>
      <c r="W75" s="170">
        <f>22+4.39+7.99+22+14.95+10.8+22</f>
        <v>104.13</v>
      </c>
      <c r="X75" s="171"/>
      <c r="Y75" s="171"/>
      <c r="Z75" s="170">
        <f>22+7.5+15.5+22+10.8+22</f>
        <v>99.8</v>
      </c>
      <c r="AA75" s="171"/>
      <c r="AB75" s="172"/>
      <c r="AC75" s="173">
        <f>22+10.8+20+22+22</f>
        <v>96.8</v>
      </c>
      <c r="AD75" s="173"/>
      <c r="AE75" s="173"/>
      <c r="AF75" s="170">
        <f>23+23+16.95</f>
        <v>62.95</v>
      </c>
      <c r="AG75" s="171"/>
      <c r="AH75" s="171"/>
      <c r="AI75" s="173">
        <f>11.39+7.5+23+23</f>
        <v>64.89</v>
      </c>
      <c r="AJ75" s="173"/>
      <c r="AK75" s="170"/>
      <c r="AL75" s="173">
        <f>11.39+23+23</f>
        <v>57.39</v>
      </c>
      <c r="AM75" s="173"/>
      <c r="AN75" s="170"/>
      <c r="AO75" s="33">
        <f>76.8+54.9+62+78.49+110.78+87.78+104.13+99.8+96.8+62.95+64.89+57.39</f>
        <v>956.70999999999992</v>
      </c>
      <c r="AP75" s="34"/>
      <c r="AQ75" s="35"/>
      <c r="AR75" s="174">
        <f>AO75/AO100</f>
        <v>1.4365524710734108E-3</v>
      </c>
      <c r="AS75" s="173">
        <f>6536.06+AO75</f>
        <v>7492.77</v>
      </c>
      <c r="AT75" s="173"/>
    </row>
    <row r="76" spans="1:46" x14ac:dyDescent="0.25">
      <c r="A76" s="181" t="s">
        <v>81</v>
      </c>
      <c r="B76" s="165">
        <v>576</v>
      </c>
      <c r="C76" s="165"/>
      <c r="D76" s="165"/>
      <c r="E76" s="166">
        <v>0</v>
      </c>
      <c r="F76" s="167"/>
      <c r="G76" s="168"/>
      <c r="H76" s="166">
        <v>468</v>
      </c>
      <c r="I76" s="167"/>
      <c r="J76" s="168"/>
      <c r="K76" s="169">
        <v>0</v>
      </c>
      <c r="L76" s="169"/>
      <c r="M76" s="169"/>
      <c r="N76" s="166">
        <v>0</v>
      </c>
      <c r="O76" s="167"/>
      <c r="P76" s="168"/>
      <c r="Q76" s="170">
        <v>0</v>
      </c>
      <c r="R76" s="171"/>
      <c r="S76" s="172"/>
      <c r="T76" s="166">
        <v>0</v>
      </c>
      <c r="U76" s="167"/>
      <c r="V76" s="168"/>
      <c r="W76" s="170">
        <v>0</v>
      </c>
      <c r="X76" s="171"/>
      <c r="Y76" s="171"/>
      <c r="Z76" s="170">
        <v>0</v>
      </c>
      <c r="AA76" s="171"/>
      <c r="AB76" s="172"/>
      <c r="AC76" s="173">
        <v>0</v>
      </c>
      <c r="AD76" s="173"/>
      <c r="AE76" s="173"/>
      <c r="AF76" s="170">
        <f>348</f>
        <v>348</v>
      </c>
      <c r="AG76" s="171"/>
      <c r="AH76" s="171"/>
      <c r="AI76" s="173">
        <v>0</v>
      </c>
      <c r="AJ76" s="173"/>
      <c r="AK76" s="170"/>
      <c r="AL76" s="173">
        <v>0</v>
      </c>
      <c r="AM76" s="173"/>
      <c r="AN76" s="170"/>
      <c r="AO76" s="33">
        <f>468+348</f>
        <v>816</v>
      </c>
      <c r="AP76" s="34"/>
      <c r="AQ76" s="35"/>
      <c r="AR76" s="174">
        <f>AO76/AO100</f>
        <v>1.2252686983473605E-3</v>
      </c>
      <c r="AS76" s="173">
        <f>3355.6+AO76</f>
        <v>4171.6000000000004</v>
      </c>
      <c r="AT76" s="173"/>
    </row>
    <row r="77" spans="1:46" x14ac:dyDescent="0.25">
      <c r="A77" s="181" t="s">
        <v>82</v>
      </c>
      <c r="B77" s="165">
        <v>1290.2100000000003</v>
      </c>
      <c r="C77" s="165"/>
      <c r="D77" s="165"/>
      <c r="E77" s="166">
        <v>42.75</v>
      </c>
      <c r="F77" s="167"/>
      <c r="G77" s="168"/>
      <c r="H77" s="166">
        <v>0</v>
      </c>
      <c r="I77" s="167"/>
      <c r="J77" s="168"/>
      <c r="K77" s="169">
        <v>62.81</v>
      </c>
      <c r="L77" s="169"/>
      <c r="M77" s="169"/>
      <c r="N77" s="166">
        <v>69.150000000000006</v>
      </c>
      <c r="O77" s="167"/>
      <c r="P77" s="168"/>
      <c r="Q77" s="170">
        <v>27.9</v>
      </c>
      <c r="R77" s="171"/>
      <c r="S77" s="172"/>
      <c r="T77" s="166">
        <v>17.989999999999998</v>
      </c>
      <c r="U77" s="167"/>
      <c r="V77" s="168"/>
      <c r="W77" s="170">
        <f>7.98+6.5+12.25+27.9+29.59</f>
        <v>84.22</v>
      </c>
      <c r="X77" s="171"/>
      <c r="Y77" s="171"/>
      <c r="Z77" s="170">
        <f>27.9</f>
        <v>27.9</v>
      </c>
      <c r="AA77" s="171"/>
      <c r="AB77" s="172"/>
      <c r="AC77" s="173">
        <v>0</v>
      </c>
      <c r="AD77" s="173"/>
      <c r="AE77" s="173"/>
      <c r="AF77" s="170">
        <f>49.6</f>
        <v>49.6</v>
      </c>
      <c r="AG77" s="171"/>
      <c r="AH77" s="171"/>
      <c r="AI77" s="173">
        <f>1.39+1.39+26.9</f>
        <v>29.68</v>
      </c>
      <c r="AJ77" s="173"/>
      <c r="AK77" s="170"/>
      <c r="AL77" s="173">
        <v>0</v>
      </c>
      <c r="AM77" s="173"/>
      <c r="AN77" s="170"/>
      <c r="AO77" s="33">
        <f>42.75+62.81+69.15+27.9+17.99+84.22+27.9+49.6+29.68</f>
        <v>412.00000000000006</v>
      </c>
      <c r="AP77" s="34"/>
      <c r="AQ77" s="35"/>
      <c r="AR77" s="174">
        <f>AO77/AO100</f>
        <v>6.1864056828322619E-4</v>
      </c>
      <c r="AS77" s="173">
        <f>3151.88+AO77</f>
        <v>3563.88</v>
      </c>
      <c r="AT77" s="173"/>
    </row>
    <row r="78" spans="1:46" x14ac:dyDescent="0.25">
      <c r="A78" s="181" t="s">
        <v>83</v>
      </c>
      <c r="B78" s="165">
        <v>0</v>
      </c>
      <c r="C78" s="165"/>
      <c r="D78" s="165"/>
      <c r="E78" s="166">
        <v>0</v>
      </c>
      <c r="F78" s="167"/>
      <c r="G78" s="168"/>
      <c r="H78" s="166">
        <v>0</v>
      </c>
      <c r="I78" s="167"/>
      <c r="J78" s="168"/>
      <c r="K78" s="169">
        <v>0</v>
      </c>
      <c r="L78" s="169"/>
      <c r="M78" s="169"/>
      <c r="N78" s="166">
        <v>0</v>
      </c>
      <c r="O78" s="167"/>
      <c r="P78" s="168"/>
      <c r="Q78" s="170">
        <v>0</v>
      </c>
      <c r="R78" s="171"/>
      <c r="S78" s="172"/>
      <c r="T78" s="166">
        <v>0</v>
      </c>
      <c r="U78" s="167"/>
      <c r="V78" s="168"/>
      <c r="W78" s="170">
        <v>0</v>
      </c>
      <c r="X78" s="171"/>
      <c r="Y78" s="171"/>
      <c r="Z78" s="170">
        <v>0</v>
      </c>
      <c r="AA78" s="171"/>
      <c r="AB78" s="172"/>
      <c r="AC78" s="173">
        <v>0</v>
      </c>
      <c r="AD78" s="173"/>
      <c r="AE78" s="173"/>
      <c r="AF78" s="170">
        <v>0</v>
      </c>
      <c r="AG78" s="171"/>
      <c r="AH78" s="171"/>
      <c r="AI78" s="173">
        <v>0</v>
      </c>
      <c r="AJ78" s="173"/>
      <c r="AK78" s="170"/>
      <c r="AL78" s="173">
        <v>0</v>
      </c>
      <c r="AM78" s="173"/>
      <c r="AN78" s="170"/>
      <c r="AO78" s="33">
        <v>0</v>
      </c>
      <c r="AP78" s="34"/>
      <c r="AQ78" s="35"/>
      <c r="AR78" s="174">
        <f>AO78/AO100</f>
        <v>0</v>
      </c>
      <c r="AS78" s="184">
        <f>2056.76+AO78</f>
        <v>2056.7600000000002</v>
      </c>
      <c r="AT78" s="184"/>
    </row>
    <row r="79" spans="1:46" x14ac:dyDescent="0.25">
      <c r="A79" s="181" t="s">
        <v>84</v>
      </c>
      <c r="B79" s="165">
        <v>51207.24</v>
      </c>
      <c r="C79" s="165"/>
      <c r="D79" s="165"/>
      <c r="E79" s="166">
        <v>4202.8</v>
      </c>
      <c r="F79" s="167"/>
      <c r="G79" s="168"/>
      <c r="H79" s="166">
        <v>4221.16</v>
      </c>
      <c r="I79" s="167"/>
      <c r="J79" s="168"/>
      <c r="K79" s="169">
        <v>3035.75</v>
      </c>
      <c r="L79" s="169"/>
      <c r="M79" s="169"/>
      <c r="N79" s="166">
        <v>3922.71</v>
      </c>
      <c r="O79" s="167"/>
      <c r="P79" s="168"/>
      <c r="Q79" s="170">
        <v>4202.8</v>
      </c>
      <c r="R79" s="171"/>
      <c r="S79" s="172"/>
      <c r="T79" s="166">
        <v>4460.6499999999996</v>
      </c>
      <c r="U79" s="167"/>
      <c r="V79" s="168"/>
      <c r="W79" s="170">
        <f>1267.58+2642.57+1892.71</f>
        <v>5802.8600000000006</v>
      </c>
      <c r="X79" s="171"/>
      <c r="Y79" s="171"/>
      <c r="Z79" s="170">
        <f>2002.78+1699.16+1007.15</f>
        <v>4709.09</v>
      </c>
      <c r="AA79" s="171"/>
      <c r="AB79" s="172"/>
      <c r="AC79" s="173">
        <f>2505.48+1488.82+8009.33</f>
        <v>12003.630000000001</v>
      </c>
      <c r="AD79" s="173"/>
      <c r="AE79" s="173"/>
      <c r="AF79" s="170">
        <f>2534.78</f>
        <v>2534.7800000000002</v>
      </c>
      <c r="AG79" s="171"/>
      <c r="AH79" s="171"/>
      <c r="AI79" s="173">
        <f>157.75+2528.19+1570.85</f>
        <v>4256.79</v>
      </c>
      <c r="AJ79" s="173"/>
      <c r="AK79" s="170"/>
      <c r="AL79" s="173">
        <f>2528.19+1157.14+2491.45</f>
        <v>6176.78</v>
      </c>
      <c r="AM79" s="173"/>
      <c r="AN79" s="170"/>
      <c r="AO79" s="33">
        <f>4202.8+4221.16+3035.75+3922.71+4202.8+4460.65+5802.86+4709.09+12003.63+2534.78+4256.79+6176.78</f>
        <v>59529.799999999988</v>
      </c>
      <c r="AP79" s="34"/>
      <c r="AQ79" s="35"/>
      <c r="AR79" s="174">
        <f>AO79/AO100</f>
        <v>8.9387255586861142E-2</v>
      </c>
      <c r="AS79" s="184">
        <f>87672.22+AO79</f>
        <v>147202.01999999999</v>
      </c>
      <c r="AT79" s="184"/>
    </row>
    <row r="80" spans="1:46" x14ac:dyDescent="0.25">
      <c r="A80" s="181" t="s">
        <v>85</v>
      </c>
      <c r="B80" s="165">
        <v>49517.05</v>
      </c>
      <c r="C80" s="165"/>
      <c r="D80" s="165"/>
      <c r="E80" s="166">
        <v>3400.3</v>
      </c>
      <c r="F80" s="167"/>
      <c r="G80" s="168"/>
      <c r="H80" s="166">
        <v>3709.76</v>
      </c>
      <c r="I80" s="167"/>
      <c r="J80" s="168"/>
      <c r="K80" s="169">
        <v>3762.71</v>
      </c>
      <c r="L80" s="169"/>
      <c r="M80" s="169"/>
      <c r="N80" s="166">
        <v>3682.7</v>
      </c>
      <c r="O80" s="167"/>
      <c r="P80" s="168"/>
      <c r="Q80" s="170">
        <v>3809.91</v>
      </c>
      <c r="R80" s="171"/>
      <c r="S80" s="172"/>
      <c r="T80" s="166">
        <v>3687.0499999999997</v>
      </c>
      <c r="U80" s="167"/>
      <c r="V80" s="168"/>
      <c r="W80" s="170">
        <f>81.7+427.96+1723.75+53.49+981+418.3</f>
        <v>3686.2</v>
      </c>
      <c r="X80" s="171"/>
      <c r="Y80" s="171"/>
      <c r="Z80" s="170">
        <f>454.04+1828.93+56.75+49.76+881+380.7</f>
        <v>3651.1800000000003</v>
      </c>
      <c r="AA80" s="171"/>
      <c r="AB80" s="172"/>
      <c r="AC80" s="173">
        <f>467.06+58.38+63.83+1871.79+437.1+578+2782.88+70</f>
        <v>6329.04</v>
      </c>
      <c r="AD80" s="173"/>
      <c r="AE80" s="173"/>
      <c r="AF80" s="170">
        <f>480.74+261.92+67.83+380.7+503+52.58+82.3+1797</f>
        <v>3626.0699999999997</v>
      </c>
      <c r="AG80" s="171"/>
      <c r="AH80" s="171"/>
      <c r="AI80" s="173">
        <f>52.58+250.02+65.81+1031.35+31.25+399.5+528</f>
        <v>2358.5100000000002</v>
      </c>
      <c r="AJ80" s="173"/>
      <c r="AK80" s="170"/>
      <c r="AL80" s="173">
        <f>173.9+228+396.35+1331.35+1036.27+65.81+46.25</f>
        <v>3277.93</v>
      </c>
      <c r="AM80" s="173"/>
      <c r="AN80" s="170"/>
      <c r="AO80" s="33">
        <f>3400.3+3709.76+3762.71+3682.7+3809.91+3687.05+3686.2+3651.18+6329.04+3626.07+2358.51+3277.93</f>
        <v>44981.36</v>
      </c>
      <c r="AP80" s="34"/>
      <c r="AQ80" s="35"/>
      <c r="AR80" s="174">
        <f>AO80/AO100</f>
        <v>6.7541976001340723E-2</v>
      </c>
      <c r="AS80" s="184">
        <f>74831.06+AO80</f>
        <v>119812.42</v>
      </c>
      <c r="AT80" s="184"/>
    </row>
    <row r="81" spans="1:46" x14ac:dyDescent="0.25">
      <c r="A81" s="154" t="s">
        <v>86</v>
      </c>
      <c r="B81" s="155">
        <v>1929.6799999999998</v>
      </c>
      <c r="C81" s="155"/>
      <c r="D81" s="155"/>
      <c r="E81" s="156">
        <f>SUM(E82:E86)</f>
        <v>75</v>
      </c>
      <c r="F81" s="157"/>
      <c r="G81" s="158"/>
      <c r="H81" s="156">
        <f t="shared" ref="H81" si="30">SUM(H82:H86)</f>
        <v>227.23000000000002</v>
      </c>
      <c r="I81" s="157"/>
      <c r="J81" s="158"/>
      <c r="K81" s="159">
        <f>SUM(K82:K86)</f>
        <v>53</v>
      </c>
      <c r="L81" s="159"/>
      <c r="M81" s="159"/>
      <c r="N81" s="156">
        <f t="shared" ref="N81" si="31">SUM(N82:N86)</f>
        <v>34</v>
      </c>
      <c r="O81" s="157"/>
      <c r="P81" s="158"/>
      <c r="Q81" s="156">
        <f t="shared" ref="Q81" si="32">SUM(Q82:Q86)</f>
        <v>60.5</v>
      </c>
      <c r="R81" s="157"/>
      <c r="S81" s="158"/>
      <c r="T81" s="156">
        <f t="shared" ref="T81" si="33">SUM(T82:T86)</f>
        <v>53</v>
      </c>
      <c r="U81" s="157"/>
      <c r="V81" s="158"/>
      <c r="W81" s="160">
        <f>SUM(W82:Y86)</f>
        <v>17</v>
      </c>
      <c r="X81" s="161"/>
      <c r="Y81" s="161"/>
      <c r="Z81" s="160">
        <f>SUM(Z82:AB86)</f>
        <v>223.89999999999998</v>
      </c>
      <c r="AA81" s="161"/>
      <c r="AB81" s="161"/>
      <c r="AC81" s="155">
        <f>SUM(AC82:AE86)</f>
        <v>114.3</v>
      </c>
      <c r="AD81" s="155"/>
      <c r="AE81" s="155"/>
      <c r="AF81" s="160">
        <f>SUM(AF82:AH86)</f>
        <v>17</v>
      </c>
      <c r="AG81" s="161"/>
      <c r="AH81" s="161"/>
      <c r="AI81" s="160">
        <f>SUM(AI82:AK86)</f>
        <v>102.46</v>
      </c>
      <c r="AJ81" s="161"/>
      <c r="AK81" s="161"/>
      <c r="AL81" s="160">
        <f>SUM(AL82:AN86)</f>
        <v>103.1</v>
      </c>
      <c r="AM81" s="161"/>
      <c r="AN81" s="161"/>
      <c r="AO81" s="160">
        <f>SUM(AO82:AQ86)</f>
        <v>1080.49</v>
      </c>
      <c r="AP81" s="161"/>
      <c r="AQ81" s="185"/>
      <c r="AR81" s="162">
        <f>AO81/AO100</f>
        <v>1.6224149214183084E-3</v>
      </c>
      <c r="AS81" s="163">
        <f>SUM(AS82:AT86)</f>
        <v>21260.080000000002</v>
      </c>
      <c r="AT81" s="163"/>
    </row>
    <row r="82" spans="1:46" x14ac:dyDescent="0.25">
      <c r="A82" s="164" t="s">
        <v>87</v>
      </c>
      <c r="B82" s="165">
        <v>354.09999999999997</v>
      </c>
      <c r="C82" s="165"/>
      <c r="D82" s="165"/>
      <c r="E82" s="166">
        <v>0</v>
      </c>
      <c r="F82" s="167"/>
      <c r="G82" s="168"/>
      <c r="H82" s="166">
        <v>0</v>
      </c>
      <c r="I82" s="167"/>
      <c r="J82" s="168"/>
      <c r="K82" s="169">
        <v>0</v>
      </c>
      <c r="L82" s="169"/>
      <c r="M82" s="169"/>
      <c r="N82" s="166">
        <v>0</v>
      </c>
      <c r="O82" s="167"/>
      <c r="P82" s="168"/>
      <c r="Q82" s="170">
        <v>0</v>
      </c>
      <c r="R82" s="171"/>
      <c r="S82" s="172"/>
      <c r="T82" s="166">
        <v>0</v>
      </c>
      <c r="U82" s="167"/>
      <c r="V82" s="168"/>
      <c r="W82" s="170">
        <v>0</v>
      </c>
      <c r="X82" s="171"/>
      <c r="Y82" s="171"/>
      <c r="Z82" s="170">
        <v>0</v>
      </c>
      <c r="AA82" s="171"/>
      <c r="AB82" s="172"/>
      <c r="AC82" s="173">
        <v>0</v>
      </c>
      <c r="AD82" s="173"/>
      <c r="AE82" s="173"/>
      <c r="AF82" s="170">
        <v>0</v>
      </c>
      <c r="AG82" s="171"/>
      <c r="AH82" s="171"/>
      <c r="AI82" s="173">
        <v>0</v>
      </c>
      <c r="AJ82" s="173"/>
      <c r="AK82" s="170"/>
      <c r="AL82" s="173">
        <v>0</v>
      </c>
      <c r="AM82" s="173"/>
      <c r="AN82" s="170"/>
      <c r="AO82" s="33">
        <v>0</v>
      </c>
      <c r="AP82" s="34"/>
      <c r="AQ82" s="35"/>
      <c r="AR82" s="174">
        <f>AO82/AO100</f>
        <v>0</v>
      </c>
      <c r="AS82" s="173">
        <f>4832.06+AO82</f>
        <v>4832.0600000000004</v>
      </c>
      <c r="AT82" s="173"/>
    </row>
    <row r="83" spans="1:46" x14ac:dyDescent="0.25">
      <c r="A83" s="164" t="s">
        <v>88</v>
      </c>
      <c r="B83" s="33">
        <v>0</v>
      </c>
      <c r="C83" s="34"/>
      <c r="D83" s="35"/>
      <c r="E83" s="166">
        <v>0</v>
      </c>
      <c r="F83" s="167"/>
      <c r="G83" s="168"/>
      <c r="H83" s="166">
        <v>0</v>
      </c>
      <c r="I83" s="167"/>
      <c r="J83" s="168"/>
      <c r="K83" s="169">
        <v>0</v>
      </c>
      <c r="L83" s="169"/>
      <c r="M83" s="169"/>
      <c r="N83" s="166">
        <v>0</v>
      </c>
      <c r="O83" s="167"/>
      <c r="P83" s="168"/>
      <c r="Q83" s="170">
        <v>0</v>
      </c>
      <c r="R83" s="171"/>
      <c r="S83" s="172"/>
      <c r="T83" s="166">
        <v>0</v>
      </c>
      <c r="U83" s="167"/>
      <c r="V83" s="168"/>
      <c r="W83" s="170">
        <v>0</v>
      </c>
      <c r="X83" s="171"/>
      <c r="Y83" s="171"/>
      <c r="Z83" s="170">
        <v>0</v>
      </c>
      <c r="AA83" s="171"/>
      <c r="AB83" s="172"/>
      <c r="AC83" s="173">
        <v>0</v>
      </c>
      <c r="AD83" s="173"/>
      <c r="AE83" s="173"/>
      <c r="AF83" s="170">
        <v>0</v>
      </c>
      <c r="AG83" s="171"/>
      <c r="AH83" s="171"/>
      <c r="AI83" s="173">
        <v>0</v>
      </c>
      <c r="AJ83" s="173"/>
      <c r="AK83" s="170"/>
      <c r="AL83" s="173">
        <v>0</v>
      </c>
      <c r="AM83" s="173"/>
      <c r="AN83" s="170"/>
      <c r="AO83" s="33">
        <v>0</v>
      </c>
      <c r="AP83" s="34"/>
      <c r="AQ83" s="35"/>
      <c r="AR83" s="174">
        <f>AO83/AO100</f>
        <v>0</v>
      </c>
      <c r="AS83" s="173">
        <f>0+AO83</f>
        <v>0</v>
      </c>
      <c r="AT83" s="173"/>
    </row>
    <row r="84" spans="1:46" x14ac:dyDescent="0.25">
      <c r="A84" s="164" t="s">
        <v>89</v>
      </c>
      <c r="B84" s="33">
        <v>335</v>
      </c>
      <c r="C84" s="34"/>
      <c r="D84" s="35"/>
      <c r="E84" s="166">
        <v>75</v>
      </c>
      <c r="F84" s="167"/>
      <c r="G84" s="168"/>
      <c r="H84" s="166">
        <v>35</v>
      </c>
      <c r="I84" s="167"/>
      <c r="J84" s="168"/>
      <c r="K84" s="169">
        <v>17</v>
      </c>
      <c r="L84" s="169"/>
      <c r="M84" s="169"/>
      <c r="N84" s="166">
        <v>34</v>
      </c>
      <c r="O84" s="167"/>
      <c r="P84" s="168"/>
      <c r="Q84" s="170">
        <v>32</v>
      </c>
      <c r="R84" s="171"/>
      <c r="S84" s="172"/>
      <c r="T84" s="166">
        <v>17</v>
      </c>
      <c r="U84" s="167"/>
      <c r="V84" s="168"/>
      <c r="W84" s="170">
        <f>17</f>
        <v>17</v>
      </c>
      <c r="X84" s="171"/>
      <c r="Y84" s="171"/>
      <c r="Z84" s="170">
        <f>17+15</f>
        <v>32</v>
      </c>
      <c r="AA84" s="171"/>
      <c r="AB84" s="172"/>
      <c r="AC84" s="173">
        <f>17</f>
        <v>17</v>
      </c>
      <c r="AD84" s="173"/>
      <c r="AE84" s="173"/>
      <c r="AF84" s="170">
        <f>17</f>
        <v>17</v>
      </c>
      <c r="AG84" s="171"/>
      <c r="AH84" s="171"/>
      <c r="AI84" s="173">
        <f>17</f>
        <v>17</v>
      </c>
      <c r="AJ84" s="173"/>
      <c r="AK84" s="170"/>
      <c r="AL84" s="173">
        <f>17+17+17+17</f>
        <v>68</v>
      </c>
      <c r="AM84" s="173"/>
      <c r="AN84" s="170"/>
      <c r="AO84" s="33">
        <f>75+35+17+34+32+17+17+32+17+17+17+68</f>
        <v>378</v>
      </c>
      <c r="AP84" s="34"/>
      <c r="AQ84" s="35"/>
      <c r="AR84" s="174">
        <f>AO84/AO100</f>
        <v>5.6758770585208613E-4</v>
      </c>
      <c r="AS84" s="173">
        <f>722+AO84</f>
        <v>1100</v>
      </c>
      <c r="AT84" s="173"/>
    </row>
    <row r="85" spans="1:46" x14ac:dyDescent="0.25">
      <c r="A85" s="164" t="s">
        <v>90</v>
      </c>
      <c r="B85" s="33">
        <v>849.74999999999989</v>
      </c>
      <c r="C85" s="34"/>
      <c r="D85" s="35"/>
      <c r="E85" s="166">
        <v>0</v>
      </c>
      <c r="F85" s="167"/>
      <c r="G85" s="168"/>
      <c r="H85" s="166">
        <v>135.46</v>
      </c>
      <c r="I85" s="167"/>
      <c r="J85" s="168"/>
      <c r="K85" s="169">
        <v>36</v>
      </c>
      <c r="L85" s="169"/>
      <c r="M85" s="169"/>
      <c r="N85" s="166">
        <v>0</v>
      </c>
      <c r="O85" s="167"/>
      <c r="P85" s="168"/>
      <c r="Q85" s="170">
        <v>0</v>
      </c>
      <c r="R85" s="171"/>
      <c r="S85" s="172"/>
      <c r="T85" s="166">
        <v>36</v>
      </c>
      <c r="U85" s="167"/>
      <c r="V85" s="168"/>
      <c r="W85" s="170">
        <v>0</v>
      </c>
      <c r="X85" s="171"/>
      <c r="Y85" s="171"/>
      <c r="Z85" s="170">
        <f>72+33.1+33.1+33.1</f>
        <v>171.29999999999998</v>
      </c>
      <c r="AA85" s="171"/>
      <c r="AB85" s="172"/>
      <c r="AC85" s="173">
        <f>69.3</f>
        <v>69.3</v>
      </c>
      <c r="AD85" s="173"/>
      <c r="AE85" s="173"/>
      <c r="AF85" s="170">
        <v>0</v>
      </c>
      <c r="AG85" s="171"/>
      <c r="AH85" s="171"/>
      <c r="AI85" s="173">
        <f>72.1+4</f>
        <v>76.099999999999994</v>
      </c>
      <c r="AJ85" s="173"/>
      <c r="AK85" s="170"/>
      <c r="AL85" s="173">
        <f>35.1</f>
        <v>35.1</v>
      </c>
      <c r="AM85" s="173"/>
      <c r="AN85" s="170"/>
      <c r="AO85" s="33">
        <f>135.46+36+36+171.3+69.3+76.1+35.1</f>
        <v>559.26</v>
      </c>
      <c r="AP85" s="34"/>
      <c r="AQ85" s="35"/>
      <c r="AR85" s="174">
        <f>AO85/AO100</f>
        <v>8.3975952480115786E-4</v>
      </c>
      <c r="AS85" s="173">
        <f>14234.7+AO85</f>
        <v>14793.960000000001</v>
      </c>
      <c r="AT85" s="173"/>
    </row>
    <row r="86" spans="1:46" x14ac:dyDescent="0.25">
      <c r="A86" s="164" t="s">
        <v>91</v>
      </c>
      <c r="B86" s="33">
        <v>390.83</v>
      </c>
      <c r="C86" s="34"/>
      <c r="D86" s="35"/>
      <c r="E86" s="166">
        <v>0</v>
      </c>
      <c r="F86" s="167"/>
      <c r="G86" s="168"/>
      <c r="H86" s="166">
        <v>56.77</v>
      </c>
      <c r="I86" s="167"/>
      <c r="J86" s="168"/>
      <c r="K86" s="169">
        <v>0</v>
      </c>
      <c r="L86" s="169"/>
      <c r="M86" s="169"/>
      <c r="N86" s="166">
        <v>0</v>
      </c>
      <c r="O86" s="167"/>
      <c r="P86" s="168"/>
      <c r="Q86" s="170">
        <v>28.5</v>
      </c>
      <c r="R86" s="171"/>
      <c r="S86" s="172"/>
      <c r="T86" s="166">
        <v>0</v>
      </c>
      <c r="U86" s="167"/>
      <c r="V86" s="168"/>
      <c r="W86" s="170">
        <v>0</v>
      </c>
      <c r="X86" s="171"/>
      <c r="Y86" s="171"/>
      <c r="Z86" s="170">
        <f>9.5+11.1</f>
        <v>20.6</v>
      </c>
      <c r="AA86" s="171"/>
      <c r="AB86" s="172"/>
      <c r="AC86" s="173">
        <f>15+13</f>
        <v>28</v>
      </c>
      <c r="AD86" s="173"/>
      <c r="AE86" s="173"/>
      <c r="AF86" s="170">
        <v>0</v>
      </c>
      <c r="AG86" s="171"/>
      <c r="AH86" s="171"/>
      <c r="AI86" s="173">
        <f>4.08+2.04+3.24</f>
        <v>9.36</v>
      </c>
      <c r="AJ86" s="173"/>
      <c r="AK86" s="170"/>
      <c r="AL86" s="173">
        <v>0</v>
      </c>
      <c r="AM86" s="173"/>
      <c r="AN86" s="170"/>
      <c r="AO86" s="33">
        <f>56.77+28.5+20.6+28+9.36</f>
        <v>143.23000000000002</v>
      </c>
      <c r="AP86" s="34"/>
      <c r="AQ86" s="35"/>
      <c r="AR86" s="174">
        <f>AO86/AO100</f>
        <v>2.1506769076506431E-4</v>
      </c>
      <c r="AS86" s="173">
        <f>390.83+AO86</f>
        <v>534.05999999999995</v>
      </c>
      <c r="AT86" s="173"/>
    </row>
    <row r="87" spans="1:46" x14ac:dyDescent="0.25">
      <c r="A87" s="154" t="s">
        <v>92</v>
      </c>
      <c r="B87" s="160">
        <v>6551.1</v>
      </c>
      <c r="C87" s="161"/>
      <c r="D87" s="185"/>
      <c r="E87" s="156">
        <f>SUM(E88:E91)</f>
        <v>0</v>
      </c>
      <c r="F87" s="157"/>
      <c r="G87" s="158"/>
      <c r="H87" s="156">
        <f>SUM(H88:H91)</f>
        <v>173016.22</v>
      </c>
      <c r="I87" s="157"/>
      <c r="J87" s="158"/>
      <c r="K87" s="159">
        <f>SUM(K88:K91)</f>
        <v>7453.9</v>
      </c>
      <c r="L87" s="159"/>
      <c r="M87" s="159"/>
      <c r="N87" s="156">
        <f>SUM(N88:N91)</f>
        <v>0</v>
      </c>
      <c r="O87" s="157"/>
      <c r="P87" s="158"/>
      <c r="Q87" s="156">
        <f>SUM(Q88:Q91)</f>
        <v>7056.9</v>
      </c>
      <c r="R87" s="157"/>
      <c r="S87" s="158"/>
      <c r="T87" s="156">
        <f>SUM(T88:T91)</f>
        <v>863.99</v>
      </c>
      <c r="U87" s="157"/>
      <c r="V87" s="158"/>
      <c r="W87" s="156">
        <f>SUM(W88:W91)</f>
        <v>2227.6999999999998</v>
      </c>
      <c r="X87" s="157"/>
      <c r="Y87" s="158"/>
      <c r="Z87" s="156">
        <f>SUM(Z88:Z91)</f>
        <v>8223.25</v>
      </c>
      <c r="AA87" s="157"/>
      <c r="AB87" s="158"/>
      <c r="AC87" s="159">
        <f>SUM(AC88:AC91)</f>
        <v>360</v>
      </c>
      <c r="AD87" s="159"/>
      <c r="AE87" s="159"/>
      <c r="AF87" s="156">
        <f>SUM(AF88:AF91)</f>
        <v>340</v>
      </c>
      <c r="AG87" s="157"/>
      <c r="AH87" s="157"/>
      <c r="AI87" s="156">
        <f>SUM(AI88:AI91)</f>
        <v>0</v>
      </c>
      <c r="AJ87" s="157"/>
      <c r="AK87" s="157"/>
      <c r="AL87" s="156">
        <f>SUM(AL88:AL91)</f>
        <v>0</v>
      </c>
      <c r="AM87" s="157"/>
      <c r="AN87" s="157"/>
      <c r="AO87" s="160">
        <f>SUM(AO88:AQ91)</f>
        <v>199541.96000000002</v>
      </c>
      <c r="AP87" s="161"/>
      <c r="AQ87" s="185"/>
      <c r="AR87" s="162">
        <f>AO87/AO100</f>
        <v>0.29962318332706017</v>
      </c>
      <c r="AS87" s="163">
        <f>SUM(AS88:AT91)</f>
        <v>273602.88</v>
      </c>
      <c r="AT87" s="163"/>
    </row>
    <row r="88" spans="1:46" x14ac:dyDescent="0.25">
      <c r="A88" s="164" t="s">
        <v>93</v>
      </c>
      <c r="B88" s="33">
        <v>6489.1</v>
      </c>
      <c r="C88" s="34"/>
      <c r="D88" s="35"/>
      <c r="E88" s="166">
        <v>0</v>
      </c>
      <c r="F88" s="167"/>
      <c r="G88" s="168"/>
      <c r="H88" s="166">
        <v>0</v>
      </c>
      <c r="I88" s="167"/>
      <c r="J88" s="168"/>
      <c r="K88" s="169">
        <v>7453.9</v>
      </c>
      <c r="L88" s="169"/>
      <c r="M88" s="169"/>
      <c r="N88" s="166">
        <v>0</v>
      </c>
      <c r="O88" s="167"/>
      <c r="P88" s="168"/>
      <c r="Q88" s="170">
        <v>7056.9</v>
      </c>
      <c r="R88" s="171"/>
      <c r="S88" s="172"/>
      <c r="T88" s="166">
        <v>0</v>
      </c>
      <c r="U88" s="167"/>
      <c r="V88" s="168"/>
      <c r="W88" s="170">
        <f>1158.71+197.82</f>
        <v>1356.53</v>
      </c>
      <c r="X88" s="171"/>
      <c r="Y88" s="171"/>
      <c r="Z88" s="170">
        <f>8163.25</f>
        <v>8163.25</v>
      </c>
      <c r="AA88" s="171"/>
      <c r="AB88" s="172"/>
      <c r="AC88" s="173">
        <v>0</v>
      </c>
      <c r="AD88" s="173"/>
      <c r="AE88" s="173"/>
      <c r="AF88" s="170">
        <v>0</v>
      </c>
      <c r="AG88" s="171"/>
      <c r="AH88" s="171"/>
      <c r="AI88" s="173">
        <v>0</v>
      </c>
      <c r="AJ88" s="173"/>
      <c r="AK88" s="170"/>
      <c r="AL88" s="173">
        <v>0</v>
      </c>
      <c r="AM88" s="173"/>
      <c r="AN88" s="170"/>
      <c r="AO88" s="33">
        <f>7453.9+7056.9+1356.53+8163.25</f>
        <v>24030.58</v>
      </c>
      <c r="AP88" s="34"/>
      <c r="AQ88" s="35"/>
      <c r="AR88" s="174">
        <f>AO88/AO100</f>
        <v>3.6083232202367789E-2</v>
      </c>
      <c r="AS88" s="173">
        <f>69328.92+AO88</f>
        <v>93359.5</v>
      </c>
      <c r="AT88" s="173"/>
    </row>
    <row r="89" spans="1:46" x14ac:dyDescent="0.25">
      <c r="A89" s="164" t="s">
        <v>94</v>
      </c>
      <c r="B89" s="33">
        <v>0</v>
      </c>
      <c r="C89" s="34"/>
      <c r="D89" s="35"/>
      <c r="E89" s="166">
        <v>0</v>
      </c>
      <c r="F89" s="167"/>
      <c r="G89" s="168"/>
      <c r="H89" s="166">
        <v>0</v>
      </c>
      <c r="I89" s="167"/>
      <c r="J89" s="168"/>
      <c r="K89" s="169">
        <v>0</v>
      </c>
      <c r="L89" s="169"/>
      <c r="M89" s="169"/>
      <c r="N89" s="166">
        <v>0</v>
      </c>
      <c r="O89" s="167"/>
      <c r="P89" s="168"/>
      <c r="Q89" s="170">
        <v>0</v>
      </c>
      <c r="R89" s="171"/>
      <c r="S89" s="172"/>
      <c r="T89" s="166">
        <v>0</v>
      </c>
      <c r="U89" s="167"/>
      <c r="V89" s="168"/>
      <c r="W89" s="170">
        <v>0</v>
      </c>
      <c r="X89" s="171"/>
      <c r="Y89" s="171"/>
      <c r="Z89" s="170">
        <v>0</v>
      </c>
      <c r="AA89" s="171"/>
      <c r="AB89" s="172"/>
      <c r="AC89" s="173">
        <v>0</v>
      </c>
      <c r="AD89" s="173"/>
      <c r="AE89" s="173"/>
      <c r="AF89" s="170">
        <v>0</v>
      </c>
      <c r="AG89" s="171"/>
      <c r="AH89" s="171"/>
      <c r="AI89" s="173">
        <v>0</v>
      </c>
      <c r="AJ89" s="173"/>
      <c r="AK89" s="170"/>
      <c r="AL89" s="173">
        <v>0</v>
      </c>
      <c r="AM89" s="173"/>
      <c r="AN89" s="170"/>
      <c r="AO89" s="33">
        <f>0</f>
        <v>0</v>
      </c>
      <c r="AP89" s="34"/>
      <c r="AQ89" s="35"/>
      <c r="AR89" s="174">
        <f>AO89/AO100</f>
        <v>0</v>
      </c>
      <c r="AS89" s="173">
        <f>1000+AO89</f>
        <v>1000</v>
      </c>
      <c r="AT89" s="173"/>
    </row>
    <row r="90" spans="1:46" x14ac:dyDescent="0.25">
      <c r="A90" s="164" t="s">
        <v>95</v>
      </c>
      <c r="B90" s="33">
        <v>62</v>
      </c>
      <c r="C90" s="34"/>
      <c r="D90" s="35"/>
      <c r="E90" s="166">
        <v>0</v>
      </c>
      <c r="F90" s="167"/>
      <c r="G90" s="168"/>
      <c r="H90" s="166">
        <v>173016.22</v>
      </c>
      <c r="I90" s="167"/>
      <c r="J90" s="168"/>
      <c r="K90" s="169">
        <v>0</v>
      </c>
      <c r="L90" s="169"/>
      <c r="M90" s="169"/>
      <c r="N90" s="166">
        <v>0</v>
      </c>
      <c r="O90" s="167"/>
      <c r="P90" s="168"/>
      <c r="Q90" s="170">
        <v>0</v>
      </c>
      <c r="R90" s="171"/>
      <c r="S90" s="172"/>
      <c r="T90" s="166">
        <v>863.99</v>
      </c>
      <c r="U90" s="167"/>
      <c r="V90" s="168"/>
      <c r="W90" s="170">
        <f>511.17+360</f>
        <v>871.17000000000007</v>
      </c>
      <c r="X90" s="171"/>
      <c r="Y90" s="171"/>
      <c r="Z90" s="170">
        <v>0</v>
      </c>
      <c r="AA90" s="171"/>
      <c r="AB90" s="172"/>
      <c r="AC90" s="173">
        <f>360</f>
        <v>360</v>
      </c>
      <c r="AD90" s="173"/>
      <c r="AE90" s="173"/>
      <c r="AF90" s="170">
        <f>340</f>
        <v>340</v>
      </c>
      <c r="AG90" s="171"/>
      <c r="AH90" s="171"/>
      <c r="AI90" s="173">
        <v>0</v>
      </c>
      <c r="AJ90" s="173"/>
      <c r="AK90" s="170"/>
      <c r="AL90" s="173">
        <v>0</v>
      </c>
      <c r="AM90" s="173"/>
      <c r="AN90" s="170"/>
      <c r="AO90" s="33">
        <f>173016.22+863.99+871.17+360+340</f>
        <v>175451.38</v>
      </c>
      <c r="AP90" s="34"/>
      <c r="AQ90" s="35"/>
      <c r="AR90" s="174">
        <f>AO90/AO100</f>
        <v>0.2634498578380492</v>
      </c>
      <c r="AS90" s="173">
        <f>3732+AO90</f>
        <v>179183.38</v>
      </c>
      <c r="AT90" s="173"/>
    </row>
    <row r="91" spans="1:46" x14ac:dyDescent="0.25">
      <c r="A91" s="164" t="s">
        <v>96</v>
      </c>
      <c r="B91" s="33">
        <v>0</v>
      </c>
      <c r="C91" s="34"/>
      <c r="D91" s="35"/>
      <c r="E91" s="166">
        <v>0</v>
      </c>
      <c r="F91" s="167"/>
      <c r="G91" s="168"/>
      <c r="H91" s="166">
        <v>0</v>
      </c>
      <c r="I91" s="167"/>
      <c r="J91" s="168"/>
      <c r="K91" s="166">
        <v>0</v>
      </c>
      <c r="L91" s="167"/>
      <c r="M91" s="168"/>
      <c r="N91" s="166">
        <v>0</v>
      </c>
      <c r="O91" s="167"/>
      <c r="P91" s="168"/>
      <c r="Q91" s="166">
        <v>0</v>
      </c>
      <c r="R91" s="167"/>
      <c r="S91" s="168"/>
      <c r="T91" s="166">
        <v>0</v>
      </c>
      <c r="U91" s="167"/>
      <c r="V91" s="168"/>
      <c r="W91" s="166">
        <v>0</v>
      </c>
      <c r="X91" s="167"/>
      <c r="Y91" s="168"/>
      <c r="Z91" s="170">
        <f>60</f>
        <v>60</v>
      </c>
      <c r="AA91" s="171"/>
      <c r="AB91" s="172"/>
      <c r="AC91" s="173">
        <v>0</v>
      </c>
      <c r="AD91" s="173"/>
      <c r="AE91" s="173"/>
      <c r="AF91" s="170">
        <v>0</v>
      </c>
      <c r="AG91" s="171"/>
      <c r="AH91" s="171"/>
      <c r="AI91" s="173">
        <v>0</v>
      </c>
      <c r="AJ91" s="173"/>
      <c r="AK91" s="170"/>
      <c r="AL91" s="173">
        <v>0</v>
      </c>
      <c r="AM91" s="173"/>
      <c r="AN91" s="170"/>
      <c r="AO91" s="33">
        <f>60</f>
        <v>60</v>
      </c>
      <c r="AP91" s="34"/>
      <c r="AQ91" s="35"/>
      <c r="AR91" s="174">
        <f>AO91/AO100</f>
        <v>9.0093286643188277E-5</v>
      </c>
      <c r="AS91" s="170">
        <f>AO91+0</f>
        <v>60</v>
      </c>
      <c r="AT91" s="172"/>
    </row>
    <row r="92" spans="1:46" x14ac:dyDescent="0.25">
      <c r="A92" s="154" t="s">
        <v>97</v>
      </c>
      <c r="B92" s="160">
        <v>54706.3</v>
      </c>
      <c r="C92" s="161"/>
      <c r="D92" s="185"/>
      <c r="E92" s="156">
        <f>SUM(E93:E99)</f>
        <v>0</v>
      </c>
      <c r="F92" s="157"/>
      <c r="G92" s="158"/>
      <c r="H92" s="156">
        <f t="shared" ref="H92" si="34">SUM(H93:H99)</f>
        <v>2604.98</v>
      </c>
      <c r="I92" s="157"/>
      <c r="J92" s="158"/>
      <c r="K92" s="159">
        <f>SUM(K93:K99)</f>
        <v>14146.78</v>
      </c>
      <c r="L92" s="159"/>
      <c r="M92" s="159"/>
      <c r="N92" s="156">
        <f t="shared" ref="N92" si="35">SUM(N93:N99)</f>
        <v>5441.6900000000005</v>
      </c>
      <c r="O92" s="157"/>
      <c r="P92" s="158"/>
      <c r="Q92" s="156">
        <f t="shared" ref="Q92" si="36">SUM(Q93:Q99)</f>
        <v>1359.04</v>
      </c>
      <c r="R92" s="157"/>
      <c r="S92" s="158"/>
      <c r="T92" s="186">
        <f t="shared" ref="T92" si="37">SUM(T93:T99)</f>
        <v>12457.19</v>
      </c>
      <c r="U92" s="187"/>
      <c r="V92" s="188"/>
      <c r="W92" s="160">
        <f>SUM(W93:Y99)</f>
        <v>5101.3900000000003</v>
      </c>
      <c r="X92" s="161"/>
      <c r="Y92" s="161"/>
      <c r="Z92" s="156">
        <f t="shared" ref="Z92" si="38">SUM(Z93:Z99)</f>
        <v>1734.21</v>
      </c>
      <c r="AA92" s="157"/>
      <c r="AB92" s="158"/>
      <c r="AC92" s="159">
        <f t="shared" ref="AC92" si="39">SUM(AC93:AC99)</f>
        <v>15631.64</v>
      </c>
      <c r="AD92" s="159"/>
      <c r="AE92" s="159"/>
      <c r="AF92" s="156">
        <f t="shared" ref="AF92" si="40">SUM(AF93:AF99)</f>
        <v>0</v>
      </c>
      <c r="AG92" s="157"/>
      <c r="AH92" s="157"/>
      <c r="AI92" s="156">
        <f t="shared" ref="AI92" si="41">SUM(AI93:AI99)</f>
        <v>2929.21</v>
      </c>
      <c r="AJ92" s="157"/>
      <c r="AK92" s="157"/>
      <c r="AL92" s="156">
        <f>SUM(AL93:AL99)</f>
        <v>12281.600000000002</v>
      </c>
      <c r="AM92" s="157"/>
      <c r="AN92" s="157"/>
      <c r="AO92" s="160">
        <f>SUM(AO93:AQ99)</f>
        <v>73687.73000000001</v>
      </c>
      <c r="AP92" s="161"/>
      <c r="AQ92" s="185"/>
      <c r="AR92" s="162">
        <f>AO92/AO100</f>
        <v>0.11064616301626441</v>
      </c>
      <c r="AS92" s="163">
        <f>SUM(AS93:AT99)</f>
        <v>178248.91999999998</v>
      </c>
      <c r="AT92" s="163"/>
    </row>
    <row r="93" spans="1:46" x14ac:dyDescent="0.25">
      <c r="A93" s="181" t="s">
        <v>98</v>
      </c>
      <c r="B93" s="33">
        <v>24831.980000000003</v>
      </c>
      <c r="C93" s="34"/>
      <c r="D93" s="35"/>
      <c r="E93" s="166">
        <v>0</v>
      </c>
      <c r="F93" s="167"/>
      <c r="G93" s="168"/>
      <c r="H93" s="166">
        <v>2417.9499999999998</v>
      </c>
      <c r="I93" s="167"/>
      <c r="J93" s="168"/>
      <c r="K93" s="169">
        <v>2278.7199999999998</v>
      </c>
      <c r="L93" s="169"/>
      <c r="M93" s="169"/>
      <c r="N93" s="166">
        <v>2603.92</v>
      </c>
      <c r="O93" s="167"/>
      <c r="P93" s="168"/>
      <c r="Q93" s="170">
        <v>0</v>
      </c>
      <c r="R93" s="171"/>
      <c r="S93" s="172"/>
      <c r="T93" s="166">
        <v>2258.09</v>
      </c>
      <c r="U93" s="167"/>
      <c r="V93" s="168"/>
      <c r="W93" s="170">
        <f>2413.24+2679.03</f>
        <v>5092.2700000000004</v>
      </c>
      <c r="X93" s="171"/>
      <c r="Y93" s="171"/>
      <c r="Z93" s="170">
        <f>983.02</f>
        <v>983.02</v>
      </c>
      <c r="AA93" s="171"/>
      <c r="AB93" s="172"/>
      <c r="AC93" s="173">
        <f>1809.54+2339.7+1342.41</f>
        <v>5491.65</v>
      </c>
      <c r="AD93" s="173"/>
      <c r="AE93" s="173"/>
      <c r="AF93" s="170">
        <v>0</v>
      </c>
      <c r="AG93" s="171"/>
      <c r="AH93" s="171"/>
      <c r="AI93" s="173">
        <f>2929.21</f>
        <v>2929.21</v>
      </c>
      <c r="AJ93" s="173"/>
      <c r="AK93" s="170"/>
      <c r="AL93" s="173">
        <f>1614.38+2736.44</f>
        <v>4350.82</v>
      </c>
      <c r="AM93" s="173"/>
      <c r="AN93" s="170"/>
      <c r="AO93" s="33">
        <f>2417.95+2278.72+2603.92+2258.09+5092.27+983.02+5491.65+2929.21+4350.82</f>
        <v>28405.65</v>
      </c>
      <c r="AP93" s="34"/>
      <c r="AQ93" s="35"/>
      <c r="AR93" s="174">
        <f>AO93/AO100</f>
        <v>4.2652639462268015E-2</v>
      </c>
      <c r="AS93" s="173">
        <f>46575.11+AO93</f>
        <v>74980.760000000009</v>
      </c>
      <c r="AT93" s="173"/>
    </row>
    <row r="94" spans="1:46" x14ac:dyDescent="0.25">
      <c r="A94" s="181" t="s">
        <v>99</v>
      </c>
      <c r="B94" s="33">
        <v>8709.6500000000015</v>
      </c>
      <c r="C94" s="34"/>
      <c r="D94" s="35"/>
      <c r="E94" s="166">
        <v>0</v>
      </c>
      <c r="F94" s="167"/>
      <c r="G94" s="168"/>
      <c r="H94" s="166">
        <v>0</v>
      </c>
      <c r="I94" s="167"/>
      <c r="J94" s="168"/>
      <c r="K94" s="169">
        <v>1189.1500000000001</v>
      </c>
      <c r="L94" s="169"/>
      <c r="M94" s="169"/>
      <c r="N94" s="166">
        <v>2837.77</v>
      </c>
      <c r="O94" s="167"/>
      <c r="P94" s="168"/>
      <c r="Q94" s="170">
        <v>0</v>
      </c>
      <c r="R94" s="171"/>
      <c r="S94" s="172"/>
      <c r="T94" s="166">
        <v>1922.75</v>
      </c>
      <c r="U94" s="167"/>
      <c r="V94" s="168"/>
      <c r="W94" s="170">
        <v>0</v>
      </c>
      <c r="X94" s="171"/>
      <c r="Y94" s="171"/>
      <c r="Z94" s="170">
        <v>0</v>
      </c>
      <c r="AA94" s="171"/>
      <c r="AB94" s="172"/>
      <c r="AC94" s="173">
        <f>2048.93</f>
        <v>2048.9299999999998</v>
      </c>
      <c r="AD94" s="173"/>
      <c r="AE94" s="173"/>
      <c r="AF94" s="170">
        <v>0</v>
      </c>
      <c r="AG94" s="171"/>
      <c r="AH94" s="171"/>
      <c r="AI94" s="173">
        <v>0</v>
      </c>
      <c r="AJ94" s="173"/>
      <c r="AK94" s="170"/>
      <c r="AL94" s="173">
        <f>1235.77</f>
        <v>1235.77</v>
      </c>
      <c r="AM94" s="173"/>
      <c r="AN94" s="170"/>
      <c r="AO94" s="33">
        <f>1189.15+2837.77+1922.75+2048.93+1235.77</f>
        <v>9234.3700000000008</v>
      </c>
      <c r="AP94" s="34"/>
      <c r="AQ94" s="35"/>
      <c r="AR94" s="174">
        <f>AO94/AO100</f>
        <v>1.386591238965431E-2</v>
      </c>
      <c r="AS94" s="173">
        <f>10093.06+AO94</f>
        <v>19327.43</v>
      </c>
      <c r="AT94" s="173"/>
    </row>
    <row r="95" spans="1:46" x14ac:dyDescent="0.25">
      <c r="A95" s="181" t="s">
        <v>100</v>
      </c>
      <c r="B95" s="33">
        <v>4573</v>
      </c>
      <c r="C95" s="34"/>
      <c r="D95" s="35"/>
      <c r="E95" s="166">
        <v>0</v>
      </c>
      <c r="F95" s="167"/>
      <c r="G95" s="168"/>
      <c r="H95" s="166">
        <v>0</v>
      </c>
      <c r="I95" s="167"/>
      <c r="J95" s="168"/>
      <c r="K95" s="169">
        <v>566.03</v>
      </c>
      <c r="L95" s="169"/>
      <c r="M95" s="169"/>
      <c r="N95" s="166">
        <v>0</v>
      </c>
      <c r="O95" s="167"/>
      <c r="P95" s="168"/>
      <c r="Q95" s="170">
        <v>0</v>
      </c>
      <c r="R95" s="171"/>
      <c r="S95" s="172"/>
      <c r="T95" s="166">
        <v>1998.5</v>
      </c>
      <c r="U95" s="167"/>
      <c r="V95" s="168"/>
      <c r="W95" s="170">
        <v>0</v>
      </c>
      <c r="X95" s="171"/>
      <c r="Y95" s="171"/>
      <c r="Z95" s="170">
        <v>0</v>
      </c>
      <c r="AA95" s="171"/>
      <c r="AB95" s="172"/>
      <c r="AC95" s="173">
        <f>1214.69+626.71</f>
        <v>1841.4</v>
      </c>
      <c r="AD95" s="173"/>
      <c r="AE95" s="173"/>
      <c r="AF95" s="170">
        <v>0</v>
      </c>
      <c r="AG95" s="171"/>
      <c r="AH95" s="171"/>
      <c r="AI95" s="173">
        <v>0</v>
      </c>
      <c r="AJ95" s="173"/>
      <c r="AK95" s="170"/>
      <c r="AL95" s="173">
        <f>878.35+1773.82</f>
        <v>2652.17</v>
      </c>
      <c r="AM95" s="173"/>
      <c r="AN95" s="170"/>
      <c r="AO95" s="33">
        <f>566.03+1998.5+1841.4+2652.17</f>
        <v>7058.1</v>
      </c>
      <c r="AP95" s="34"/>
      <c r="AQ95" s="35"/>
      <c r="AR95" s="174">
        <f>AO95/AO100</f>
        <v>1.0598123774271453E-2</v>
      </c>
      <c r="AS95" s="173">
        <f>17826.42+AO95</f>
        <v>24884.519999999997</v>
      </c>
      <c r="AT95" s="173"/>
    </row>
    <row r="96" spans="1:46" x14ac:dyDescent="0.25">
      <c r="A96" s="181" t="s">
        <v>101</v>
      </c>
      <c r="B96" s="33">
        <v>1671.47</v>
      </c>
      <c r="C96" s="34"/>
      <c r="D96" s="35"/>
      <c r="E96" s="166">
        <v>0</v>
      </c>
      <c r="F96" s="167"/>
      <c r="G96" s="168"/>
      <c r="H96" s="166">
        <v>187.03</v>
      </c>
      <c r="I96" s="167"/>
      <c r="J96" s="168"/>
      <c r="K96" s="169">
        <v>1350.19</v>
      </c>
      <c r="L96" s="169"/>
      <c r="M96" s="169"/>
      <c r="N96" s="166">
        <v>0</v>
      </c>
      <c r="O96" s="167"/>
      <c r="P96" s="168"/>
      <c r="Q96" s="170">
        <v>0</v>
      </c>
      <c r="R96" s="171"/>
      <c r="S96" s="172"/>
      <c r="T96" s="166">
        <v>807.21</v>
      </c>
      <c r="U96" s="167"/>
      <c r="V96" s="168"/>
      <c r="W96" s="170">
        <v>0</v>
      </c>
      <c r="X96" s="171"/>
      <c r="Y96" s="171"/>
      <c r="Z96" s="170">
        <v>0</v>
      </c>
      <c r="AA96" s="171"/>
      <c r="AB96" s="172"/>
      <c r="AC96" s="173">
        <f>1813.38+35</f>
        <v>1848.38</v>
      </c>
      <c r="AD96" s="173"/>
      <c r="AE96" s="173"/>
      <c r="AF96" s="170">
        <v>0</v>
      </c>
      <c r="AG96" s="171"/>
      <c r="AH96" s="171"/>
      <c r="AI96" s="173">
        <v>0</v>
      </c>
      <c r="AJ96" s="173"/>
      <c r="AK96" s="170"/>
      <c r="AL96" s="173">
        <f>266.76</f>
        <v>266.76</v>
      </c>
      <c r="AM96" s="173"/>
      <c r="AN96" s="170"/>
      <c r="AO96" s="33">
        <f>187.03+1350.19+807.21+1848.38+266.76</f>
        <v>4459.5700000000006</v>
      </c>
      <c r="AP96" s="34"/>
      <c r="AQ96" s="35"/>
      <c r="AR96" s="189">
        <f>AO96/AO100</f>
        <v>6.6962886385893861E-3</v>
      </c>
      <c r="AS96" s="173">
        <f>1671.47+AO96</f>
        <v>6131.0400000000009</v>
      </c>
      <c r="AT96" s="173"/>
    </row>
    <row r="97" spans="1:46" x14ac:dyDescent="0.25">
      <c r="A97" s="181" t="s">
        <v>102</v>
      </c>
      <c r="B97" s="33">
        <v>5290.1100000000006</v>
      </c>
      <c r="C97" s="34"/>
      <c r="D97" s="35"/>
      <c r="E97" s="166">
        <v>0</v>
      </c>
      <c r="F97" s="167"/>
      <c r="G97" s="168"/>
      <c r="H97" s="166">
        <v>0</v>
      </c>
      <c r="I97" s="167"/>
      <c r="J97" s="168"/>
      <c r="K97" s="169">
        <v>0</v>
      </c>
      <c r="L97" s="169"/>
      <c r="M97" s="169"/>
      <c r="N97" s="166">
        <v>0</v>
      </c>
      <c r="O97" s="167"/>
      <c r="P97" s="168"/>
      <c r="Q97" s="170">
        <v>0</v>
      </c>
      <c r="R97" s="171"/>
      <c r="S97" s="172"/>
      <c r="T97" s="166">
        <v>1029.6500000000001</v>
      </c>
      <c r="U97" s="167"/>
      <c r="V97" s="168"/>
      <c r="W97" s="170">
        <v>0</v>
      </c>
      <c r="X97" s="171"/>
      <c r="Y97" s="171"/>
      <c r="Z97" s="170">
        <f>751.19</f>
        <v>751.19</v>
      </c>
      <c r="AA97" s="171"/>
      <c r="AB97" s="172"/>
      <c r="AC97" s="173">
        <f>135.23</f>
        <v>135.22999999999999</v>
      </c>
      <c r="AD97" s="173"/>
      <c r="AE97" s="173"/>
      <c r="AF97" s="170">
        <v>0</v>
      </c>
      <c r="AG97" s="171"/>
      <c r="AH97" s="171"/>
      <c r="AI97" s="173">
        <v>0</v>
      </c>
      <c r="AJ97" s="173"/>
      <c r="AK97" s="170"/>
      <c r="AL97" s="173">
        <f>890.54</f>
        <v>890.54</v>
      </c>
      <c r="AM97" s="173"/>
      <c r="AN97" s="170"/>
      <c r="AO97" s="33">
        <f>1029.65+751.19+135.23+890.54</f>
        <v>2806.61</v>
      </c>
      <c r="AP97" s="34"/>
      <c r="AQ97" s="35"/>
      <c r="AR97" s="174">
        <f>AO97/AO100</f>
        <v>4.2142786537606438E-3</v>
      </c>
      <c r="AS97" s="173">
        <f>5290.11+AO97</f>
        <v>8096.7199999999993</v>
      </c>
      <c r="AT97" s="173"/>
    </row>
    <row r="98" spans="1:46" x14ac:dyDescent="0.25">
      <c r="A98" s="181" t="s">
        <v>103</v>
      </c>
      <c r="B98" s="33">
        <v>8507.09</v>
      </c>
      <c r="C98" s="34"/>
      <c r="D98" s="35"/>
      <c r="E98" s="166">
        <v>0</v>
      </c>
      <c r="F98" s="167"/>
      <c r="G98" s="168"/>
      <c r="H98" s="166">
        <v>0</v>
      </c>
      <c r="I98" s="167"/>
      <c r="J98" s="168"/>
      <c r="K98" s="169">
        <v>0</v>
      </c>
      <c r="L98" s="169"/>
      <c r="M98" s="169"/>
      <c r="N98" s="166">
        <v>0</v>
      </c>
      <c r="O98" s="167"/>
      <c r="P98" s="168"/>
      <c r="Q98" s="170">
        <v>0</v>
      </c>
      <c r="R98" s="171"/>
      <c r="S98" s="172"/>
      <c r="T98" s="166">
        <v>1752.98</v>
      </c>
      <c r="U98" s="167"/>
      <c r="V98" s="168"/>
      <c r="W98" s="170">
        <f>6+3.12</f>
        <v>9.120000000000001</v>
      </c>
      <c r="X98" s="171"/>
      <c r="Y98" s="171"/>
      <c r="Z98" s="170">
        <v>0</v>
      </c>
      <c r="AA98" s="171"/>
      <c r="AB98" s="172"/>
      <c r="AC98" s="173">
        <v>0</v>
      </c>
      <c r="AD98" s="173"/>
      <c r="AE98" s="173"/>
      <c r="AF98" s="170">
        <v>0</v>
      </c>
      <c r="AG98" s="171"/>
      <c r="AH98" s="171"/>
      <c r="AI98" s="173">
        <v>0</v>
      </c>
      <c r="AJ98" s="173"/>
      <c r="AK98" s="170"/>
      <c r="AL98" s="173">
        <f>1003.11+566.98+1315.45</f>
        <v>2885.54</v>
      </c>
      <c r="AM98" s="173"/>
      <c r="AN98" s="170"/>
      <c r="AO98" s="33">
        <f>1752.98+9.12+2885.54</f>
        <v>4647.6399999999994</v>
      </c>
      <c r="AP98" s="34"/>
      <c r="AQ98" s="35"/>
      <c r="AR98" s="174">
        <f>AO98/AO100</f>
        <v>6.9786860455724586E-3</v>
      </c>
      <c r="AS98" s="173">
        <f>9766.44+AO98</f>
        <v>14414.08</v>
      </c>
      <c r="AT98" s="173"/>
    </row>
    <row r="99" spans="1:46" x14ac:dyDescent="0.25">
      <c r="A99" s="181" t="s">
        <v>104</v>
      </c>
      <c r="B99" s="33">
        <v>1123</v>
      </c>
      <c r="C99" s="34"/>
      <c r="D99" s="35"/>
      <c r="E99" s="166">
        <v>0</v>
      </c>
      <c r="F99" s="167"/>
      <c r="G99" s="168"/>
      <c r="H99" s="166">
        <v>0</v>
      </c>
      <c r="I99" s="167"/>
      <c r="J99" s="168"/>
      <c r="K99" s="169">
        <v>8762.69</v>
      </c>
      <c r="L99" s="169"/>
      <c r="M99" s="169"/>
      <c r="N99" s="166">
        <v>0</v>
      </c>
      <c r="O99" s="167"/>
      <c r="P99" s="168"/>
      <c r="Q99" s="170">
        <v>1359.04</v>
      </c>
      <c r="R99" s="171"/>
      <c r="S99" s="172"/>
      <c r="T99" s="166">
        <v>2688.01</v>
      </c>
      <c r="U99" s="167"/>
      <c r="V99" s="168"/>
      <c r="W99" s="170">
        <v>0</v>
      </c>
      <c r="X99" s="171"/>
      <c r="Y99" s="171"/>
      <c r="Z99" s="170">
        <v>0</v>
      </c>
      <c r="AA99" s="171"/>
      <c r="AB99" s="172"/>
      <c r="AC99" s="173">
        <f>1926.03+2340.02</f>
        <v>4266.05</v>
      </c>
      <c r="AD99" s="173"/>
      <c r="AE99" s="173"/>
      <c r="AF99" s="170">
        <v>0</v>
      </c>
      <c r="AG99" s="171"/>
      <c r="AH99" s="171"/>
      <c r="AI99" s="173">
        <v>0</v>
      </c>
      <c r="AJ99" s="173"/>
      <c r="AK99" s="170"/>
      <c r="AL99" s="173">
        <v>0</v>
      </c>
      <c r="AM99" s="173"/>
      <c r="AN99" s="170"/>
      <c r="AO99" s="33">
        <f>8762.69+1359.04+2688.01+4266.05</f>
        <v>17075.79</v>
      </c>
      <c r="AP99" s="34"/>
      <c r="AQ99" s="35"/>
      <c r="AR99" s="174">
        <f>AO99/AO100</f>
        <v>2.5640234052148131E-2</v>
      </c>
      <c r="AS99" s="173">
        <f>13338.58+AO99</f>
        <v>30414.370000000003</v>
      </c>
      <c r="AT99" s="173"/>
    </row>
    <row r="100" spans="1:46" x14ac:dyDescent="0.25">
      <c r="A100" s="190" t="s">
        <v>105</v>
      </c>
      <c r="B100" s="191">
        <v>420074.00999999995</v>
      </c>
      <c r="C100" s="192"/>
      <c r="D100" s="193"/>
      <c r="E100" s="191">
        <f t="shared" ref="E100" si="42">E33+E42+E46+E50+E63+E68+E81+E87+E92</f>
        <v>20171.68</v>
      </c>
      <c r="F100" s="192"/>
      <c r="G100" s="193"/>
      <c r="H100" s="191">
        <f t="shared" ref="H100" si="43">H33+H42+H46+H50+H63+H68+H81+H87+H92</f>
        <v>211927.83000000002</v>
      </c>
      <c r="I100" s="192"/>
      <c r="J100" s="193"/>
      <c r="K100" s="194">
        <v>44208.9</v>
      </c>
      <c r="L100" s="194"/>
      <c r="M100" s="194"/>
      <c r="N100" s="191">
        <f t="shared" ref="N100" si="44">N33+N42+N46+N50+N63+N68+N81+N87+N92</f>
        <v>28244.670000000006</v>
      </c>
      <c r="O100" s="192"/>
      <c r="P100" s="193"/>
      <c r="Q100" s="191">
        <f t="shared" ref="Q100" si="45">Q33+Q42+Q46+Q50+Q63+Q68+Q81+Q87+Q92</f>
        <v>44942.97</v>
      </c>
      <c r="R100" s="192"/>
      <c r="S100" s="193"/>
      <c r="T100" s="191">
        <f t="shared" ref="T100" si="46">T33+T42+T46+T50+T63+T68+T81+T87+T92</f>
        <v>35789.769999999997</v>
      </c>
      <c r="U100" s="192"/>
      <c r="V100" s="193"/>
      <c r="W100" s="191">
        <f>W33+W42+W46+W50+W63+W68+W81+W87+W92</f>
        <v>39916.080000000002</v>
      </c>
      <c r="X100" s="192"/>
      <c r="Y100" s="192"/>
      <c r="Z100" s="191">
        <f>Z33+Z42+Z46+Z50+Z63+Z68+Z81+Z87+Z92</f>
        <v>37313.200000000004</v>
      </c>
      <c r="AA100" s="192"/>
      <c r="AB100" s="192"/>
      <c r="AC100" s="194">
        <f>AC33+AC42+AC46+AC50+AC63+AC68+AC81+AC87+AC92</f>
        <v>55979.3</v>
      </c>
      <c r="AD100" s="194"/>
      <c r="AE100" s="194"/>
      <c r="AF100" s="191">
        <f>AF33+AF42+AF46+AF50+AF63+AF68+AF81+AF87+AF92</f>
        <v>34272.71</v>
      </c>
      <c r="AG100" s="192"/>
      <c r="AH100" s="192"/>
      <c r="AI100" s="191">
        <f>AI33+AI42+AI46+AI50+AI63+AI68+AI81+AI87+AI92</f>
        <v>47982.689999999995</v>
      </c>
      <c r="AJ100" s="192"/>
      <c r="AK100" s="192"/>
      <c r="AL100" s="191">
        <f>AL33+AL42+AL46+AL50+AL63+AL68+AL81+AL87+AL92</f>
        <v>65226.569999999992</v>
      </c>
      <c r="AM100" s="192"/>
      <c r="AN100" s="192"/>
      <c r="AO100" s="191">
        <f>SUM(AO33+AO42+AO46+AO50+AO63+AO68+AO81+AO87+AO92)</f>
        <v>665976.36999999988</v>
      </c>
      <c r="AP100" s="192"/>
      <c r="AQ100" s="193"/>
      <c r="AR100" s="195">
        <f>AO100/AO100</f>
        <v>1</v>
      </c>
      <c r="AS100" s="196">
        <f>SUM(AS33+AS42+AS46+AS50+AS63+AS68+AS81+AS87+AS92)</f>
        <v>2036201.1399999997</v>
      </c>
      <c r="AT100" s="196"/>
    </row>
    <row r="101" spans="1:46" x14ac:dyDescent="0.25">
      <c r="A101" s="197" t="s">
        <v>106</v>
      </c>
      <c r="B101" s="198">
        <f>D27-B102</f>
        <v>1638818.02</v>
      </c>
      <c r="C101" s="199"/>
      <c r="D101" s="200"/>
      <c r="E101" s="201">
        <f>G27-E100</f>
        <v>100480.64000000001</v>
      </c>
      <c r="F101" s="201"/>
      <c r="G101" s="201"/>
      <c r="H101" s="202">
        <f>H100-J27</f>
        <v>93226.260000000009</v>
      </c>
      <c r="I101" s="202"/>
      <c r="J101" s="202"/>
      <c r="K101" s="202">
        <f>M27-K100</f>
        <v>75105.78</v>
      </c>
      <c r="L101" s="202"/>
      <c r="M101" s="202"/>
      <c r="N101" s="202">
        <f>P27-N100</f>
        <v>92307.729999999981</v>
      </c>
      <c r="O101" s="202"/>
      <c r="P101" s="202"/>
      <c r="Q101" s="202">
        <f>S27-Q100</f>
        <v>123893.29000000001</v>
      </c>
      <c r="R101" s="202"/>
      <c r="S101" s="202"/>
      <c r="T101" s="202">
        <f>V27-T100</f>
        <v>71508.489999999991</v>
      </c>
      <c r="U101" s="202"/>
      <c r="V101" s="202"/>
      <c r="W101" s="201">
        <f>Y27-W100</f>
        <v>95232.37000000001</v>
      </c>
      <c r="X101" s="201"/>
      <c r="Y101" s="203"/>
      <c r="Z101" s="204">
        <f>AB27-Z100</f>
        <v>-8485.7400000000052</v>
      </c>
      <c r="AA101" s="204"/>
      <c r="AB101" s="205"/>
      <c r="AC101" s="201">
        <f>AE27-AC100</f>
        <v>-15991.43</v>
      </c>
      <c r="AD101" s="201"/>
      <c r="AE101" s="201"/>
      <c r="AF101" s="204">
        <f>AH27-AF100</f>
        <v>-12688.400000000001</v>
      </c>
      <c r="AG101" s="204"/>
      <c r="AH101" s="205"/>
      <c r="AI101" s="204">
        <f>AK27-AI100</f>
        <v>-5762.6999999999971</v>
      </c>
      <c r="AJ101" s="204"/>
      <c r="AK101" s="205"/>
      <c r="AL101" s="204">
        <f>AN27-AL100</f>
        <v>89031.560000000012</v>
      </c>
      <c r="AM101" s="204"/>
      <c r="AN101" s="205"/>
      <c r="AO101" s="202">
        <f>AQ27-AO100</f>
        <v>511405.33000000007</v>
      </c>
      <c r="AP101" s="202"/>
      <c r="AQ101" s="202"/>
      <c r="AR101" s="206">
        <f>AT27-AS100</f>
        <v>2150247.9200000009</v>
      </c>
      <c r="AS101" s="206"/>
      <c r="AT101" s="206"/>
    </row>
    <row r="102" spans="1:46" x14ac:dyDescent="0.25">
      <c r="A102" s="207" t="s">
        <v>107</v>
      </c>
      <c r="B102" s="208">
        <f>1370224.77</f>
        <v>1370224.77</v>
      </c>
      <c r="C102" s="208"/>
      <c r="D102" s="208"/>
      <c r="E102" s="209"/>
      <c r="F102" s="209"/>
      <c r="G102" s="209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09"/>
      <c r="X102" s="209"/>
      <c r="Y102" s="209"/>
      <c r="Z102" s="210"/>
      <c r="AA102" s="209"/>
      <c r="AB102" s="209"/>
      <c r="AC102" s="209"/>
      <c r="AD102" s="209"/>
      <c r="AE102" s="209"/>
      <c r="AF102" s="211"/>
      <c r="AG102" s="211"/>
      <c r="AH102" s="209"/>
      <c r="AI102" s="209"/>
      <c r="AJ102" s="209"/>
      <c r="AK102" s="209"/>
      <c r="AL102" s="209"/>
      <c r="AM102" s="209"/>
      <c r="AN102" s="209"/>
      <c r="AO102" s="211"/>
      <c r="AP102" s="211"/>
      <c r="AQ102" s="211"/>
      <c r="AR102" s="212"/>
      <c r="AS102" s="212"/>
      <c r="AT102" s="212"/>
    </row>
    <row r="103" spans="1:46" x14ac:dyDescent="0.25">
      <c r="A103" s="213"/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</row>
    <row r="104" spans="1:46" x14ac:dyDescent="0.25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</row>
    <row r="105" spans="1:46" x14ac:dyDescent="0.25">
      <c r="A105" s="216" t="s">
        <v>108</v>
      </c>
      <c r="B105" s="217" t="s">
        <v>109</v>
      </c>
      <c r="C105" s="218"/>
      <c r="D105" s="218"/>
      <c r="E105" s="219" t="s">
        <v>4</v>
      </c>
      <c r="F105" s="220"/>
      <c r="G105" s="221"/>
      <c r="H105" s="222" t="s">
        <v>5</v>
      </c>
      <c r="I105" s="222"/>
      <c r="J105" s="222"/>
      <c r="K105" s="222" t="s">
        <v>6</v>
      </c>
      <c r="L105" s="222"/>
      <c r="M105" s="222"/>
      <c r="N105" s="222" t="s">
        <v>7</v>
      </c>
      <c r="O105" s="222"/>
      <c r="P105" s="222"/>
      <c r="Q105" s="219" t="s">
        <v>8</v>
      </c>
      <c r="R105" s="220"/>
      <c r="S105" s="221"/>
      <c r="T105" s="222" t="s">
        <v>9</v>
      </c>
      <c r="U105" s="222"/>
      <c r="V105" s="222"/>
      <c r="W105" s="222" t="s">
        <v>10</v>
      </c>
      <c r="X105" s="222"/>
      <c r="Y105" s="222"/>
      <c r="Z105" s="219" t="s">
        <v>11</v>
      </c>
      <c r="AA105" s="220"/>
      <c r="AB105" s="221"/>
      <c r="AC105" s="219" t="s">
        <v>12</v>
      </c>
      <c r="AD105" s="220"/>
      <c r="AE105" s="221"/>
      <c r="AF105" s="222" t="s">
        <v>13</v>
      </c>
      <c r="AG105" s="222"/>
      <c r="AH105" s="222"/>
      <c r="AI105" s="222" t="s">
        <v>14</v>
      </c>
      <c r="AJ105" s="222"/>
      <c r="AK105" s="222"/>
      <c r="AL105" s="222" t="s">
        <v>15</v>
      </c>
      <c r="AM105" s="222"/>
      <c r="AN105" s="222"/>
      <c r="AO105" s="223"/>
      <c r="AP105" s="223"/>
      <c r="AQ105" s="223"/>
      <c r="AR105" s="223"/>
      <c r="AS105" s="223"/>
      <c r="AT105" s="223"/>
    </row>
    <row r="106" spans="1:46" x14ac:dyDescent="0.25">
      <c r="A106" s="224" t="s">
        <v>110</v>
      </c>
      <c r="B106" s="225">
        <v>0</v>
      </c>
      <c r="C106" s="226"/>
      <c r="D106" s="227"/>
      <c r="E106" s="225">
        <v>0</v>
      </c>
      <c r="F106" s="226"/>
      <c r="G106" s="227"/>
      <c r="H106" s="225">
        <v>0</v>
      </c>
      <c r="I106" s="226"/>
      <c r="J106" s="227"/>
      <c r="K106" s="225">
        <v>0</v>
      </c>
      <c r="L106" s="226"/>
      <c r="M106" s="227"/>
      <c r="N106" s="225">
        <v>0</v>
      </c>
      <c r="O106" s="226"/>
      <c r="P106" s="227"/>
      <c r="Q106" s="225">
        <v>0</v>
      </c>
      <c r="R106" s="226"/>
      <c r="S106" s="227"/>
      <c r="T106" s="225">
        <v>0</v>
      </c>
      <c r="U106" s="226"/>
      <c r="V106" s="227"/>
      <c r="W106" s="225">
        <v>0</v>
      </c>
      <c r="X106" s="226"/>
      <c r="Y106" s="227"/>
      <c r="Z106" s="225">
        <v>0</v>
      </c>
      <c r="AA106" s="226"/>
      <c r="AB106" s="227"/>
      <c r="AC106" s="225">
        <v>0</v>
      </c>
      <c r="AD106" s="226"/>
      <c r="AE106" s="227"/>
      <c r="AF106" s="228">
        <f>382539.56+1181.62</f>
        <v>383721.18</v>
      </c>
      <c r="AG106" s="229"/>
      <c r="AH106" s="230"/>
      <c r="AI106" s="231">
        <f>AF106-41159.32+1254.65-379.43-3.35</f>
        <v>343433.73000000004</v>
      </c>
      <c r="AJ106" s="231"/>
      <c r="AK106" s="231"/>
      <c r="AL106" s="231">
        <f>AI106+1175.26</f>
        <v>344608.99000000005</v>
      </c>
      <c r="AM106" s="231"/>
      <c r="AN106" s="231"/>
      <c r="AO106" s="223"/>
      <c r="AP106" s="223"/>
      <c r="AQ106" s="223"/>
      <c r="AR106" s="223"/>
      <c r="AS106" s="223"/>
      <c r="AT106" s="223"/>
    </row>
    <row r="107" spans="1:46" x14ac:dyDescent="0.25">
      <c r="A107" s="224" t="s">
        <v>111</v>
      </c>
      <c r="B107" s="225">
        <v>0</v>
      </c>
      <c r="C107" s="226"/>
      <c r="D107" s="227"/>
      <c r="E107" s="225">
        <v>0</v>
      </c>
      <c r="F107" s="226"/>
      <c r="G107" s="227"/>
      <c r="H107" s="225">
        <v>0</v>
      </c>
      <c r="I107" s="226"/>
      <c r="J107" s="227"/>
      <c r="K107" s="225">
        <v>0</v>
      </c>
      <c r="L107" s="226"/>
      <c r="M107" s="227"/>
      <c r="N107" s="225">
        <v>0</v>
      </c>
      <c r="O107" s="226"/>
      <c r="P107" s="227"/>
      <c r="Q107" s="225">
        <v>0</v>
      </c>
      <c r="R107" s="226"/>
      <c r="S107" s="227"/>
      <c r="T107" s="225">
        <v>0</v>
      </c>
      <c r="U107" s="226"/>
      <c r="V107" s="227"/>
      <c r="W107" s="225">
        <v>0</v>
      </c>
      <c r="X107" s="226"/>
      <c r="Y107" s="227"/>
      <c r="Z107" s="225">
        <v>0</v>
      </c>
      <c r="AA107" s="226"/>
      <c r="AB107" s="227"/>
      <c r="AC107" s="225">
        <v>0</v>
      </c>
      <c r="AD107" s="226"/>
      <c r="AE107" s="227"/>
      <c r="AF107" s="228">
        <f>670000+1919.17</f>
        <v>671919.17</v>
      </c>
      <c r="AG107" s="229"/>
      <c r="AH107" s="230"/>
      <c r="AI107" s="231">
        <f>AF107+2012.31-589.72</f>
        <v>673341.76000000013</v>
      </c>
      <c r="AJ107" s="231"/>
      <c r="AK107" s="231"/>
      <c r="AL107" s="231">
        <f>AI107+2297.78</f>
        <v>675639.54000000015</v>
      </c>
      <c r="AM107" s="231"/>
      <c r="AN107" s="231"/>
      <c r="AO107" s="223"/>
      <c r="AP107" s="223"/>
      <c r="AQ107" s="223"/>
      <c r="AR107" s="223"/>
      <c r="AS107" s="223"/>
      <c r="AT107" s="223"/>
    </row>
    <row r="108" spans="1:46" x14ac:dyDescent="0.25">
      <c r="A108" s="224" t="s">
        <v>112</v>
      </c>
      <c r="B108" s="232">
        <f>409607.94+316071.6</f>
        <v>725679.54</v>
      </c>
      <c r="C108" s="233"/>
      <c r="D108" s="234"/>
      <c r="E108" s="182">
        <f>B108+4900.28</f>
        <v>730579.82000000007</v>
      </c>
      <c r="F108" s="235"/>
      <c r="G108" s="183"/>
      <c r="H108" s="182">
        <f>E108+3107.13</f>
        <v>733686.95000000007</v>
      </c>
      <c r="I108" s="235"/>
      <c r="J108" s="183"/>
      <c r="K108" s="182">
        <f>H108+2965.82</f>
        <v>736652.77</v>
      </c>
      <c r="L108" s="235"/>
      <c r="M108" s="183"/>
      <c r="N108" s="182">
        <f>K108+3294.02</f>
        <v>739946.79</v>
      </c>
      <c r="O108" s="235"/>
      <c r="P108" s="183"/>
      <c r="Q108" s="182">
        <f>N108+3469.01</f>
        <v>743415.8</v>
      </c>
      <c r="R108" s="235"/>
      <c r="S108" s="183"/>
      <c r="T108" s="173">
        <f>Q108+3010.95</f>
        <v>746426.75</v>
      </c>
      <c r="U108" s="173"/>
      <c r="V108" s="173"/>
      <c r="W108" s="173">
        <f>T108+3663.54</f>
        <v>750090.29</v>
      </c>
      <c r="X108" s="173"/>
      <c r="Y108" s="173"/>
      <c r="Z108" s="170">
        <f>W108+159.75+252922.2</f>
        <v>1003172.24</v>
      </c>
      <c r="AA108" s="171"/>
      <c r="AB108" s="172"/>
      <c r="AC108" s="170">
        <f>Z108+3663.57</f>
        <v>1006835.8099999999</v>
      </c>
      <c r="AD108" s="171"/>
      <c r="AE108" s="172"/>
      <c r="AF108" s="173">
        <f>AC108+3592.28</f>
        <v>1010428.09</v>
      </c>
      <c r="AG108" s="173"/>
      <c r="AH108" s="173"/>
      <c r="AI108" s="231">
        <f>AF108+2853.03</f>
        <v>1013281.12</v>
      </c>
      <c r="AJ108" s="231"/>
      <c r="AK108" s="231"/>
      <c r="AL108" s="231">
        <f>AI108+2834.93</f>
        <v>1016116.05</v>
      </c>
      <c r="AM108" s="231"/>
      <c r="AN108" s="231"/>
      <c r="AO108" s="223"/>
      <c r="AP108" s="223"/>
      <c r="AQ108" s="223"/>
      <c r="AR108" s="223"/>
      <c r="AS108" s="223"/>
      <c r="AT108" s="223"/>
    </row>
    <row r="109" spans="1:46" x14ac:dyDescent="0.25">
      <c r="A109" s="224" t="s">
        <v>113</v>
      </c>
      <c r="B109" s="236"/>
      <c r="C109" s="237"/>
      <c r="D109" s="238">
        <v>0</v>
      </c>
      <c r="E109" s="182">
        <v>0</v>
      </c>
      <c r="F109" s="235"/>
      <c r="G109" s="183"/>
      <c r="H109" s="182">
        <v>0</v>
      </c>
      <c r="I109" s="235"/>
      <c r="J109" s="183"/>
      <c r="K109" s="182">
        <v>0</v>
      </c>
      <c r="L109" s="235"/>
      <c r="M109" s="183"/>
      <c r="N109" s="182">
        <v>0</v>
      </c>
      <c r="O109" s="235"/>
      <c r="P109" s="183"/>
      <c r="Q109" s="182">
        <v>0</v>
      </c>
      <c r="R109" s="235"/>
      <c r="S109" s="183"/>
      <c r="T109" s="170">
        <v>0</v>
      </c>
      <c r="U109" s="171"/>
      <c r="V109" s="172"/>
      <c r="W109" s="170">
        <v>0</v>
      </c>
      <c r="X109" s="171"/>
      <c r="Y109" s="172"/>
      <c r="Z109" s="170">
        <v>0</v>
      </c>
      <c r="AA109" s="171"/>
      <c r="AB109" s="172"/>
      <c r="AC109" s="170">
        <v>0</v>
      </c>
      <c r="AD109" s="171"/>
      <c r="AE109" s="172"/>
      <c r="AF109" s="170">
        <v>0</v>
      </c>
      <c r="AG109" s="171"/>
      <c r="AH109" s="172"/>
      <c r="AI109" s="228">
        <v>0</v>
      </c>
      <c r="AJ109" s="229"/>
      <c r="AK109" s="230"/>
      <c r="AL109" s="228">
        <f>0+114000-574.73</f>
        <v>113425.27</v>
      </c>
      <c r="AM109" s="229"/>
      <c r="AN109" s="230"/>
      <c r="AO109" s="223"/>
      <c r="AP109" s="223"/>
      <c r="AQ109" s="223"/>
      <c r="AR109" s="223"/>
      <c r="AS109" s="223"/>
      <c r="AT109" s="223"/>
    </row>
    <row r="110" spans="1:46" x14ac:dyDescent="0.25">
      <c r="A110" s="224" t="s">
        <v>114</v>
      </c>
      <c r="B110" s="232">
        <f>445319.09</f>
        <v>445319.09</v>
      </c>
      <c r="C110" s="233"/>
      <c r="D110" s="234"/>
      <c r="E110" s="182">
        <f>B110+1850</f>
        <v>447169.09</v>
      </c>
      <c r="F110" s="235"/>
      <c r="G110" s="183"/>
      <c r="H110" s="182">
        <f>E110+1969.46</f>
        <v>449138.55000000005</v>
      </c>
      <c r="I110" s="235"/>
      <c r="J110" s="183"/>
      <c r="K110" s="182">
        <f>H110+1669.14</f>
        <v>450807.69000000006</v>
      </c>
      <c r="L110" s="235"/>
      <c r="M110" s="183"/>
      <c r="N110" s="182">
        <f>K110+108000+1910.88</f>
        <v>560718.57000000007</v>
      </c>
      <c r="O110" s="235"/>
      <c r="P110" s="183"/>
      <c r="Q110" s="182">
        <f>N110+2409.84-1722.91</f>
        <v>561405.5</v>
      </c>
      <c r="R110" s="235"/>
      <c r="S110" s="183"/>
      <c r="T110" s="184">
        <f>Q110+2081.1</f>
        <v>563486.6</v>
      </c>
      <c r="U110" s="184"/>
      <c r="V110" s="184"/>
      <c r="W110" s="184">
        <f>T110+109000+2568.23</f>
        <v>675054.83</v>
      </c>
      <c r="X110" s="184"/>
      <c r="Y110" s="184"/>
      <c r="Z110" s="182">
        <f>W110+2635.97</f>
        <v>677690.79999999993</v>
      </c>
      <c r="AA110" s="235"/>
      <c r="AB110" s="183"/>
      <c r="AC110" s="170">
        <f>Z110+2420.54</f>
        <v>680111.34</v>
      </c>
      <c r="AD110" s="239"/>
      <c r="AE110" s="240"/>
      <c r="AF110" s="173">
        <f>AC110-678417.53+712.74-2406.55</f>
        <v>-6.0936145018786192E-11</v>
      </c>
      <c r="AG110" s="241"/>
      <c r="AH110" s="241"/>
      <c r="AI110" s="231">
        <v>0</v>
      </c>
      <c r="AJ110" s="231"/>
      <c r="AK110" s="231"/>
      <c r="AL110" s="231">
        <v>0</v>
      </c>
      <c r="AM110" s="231"/>
      <c r="AN110" s="231"/>
      <c r="AO110" s="223"/>
      <c r="AP110" s="223"/>
      <c r="AQ110" s="223"/>
      <c r="AR110" s="223"/>
      <c r="AS110" s="223"/>
      <c r="AT110" s="223"/>
    </row>
    <row r="111" spans="1:46" x14ac:dyDescent="0.25">
      <c r="A111" s="224" t="s">
        <v>115</v>
      </c>
      <c r="B111" s="232">
        <f>466470.14</f>
        <v>466470.14</v>
      </c>
      <c r="C111" s="233"/>
      <c r="D111" s="233"/>
      <c r="E111" s="182">
        <f>B111+108000-15377.57+1982.04-34.96</f>
        <v>561039.65000000014</v>
      </c>
      <c r="F111" s="235"/>
      <c r="G111" s="183"/>
      <c r="H111" s="182">
        <f>E111+108000-207838.49+1704.98-538.5</f>
        <v>462367.64000000013</v>
      </c>
      <c r="I111" s="235"/>
      <c r="J111" s="183"/>
      <c r="K111" s="182">
        <f>H111+109000-39908.16+1564.72-111.74</f>
        <v>532912.46000000008</v>
      </c>
      <c r="L111" s="235"/>
      <c r="M111" s="183"/>
      <c r="N111" s="182">
        <f>K111-23021.14+2047.5-49.45</f>
        <v>511889.37000000005</v>
      </c>
      <c r="O111" s="235"/>
      <c r="P111" s="183"/>
      <c r="Q111" s="182">
        <f>N111+144000-27059.73+2137.41-1275.94</f>
        <v>629691.11000000022</v>
      </c>
      <c r="R111" s="235"/>
      <c r="S111" s="183"/>
      <c r="T111" s="173">
        <f>Q111+66700-1050.45+2286.18-2.03</f>
        <v>697624.81000000029</v>
      </c>
      <c r="U111" s="173"/>
      <c r="V111" s="173"/>
      <c r="W111" s="173">
        <f>T111-22178.58+2956.68-51.13</f>
        <v>678351.78000000038</v>
      </c>
      <c r="X111" s="173"/>
      <c r="Y111" s="173"/>
      <c r="Z111" s="170">
        <f>W111+7500+1659.5-272591.07-698.69</f>
        <v>414221.52000000037</v>
      </c>
      <c r="AA111" s="171"/>
      <c r="AB111" s="172"/>
      <c r="AC111" s="170">
        <f>Z111+17000+1323.76-40921.17-125.75</f>
        <v>391498.36000000039</v>
      </c>
      <c r="AD111" s="171"/>
      <c r="AE111" s="172"/>
      <c r="AF111" s="242">
        <f>AC111-390575.64+378.5-1290.02-11.2</f>
        <v>3.7953284959257871E-10</v>
      </c>
      <c r="AG111" s="242"/>
      <c r="AH111" s="242"/>
      <c r="AI111" s="231">
        <v>0</v>
      </c>
      <c r="AJ111" s="231"/>
      <c r="AK111" s="231"/>
      <c r="AL111" s="231">
        <v>0</v>
      </c>
      <c r="AM111" s="231"/>
      <c r="AN111" s="231"/>
      <c r="AO111" s="223"/>
      <c r="AP111" s="223"/>
      <c r="AQ111" s="223"/>
      <c r="AR111" s="223"/>
      <c r="AS111" s="223"/>
      <c r="AT111" s="223"/>
    </row>
    <row r="112" spans="1:46" x14ac:dyDescent="0.25">
      <c r="A112" s="243" t="s">
        <v>116</v>
      </c>
      <c r="B112" s="244">
        <f>SUM(B107:D111)</f>
        <v>1637468.77</v>
      </c>
      <c r="C112" s="245"/>
      <c r="D112" s="246"/>
      <c r="E112" s="244">
        <f>SUM(E107:G111)</f>
        <v>1738788.5600000003</v>
      </c>
      <c r="F112" s="245"/>
      <c r="G112" s="246"/>
      <c r="H112" s="244">
        <f>SUM(H107:J111)</f>
        <v>1645193.1400000001</v>
      </c>
      <c r="I112" s="245"/>
      <c r="J112" s="246"/>
      <c r="K112" s="244">
        <f>SUM(K107:M111)</f>
        <v>1720372.92</v>
      </c>
      <c r="L112" s="245"/>
      <c r="M112" s="246"/>
      <c r="N112" s="244">
        <f>SUM(N107:P111)</f>
        <v>1812554.7300000002</v>
      </c>
      <c r="O112" s="245"/>
      <c r="P112" s="246"/>
      <c r="Q112" s="244">
        <f>SUM(Q107:S111)</f>
        <v>1934512.4100000001</v>
      </c>
      <c r="R112" s="245"/>
      <c r="S112" s="246"/>
      <c r="T112" s="244">
        <f>SUM(T107:V111)</f>
        <v>2007538.1600000004</v>
      </c>
      <c r="U112" s="245"/>
      <c r="V112" s="246"/>
      <c r="W112" s="247">
        <f>SUM(W107:Y111)</f>
        <v>2103496.9000000004</v>
      </c>
      <c r="X112" s="247"/>
      <c r="Y112" s="247"/>
      <c r="Z112" s="244">
        <f>SUM(Z107:AB111)</f>
        <v>2095084.5600000005</v>
      </c>
      <c r="AA112" s="245"/>
      <c r="AB112" s="246"/>
      <c r="AC112" s="244">
        <f>SUM(AC107:AE111)</f>
        <v>2078445.5100000002</v>
      </c>
      <c r="AD112" s="245"/>
      <c r="AE112" s="246"/>
      <c r="AF112" s="248">
        <f>SUM(AF106:AH111)</f>
        <v>2066068.4400000004</v>
      </c>
      <c r="AG112" s="248"/>
      <c r="AH112" s="248"/>
      <c r="AI112" s="248">
        <f>SUM(AI106:AK111)</f>
        <v>2030056.6100000003</v>
      </c>
      <c r="AJ112" s="248"/>
      <c r="AK112" s="248"/>
      <c r="AL112" s="248">
        <f>SUM(AL106:AN111)</f>
        <v>2149789.85</v>
      </c>
      <c r="AM112" s="248"/>
      <c r="AN112" s="248"/>
      <c r="AO112" s="223"/>
      <c r="AP112" s="223"/>
      <c r="AQ112" s="223"/>
      <c r="AR112" s="223"/>
      <c r="AS112" s="223"/>
      <c r="AT112" s="223"/>
    </row>
    <row r="113" spans="1:46" x14ac:dyDescent="0.25">
      <c r="A113" s="249" t="s">
        <v>117</v>
      </c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1"/>
      <c r="AA113" s="250"/>
      <c r="AB113" s="250"/>
      <c r="AC113" s="250"/>
      <c r="AD113" s="250"/>
      <c r="AE113" s="250"/>
      <c r="AF113" s="252"/>
      <c r="AG113" s="252"/>
      <c r="AH113" s="250"/>
      <c r="AI113" s="250"/>
      <c r="AJ113" s="250"/>
      <c r="AK113" s="250"/>
      <c r="AL113" s="250"/>
      <c r="AM113" s="250"/>
      <c r="AN113" s="250"/>
      <c r="AO113" s="223"/>
      <c r="AP113" s="223"/>
      <c r="AQ113" s="223"/>
      <c r="AR113" s="223"/>
      <c r="AS113" s="223"/>
      <c r="AT113" s="223"/>
    </row>
    <row r="114" spans="1:46" x14ac:dyDescent="0.25">
      <c r="A114" s="253" t="s">
        <v>118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1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23"/>
      <c r="AP114" s="223"/>
      <c r="AQ114" s="223"/>
      <c r="AR114" s="223"/>
      <c r="AS114" s="223"/>
      <c r="AT114" s="223"/>
    </row>
    <row r="115" spans="1:46" x14ac:dyDescent="0.25">
      <c r="A115" s="253" t="s">
        <v>119</v>
      </c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1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23"/>
      <c r="AP115" s="223"/>
      <c r="AQ115" s="223"/>
      <c r="AR115" s="223"/>
      <c r="AS115" s="223"/>
      <c r="AT115" s="223"/>
    </row>
    <row r="116" spans="1:46" x14ac:dyDescent="0.25">
      <c r="A116" s="254" t="s">
        <v>120</v>
      </c>
      <c r="B116" s="254"/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4"/>
      <c r="W116" s="254"/>
      <c r="X116" s="254"/>
      <c r="Y116" s="254"/>
      <c r="Z116" s="254"/>
      <c r="AA116" s="254"/>
      <c r="AB116" s="254"/>
      <c r="AC116" s="254"/>
      <c r="AD116" s="254"/>
      <c r="AE116" s="254"/>
      <c r="AF116" s="254"/>
      <c r="AG116" s="254"/>
      <c r="AH116" s="254"/>
      <c r="AI116" s="254"/>
      <c r="AJ116" s="254"/>
      <c r="AK116" s="254"/>
      <c r="AL116" s="254"/>
      <c r="AM116" s="254"/>
      <c r="AN116" s="254"/>
      <c r="AO116" s="254"/>
      <c r="AP116" s="254"/>
      <c r="AQ116" s="254"/>
      <c r="AR116" s="254"/>
      <c r="AS116" s="254"/>
      <c r="AT116" s="254"/>
    </row>
  </sheetData>
  <sheetProtection sheet="1" objects="1" scenarios="1"/>
  <mergeCells count="1309">
    <mergeCell ref="AC112:AE112"/>
    <mergeCell ref="AF112:AH112"/>
    <mergeCell ref="AI112:AK112"/>
    <mergeCell ref="AL112:AN112"/>
    <mergeCell ref="A116:AT116"/>
    <mergeCell ref="AL111:AN111"/>
    <mergeCell ref="B112:D112"/>
    <mergeCell ref="E112:G112"/>
    <mergeCell ref="H112:J112"/>
    <mergeCell ref="K112:M112"/>
    <mergeCell ref="N112:P112"/>
    <mergeCell ref="Q112:S112"/>
    <mergeCell ref="T112:V112"/>
    <mergeCell ref="W112:Y112"/>
    <mergeCell ref="Z112:AB112"/>
    <mergeCell ref="T111:V111"/>
    <mergeCell ref="W111:Y111"/>
    <mergeCell ref="Z111:AB111"/>
    <mergeCell ref="AC111:AE111"/>
    <mergeCell ref="AF111:AH111"/>
    <mergeCell ref="AI111:AK111"/>
    <mergeCell ref="AC110:AE110"/>
    <mergeCell ref="AF110:AH110"/>
    <mergeCell ref="AI110:AK110"/>
    <mergeCell ref="AL110:AN110"/>
    <mergeCell ref="B111:D111"/>
    <mergeCell ref="E111:G111"/>
    <mergeCell ref="H111:J111"/>
    <mergeCell ref="K111:M111"/>
    <mergeCell ref="N111:P111"/>
    <mergeCell ref="Q111:S111"/>
    <mergeCell ref="AL109:AN109"/>
    <mergeCell ref="B110:D110"/>
    <mergeCell ref="E110:G110"/>
    <mergeCell ref="H110:J110"/>
    <mergeCell ref="K110:M110"/>
    <mergeCell ref="N110:P110"/>
    <mergeCell ref="Q110:S110"/>
    <mergeCell ref="T110:V110"/>
    <mergeCell ref="W110:Y110"/>
    <mergeCell ref="Z110:AB110"/>
    <mergeCell ref="T109:V109"/>
    <mergeCell ref="W109:Y109"/>
    <mergeCell ref="Z109:AB109"/>
    <mergeCell ref="AC109:AE109"/>
    <mergeCell ref="AF109:AH109"/>
    <mergeCell ref="AI109:AK109"/>
    <mergeCell ref="Z108:AB108"/>
    <mergeCell ref="AC108:AE108"/>
    <mergeCell ref="AF108:AH108"/>
    <mergeCell ref="AI108:AK108"/>
    <mergeCell ref="AL108:AN108"/>
    <mergeCell ref="E109:G109"/>
    <mergeCell ref="H109:J109"/>
    <mergeCell ref="K109:M109"/>
    <mergeCell ref="N109:P109"/>
    <mergeCell ref="Q109:S109"/>
    <mergeCell ref="AI107:AK107"/>
    <mergeCell ref="AL107:AN107"/>
    <mergeCell ref="B108:D108"/>
    <mergeCell ref="E108:G108"/>
    <mergeCell ref="H108:J108"/>
    <mergeCell ref="K108:M108"/>
    <mergeCell ref="N108:P108"/>
    <mergeCell ref="Q108:S108"/>
    <mergeCell ref="T108:V108"/>
    <mergeCell ref="W108:Y108"/>
    <mergeCell ref="Q107:S107"/>
    <mergeCell ref="T107:V107"/>
    <mergeCell ref="W107:Y107"/>
    <mergeCell ref="Z107:AB107"/>
    <mergeCell ref="AC107:AE107"/>
    <mergeCell ref="AF107:AH107"/>
    <mergeCell ref="Z106:AB106"/>
    <mergeCell ref="AC106:AE106"/>
    <mergeCell ref="AF106:AH106"/>
    <mergeCell ref="AI106:AK106"/>
    <mergeCell ref="AL106:AN106"/>
    <mergeCell ref="B107:D107"/>
    <mergeCell ref="E107:G107"/>
    <mergeCell ref="H107:J107"/>
    <mergeCell ref="K107:M107"/>
    <mergeCell ref="N107:P107"/>
    <mergeCell ref="AL105:AN105"/>
    <mergeCell ref="AO105:AT115"/>
    <mergeCell ref="B106:D106"/>
    <mergeCell ref="E106:G106"/>
    <mergeCell ref="H106:J106"/>
    <mergeCell ref="K106:M106"/>
    <mergeCell ref="N106:P106"/>
    <mergeCell ref="Q106:S106"/>
    <mergeCell ref="T106:V106"/>
    <mergeCell ref="W106:Y106"/>
    <mergeCell ref="T105:V105"/>
    <mergeCell ref="W105:Y105"/>
    <mergeCell ref="Z105:AB105"/>
    <mergeCell ref="AC105:AE105"/>
    <mergeCell ref="AF105:AH105"/>
    <mergeCell ref="AI105:AK105"/>
    <mergeCell ref="B105:D105"/>
    <mergeCell ref="E105:G105"/>
    <mergeCell ref="H105:J105"/>
    <mergeCell ref="K105:M105"/>
    <mergeCell ref="N105:P105"/>
    <mergeCell ref="Q105:S105"/>
    <mergeCell ref="AL101:AN101"/>
    <mergeCell ref="AO101:AQ101"/>
    <mergeCell ref="AR101:AT101"/>
    <mergeCell ref="B102:D102"/>
    <mergeCell ref="AR102:AT102"/>
    <mergeCell ref="A103:AT104"/>
    <mergeCell ref="T101:V101"/>
    <mergeCell ref="W101:Y101"/>
    <mergeCell ref="Z101:AB101"/>
    <mergeCell ref="AC101:AE101"/>
    <mergeCell ref="AF101:AH101"/>
    <mergeCell ref="AI101:AK101"/>
    <mergeCell ref="B101:D101"/>
    <mergeCell ref="E101:G101"/>
    <mergeCell ref="H101:J101"/>
    <mergeCell ref="K101:M101"/>
    <mergeCell ref="N101:P101"/>
    <mergeCell ref="Q101:S101"/>
    <mergeCell ref="AC100:AE100"/>
    <mergeCell ref="AF100:AH100"/>
    <mergeCell ref="AI100:AK100"/>
    <mergeCell ref="AL100:AN100"/>
    <mergeCell ref="AO100:AQ100"/>
    <mergeCell ref="AS100:AT100"/>
    <mergeCell ref="AS99:AT99"/>
    <mergeCell ref="B100:D100"/>
    <mergeCell ref="E100:G100"/>
    <mergeCell ref="H100:J100"/>
    <mergeCell ref="K100:M100"/>
    <mergeCell ref="N100:P100"/>
    <mergeCell ref="Q100:S100"/>
    <mergeCell ref="T100:V100"/>
    <mergeCell ref="W100:Y100"/>
    <mergeCell ref="Z100:AB100"/>
    <mergeCell ref="Z99:AB99"/>
    <mergeCell ref="AC99:AE99"/>
    <mergeCell ref="AF99:AH99"/>
    <mergeCell ref="AI99:AK99"/>
    <mergeCell ref="AL99:AN99"/>
    <mergeCell ref="AO99:AQ99"/>
    <mergeCell ref="AO98:AQ98"/>
    <mergeCell ref="AS98:AT98"/>
    <mergeCell ref="B99:D99"/>
    <mergeCell ref="E99:G99"/>
    <mergeCell ref="H99:J99"/>
    <mergeCell ref="K99:M99"/>
    <mergeCell ref="N99:P99"/>
    <mergeCell ref="Q99:S99"/>
    <mergeCell ref="T99:V99"/>
    <mergeCell ref="W99:Y99"/>
    <mergeCell ref="W98:Y98"/>
    <mergeCell ref="Z98:AB98"/>
    <mergeCell ref="AC98:AE98"/>
    <mergeCell ref="AF98:AH98"/>
    <mergeCell ref="AI98:AK98"/>
    <mergeCell ref="AL98:AN98"/>
    <mergeCell ref="AL97:AN97"/>
    <mergeCell ref="AO97:AQ97"/>
    <mergeCell ref="AS97:AT97"/>
    <mergeCell ref="B98:D98"/>
    <mergeCell ref="E98:G98"/>
    <mergeCell ref="H98:J98"/>
    <mergeCell ref="K98:M98"/>
    <mergeCell ref="N98:P98"/>
    <mergeCell ref="Q98:S98"/>
    <mergeCell ref="T98:V98"/>
    <mergeCell ref="T97:V97"/>
    <mergeCell ref="W97:Y97"/>
    <mergeCell ref="Z97:AB97"/>
    <mergeCell ref="AC97:AE97"/>
    <mergeCell ref="AF97:AH97"/>
    <mergeCell ref="AI97:AK97"/>
    <mergeCell ref="B97:D97"/>
    <mergeCell ref="E97:G97"/>
    <mergeCell ref="H97:J97"/>
    <mergeCell ref="K97:M97"/>
    <mergeCell ref="N97:P97"/>
    <mergeCell ref="Q97:S97"/>
    <mergeCell ref="AC96:AE96"/>
    <mergeCell ref="AF96:AH96"/>
    <mergeCell ref="AI96:AK96"/>
    <mergeCell ref="AL96:AN96"/>
    <mergeCell ref="AO96:AQ96"/>
    <mergeCell ref="AS96:AT96"/>
    <mergeCell ref="AS95:AT95"/>
    <mergeCell ref="B96:D96"/>
    <mergeCell ref="E96:G96"/>
    <mergeCell ref="H96:J96"/>
    <mergeCell ref="K96:M96"/>
    <mergeCell ref="N96:P96"/>
    <mergeCell ref="Q96:S96"/>
    <mergeCell ref="T96:V96"/>
    <mergeCell ref="W96:Y96"/>
    <mergeCell ref="Z96:AB96"/>
    <mergeCell ref="Z95:AB95"/>
    <mergeCell ref="AC95:AE95"/>
    <mergeCell ref="AF95:AH95"/>
    <mergeCell ref="AI95:AK95"/>
    <mergeCell ref="AL95:AN95"/>
    <mergeCell ref="AO95:AQ95"/>
    <mergeCell ref="AO94:AQ94"/>
    <mergeCell ref="AS94:AT94"/>
    <mergeCell ref="B95:D95"/>
    <mergeCell ref="E95:G95"/>
    <mergeCell ref="H95:J95"/>
    <mergeCell ref="K95:M95"/>
    <mergeCell ref="N95:P95"/>
    <mergeCell ref="Q95:S95"/>
    <mergeCell ref="T95:V95"/>
    <mergeCell ref="W95:Y95"/>
    <mergeCell ref="W94:Y94"/>
    <mergeCell ref="Z94:AB94"/>
    <mergeCell ref="AC94:AE94"/>
    <mergeCell ref="AF94:AH94"/>
    <mergeCell ref="AI94:AK94"/>
    <mergeCell ref="AL94:AN94"/>
    <mergeCell ref="AL93:AN93"/>
    <mergeCell ref="AO93:AQ93"/>
    <mergeCell ref="AS93:AT93"/>
    <mergeCell ref="B94:D94"/>
    <mergeCell ref="E94:G94"/>
    <mergeCell ref="H94:J94"/>
    <mergeCell ref="K94:M94"/>
    <mergeCell ref="N94:P94"/>
    <mergeCell ref="Q94:S94"/>
    <mergeCell ref="T94:V94"/>
    <mergeCell ref="T93:V93"/>
    <mergeCell ref="W93:Y93"/>
    <mergeCell ref="Z93:AB93"/>
    <mergeCell ref="AC93:AE93"/>
    <mergeCell ref="AF93:AH93"/>
    <mergeCell ref="AI93:AK93"/>
    <mergeCell ref="B93:D93"/>
    <mergeCell ref="E93:G93"/>
    <mergeCell ref="H93:J93"/>
    <mergeCell ref="K93:M93"/>
    <mergeCell ref="N93:P93"/>
    <mergeCell ref="Q93:S93"/>
    <mergeCell ref="AC92:AE92"/>
    <mergeCell ref="AF92:AH92"/>
    <mergeCell ref="AI92:AK92"/>
    <mergeCell ref="AL92:AN92"/>
    <mergeCell ref="AO92:AQ92"/>
    <mergeCell ref="AS92:AT92"/>
    <mergeCell ref="AS91:AT91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Z91:AB91"/>
    <mergeCell ref="AC91:AE91"/>
    <mergeCell ref="AF91:AH91"/>
    <mergeCell ref="AI91:AK91"/>
    <mergeCell ref="AL91:AN91"/>
    <mergeCell ref="AO91:AQ91"/>
    <mergeCell ref="AO90:AQ90"/>
    <mergeCell ref="AS90:AT90"/>
    <mergeCell ref="B91:D91"/>
    <mergeCell ref="E91:G91"/>
    <mergeCell ref="H91:J91"/>
    <mergeCell ref="K91:M91"/>
    <mergeCell ref="N91:P91"/>
    <mergeCell ref="Q91:S91"/>
    <mergeCell ref="T91:V91"/>
    <mergeCell ref="W91:Y91"/>
    <mergeCell ref="W90:Y90"/>
    <mergeCell ref="Z90:AB90"/>
    <mergeCell ref="AC90:AE90"/>
    <mergeCell ref="AF90:AH90"/>
    <mergeCell ref="AI90:AK90"/>
    <mergeCell ref="AL90:AN90"/>
    <mergeCell ref="AL89:AN89"/>
    <mergeCell ref="AO89:AQ89"/>
    <mergeCell ref="AS89:AT89"/>
    <mergeCell ref="B90:D90"/>
    <mergeCell ref="E90:G90"/>
    <mergeCell ref="H90:J90"/>
    <mergeCell ref="K90:M90"/>
    <mergeCell ref="N90:P90"/>
    <mergeCell ref="Q90:S90"/>
    <mergeCell ref="T90:V90"/>
    <mergeCell ref="T89:V89"/>
    <mergeCell ref="W89:Y89"/>
    <mergeCell ref="Z89:AB89"/>
    <mergeCell ref="AC89:AE89"/>
    <mergeCell ref="AF89:AH89"/>
    <mergeCell ref="AI89:AK89"/>
    <mergeCell ref="B89:D89"/>
    <mergeCell ref="E89:G89"/>
    <mergeCell ref="H89:J89"/>
    <mergeCell ref="K89:M89"/>
    <mergeCell ref="N89:P89"/>
    <mergeCell ref="Q89:S89"/>
    <mergeCell ref="AC88:AE88"/>
    <mergeCell ref="AF88:AH88"/>
    <mergeCell ref="AI88:AK88"/>
    <mergeCell ref="AL88:AN88"/>
    <mergeCell ref="AO88:AQ88"/>
    <mergeCell ref="AS88:AT88"/>
    <mergeCell ref="AS87:AT87"/>
    <mergeCell ref="B88:D88"/>
    <mergeCell ref="E88:G88"/>
    <mergeCell ref="H88:J88"/>
    <mergeCell ref="K88:M88"/>
    <mergeCell ref="N88:P88"/>
    <mergeCell ref="Q88:S88"/>
    <mergeCell ref="T88:V88"/>
    <mergeCell ref="W88:Y88"/>
    <mergeCell ref="Z88:AB88"/>
    <mergeCell ref="Z87:AB87"/>
    <mergeCell ref="AC87:AE87"/>
    <mergeCell ref="AF87:AH87"/>
    <mergeCell ref="AI87:AK87"/>
    <mergeCell ref="AL87:AN87"/>
    <mergeCell ref="AO87:AQ87"/>
    <mergeCell ref="AO86:AQ86"/>
    <mergeCell ref="AS86:AT86"/>
    <mergeCell ref="B87:D87"/>
    <mergeCell ref="E87:G87"/>
    <mergeCell ref="H87:J87"/>
    <mergeCell ref="K87:M87"/>
    <mergeCell ref="N87:P87"/>
    <mergeCell ref="Q87:S87"/>
    <mergeCell ref="T87:V87"/>
    <mergeCell ref="W87:Y87"/>
    <mergeCell ref="W86:Y86"/>
    <mergeCell ref="Z86:AB86"/>
    <mergeCell ref="AC86:AE86"/>
    <mergeCell ref="AF86:AH86"/>
    <mergeCell ref="AI86:AK86"/>
    <mergeCell ref="AL86:AN86"/>
    <mergeCell ref="AL85:AN85"/>
    <mergeCell ref="AO85:AQ85"/>
    <mergeCell ref="AS85:AT85"/>
    <mergeCell ref="B86:D86"/>
    <mergeCell ref="E86:G86"/>
    <mergeCell ref="H86:J86"/>
    <mergeCell ref="K86:M86"/>
    <mergeCell ref="N86:P86"/>
    <mergeCell ref="Q86:S86"/>
    <mergeCell ref="T86:V86"/>
    <mergeCell ref="T85:V85"/>
    <mergeCell ref="W85:Y85"/>
    <mergeCell ref="Z85:AB85"/>
    <mergeCell ref="AC85:AE85"/>
    <mergeCell ref="AF85:AH85"/>
    <mergeCell ref="AI85:AK85"/>
    <mergeCell ref="B85:D85"/>
    <mergeCell ref="E85:G85"/>
    <mergeCell ref="H85:J85"/>
    <mergeCell ref="K85:M85"/>
    <mergeCell ref="N85:P85"/>
    <mergeCell ref="Q85:S85"/>
    <mergeCell ref="AC84:AE84"/>
    <mergeCell ref="AF84:AH84"/>
    <mergeCell ref="AI84:AK84"/>
    <mergeCell ref="AL84:AN84"/>
    <mergeCell ref="AO84:AQ84"/>
    <mergeCell ref="AS84:AT84"/>
    <mergeCell ref="AS83:AT83"/>
    <mergeCell ref="B84:D84"/>
    <mergeCell ref="E84:G84"/>
    <mergeCell ref="H84:J84"/>
    <mergeCell ref="K84:M84"/>
    <mergeCell ref="N84:P84"/>
    <mergeCell ref="Q84:S84"/>
    <mergeCell ref="T84:V84"/>
    <mergeCell ref="W84:Y84"/>
    <mergeCell ref="Z84:AB84"/>
    <mergeCell ref="Z83:AB83"/>
    <mergeCell ref="AC83:AE83"/>
    <mergeCell ref="AF83:AH83"/>
    <mergeCell ref="AI83:AK83"/>
    <mergeCell ref="AL83:AN83"/>
    <mergeCell ref="AO83:AQ83"/>
    <mergeCell ref="AO82:AQ82"/>
    <mergeCell ref="AS82:AT82"/>
    <mergeCell ref="B83:D83"/>
    <mergeCell ref="E83:G83"/>
    <mergeCell ref="H83:J83"/>
    <mergeCell ref="K83:M83"/>
    <mergeCell ref="N83:P83"/>
    <mergeCell ref="Q83:S83"/>
    <mergeCell ref="T83:V83"/>
    <mergeCell ref="W83:Y83"/>
    <mergeCell ref="W82:Y82"/>
    <mergeCell ref="Z82:AB82"/>
    <mergeCell ref="AC82:AE82"/>
    <mergeCell ref="AF82:AH82"/>
    <mergeCell ref="AI82:AK82"/>
    <mergeCell ref="AL82:AN82"/>
    <mergeCell ref="AL81:AN81"/>
    <mergeCell ref="AO81:AQ81"/>
    <mergeCell ref="AS81:AT81"/>
    <mergeCell ref="B82:D82"/>
    <mergeCell ref="E82:G82"/>
    <mergeCell ref="H82:J82"/>
    <mergeCell ref="K82:M82"/>
    <mergeCell ref="N82:P82"/>
    <mergeCell ref="Q82:S82"/>
    <mergeCell ref="T82:V82"/>
    <mergeCell ref="T81:V81"/>
    <mergeCell ref="W81:Y81"/>
    <mergeCell ref="Z81:AB81"/>
    <mergeCell ref="AC81:AE81"/>
    <mergeCell ref="AF81:AH81"/>
    <mergeCell ref="AI81:AK81"/>
    <mergeCell ref="B81:D81"/>
    <mergeCell ref="E81:G81"/>
    <mergeCell ref="H81:J81"/>
    <mergeCell ref="K81:M81"/>
    <mergeCell ref="N81:P81"/>
    <mergeCell ref="Q81:S81"/>
    <mergeCell ref="AC80:AE80"/>
    <mergeCell ref="AF80:AH80"/>
    <mergeCell ref="AI80:AK80"/>
    <mergeCell ref="AL80:AN80"/>
    <mergeCell ref="AO80:AQ80"/>
    <mergeCell ref="AS80:AT80"/>
    <mergeCell ref="AS79:AT79"/>
    <mergeCell ref="B80:D80"/>
    <mergeCell ref="E80:G80"/>
    <mergeCell ref="H80:J80"/>
    <mergeCell ref="K80:M80"/>
    <mergeCell ref="N80:P80"/>
    <mergeCell ref="Q80:S80"/>
    <mergeCell ref="T80:V80"/>
    <mergeCell ref="W80:Y80"/>
    <mergeCell ref="Z80:AB80"/>
    <mergeCell ref="Z79:AB79"/>
    <mergeCell ref="AC79:AE79"/>
    <mergeCell ref="AF79:AH79"/>
    <mergeCell ref="AI79:AK79"/>
    <mergeCell ref="AL79:AN79"/>
    <mergeCell ref="AO79:AQ79"/>
    <mergeCell ref="AO78:AQ78"/>
    <mergeCell ref="AS78:AT78"/>
    <mergeCell ref="B79:D79"/>
    <mergeCell ref="E79:G79"/>
    <mergeCell ref="H79:J79"/>
    <mergeCell ref="K79:M79"/>
    <mergeCell ref="N79:P79"/>
    <mergeCell ref="Q79:S79"/>
    <mergeCell ref="T79:V79"/>
    <mergeCell ref="W79:Y79"/>
    <mergeCell ref="W78:Y78"/>
    <mergeCell ref="Z78:AB78"/>
    <mergeCell ref="AC78:AE78"/>
    <mergeCell ref="AF78:AH78"/>
    <mergeCell ref="AI78:AK78"/>
    <mergeCell ref="AL78:AN78"/>
    <mergeCell ref="AL77:AN77"/>
    <mergeCell ref="AO77:AQ77"/>
    <mergeCell ref="AS77:AT77"/>
    <mergeCell ref="B78:D78"/>
    <mergeCell ref="E78:G78"/>
    <mergeCell ref="H78:J78"/>
    <mergeCell ref="K78:M78"/>
    <mergeCell ref="N78:P78"/>
    <mergeCell ref="Q78:S78"/>
    <mergeCell ref="T78:V78"/>
    <mergeCell ref="T77:V77"/>
    <mergeCell ref="W77:Y77"/>
    <mergeCell ref="Z77:AB77"/>
    <mergeCell ref="AC77:AE77"/>
    <mergeCell ref="AF77:AH77"/>
    <mergeCell ref="AI77:AK77"/>
    <mergeCell ref="B77:D77"/>
    <mergeCell ref="E77:G77"/>
    <mergeCell ref="H77:J77"/>
    <mergeCell ref="K77:M77"/>
    <mergeCell ref="N77:P77"/>
    <mergeCell ref="Q77:S77"/>
    <mergeCell ref="AC76:AE76"/>
    <mergeCell ref="AF76:AH76"/>
    <mergeCell ref="AI76:AK76"/>
    <mergeCell ref="AL76:AN76"/>
    <mergeCell ref="AO76:AQ76"/>
    <mergeCell ref="AS76:AT76"/>
    <mergeCell ref="AS75:AT75"/>
    <mergeCell ref="B76:D76"/>
    <mergeCell ref="E76:G76"/>
    <mergeCell ref="H76:J76"/>
    <mergeCell ref="K76:M76"/>
    <mergeCell ref="N76:P76"/>
    <mergeCell ref="Q76:S76"/>
    <mergeCell ref="T76:V76"/>
    <mergeCell ref="W76:Y76"/>
    <mergeCell ref="Z76:AB76"/>
    <mergeCell ref="Z75:AB75"/>
    <mergeCell ref="AC75:AE75"/>
    <mergeCell ref="AF75:AH75"/>
    <mergeCell ref="AI75:AK75"/>
    <mergeCell ref="AL75:AN75"/>
    <mergeCell ref="AO75:AQ75"/>
    <mergeCell ref="AO74:AQ74"/>
    <mergeCell ref="AS74:AT74"/>
    <mergeCell ref="B75:D75"/>
    <mergeCell ref="E75:G75"/>
    <mergeCell ref="H75:J75"/>
    <mergeCell ref="K75:M75"/>
    <mergeCell ref="N75:P75"/>
    <mergeCell ref="Q75:S75"/>
    <mergeCell ref="T75:V75"/>
    <mergeCell ref="W75:Y75"/>
    <mergeCell ref="W74:Y74"/>
    <mergeCell ref="Z74:AB74"/>
    <mergeCell ref="AC74:AE74"/>
    <mergeCell ref="AF74:AH74"/>
    <mergeCell ref="AI74:AK74"/>
    <mergeCell ref="AL74:AN74"/>
    <mergeCell ref="AL73:AN73"/>
    <mergeCell ref="AO73:AQ73"/>
    <mergeCell ref="AS73:AT73"/>
    <mergeCell ref="B74:D74"/>
    <mergeCell ref="E74:G74"/>
    <mergeCell ref="H74:J74"/>
    <mergeCell ref="K74:M74"/>
    <mergeCell ref="N74:P74"/>
    <mergeCell ref="Q74:S74"/>
    <mergeCell ref="T74:V74"/>
    <mergeCell ref="T73:V73"/>
    <mergeCell ref="W73:Y73"/>
    <mergeCell ref="Z73:AB73"/>
    <mergeCell ref="AC73:AE73"/>
    <mergeCell ref="AF73:AH73"/>
    <mergeCell ref="AI73:AK73"/>
    <mergeCell ref="B73:D73"/>
    <mergeCell ref="E73:G73"/>
    <mergeCell ref="H73:J73"/>
    <mergeCell ref="K73:M73"/>
    <mergeCell ref="N73:P73"/>
    <mergeCell ref="Q73:S73"/>
    <mergeCell ref="AC72:AE72"/>
    <mergeCell ref="AF72:AH72"/>
    <mergeCell ref="AI72:AK72"/>
    <mergeCell ref="AL72:AN72"/>
    <mergeCell ref="AO72:AQ72"/>
    <mergeCell ref="AS72:AT72"/>
    <mergeCell ref="AS71:AT71"/>
    <mergeCell ref="B72:D72"/>
    <mergeCell ref="E72:G72"/>
    <mergeCell ref="H72:J72"/>
    <mergeCell ref="K72:M72"/>
    <mergeCell ref="N72:P72"/>
    <mergeCell ref="Q72:S72"/>
    <mergeCell ref="T72:V72"/>
    <mergeCell ref="W72:Y72"/>
    <mergeCell ref="Z72:AB72"/>
    <mergeCell ref="Z71:AB71"/>
    <mergeCell ref="AC71:AE71"/>
    <mergeCell ref="AF71:AH71"/>
    <mergeCell ref="AI71:AK71"/>
    <mergeCell ref="AL71:AN71"/>
    <mergeCell ref="AO71:AQ71"/>
    <mergeCell ref="AO70:AQ70"/>
    <mergeCell ref="AS70:AT70"/>
    <mergeCell ref="B71:D71"/>
    <mergeCell ref="E71:G71"/>
    <mergeCell ref="H71:J71"/>
    <mergeCell ref="K71:M71"/>
    <mergeCell ref="N71:P71"/>
    <mergeCell ref="Q71:S71"/>
    <mergeCell ref="T71:V71"/>
    <mergeCell ref="W71:Y71"/>
    <mergeCell ref="W70:Y70"/>
    <mergeCell ref="Z70:AB70"/>
    <mergeCell ref="AC70:AE70"/>
    <mergeCell ref="AF70:AH70"/>
    <mergeCell ref="AI70:AK70"/>
    <mergeCell ref="AL70:AN70"/>
    <mergeCell ref="AL69:AN69"/>
    <mergeCell ref="AO69:AQ69"/>
    <mergeCell ref="AS69:AT69"/>
    <mergeCell ref="B70:D70"/>
    <mergeCell ref="E70:G70"/>
    <mergeCell ref="H70:J70"/>
    <mergeCell ref="K70:M70"/>
    <mergeCell ref="N70:P70"/>
    <mergeCell ref="Q70:S70"/>
    <mergeCell ref="T70:V70"/>
    <mergeCell ref="T69:V69"/>
    <mergeCell ref="W69:Y69"/>
    <mergeCell ref="Z69:AB69"/>
    <mergeCell ref="AC69:AE69"/>
    <mergeCell ref="AF69:AH69"/>
    <mergeCell ref="AI69:AK69"/>
    <mergeCell ref="B69:D69"/>
    <mergeCell ref="E69:G69"/>
    <mergeCell ref="H69:J69"/>
    <mergeCell ref="K69:M69"/>
    <mergeCell ref="N69:P69"/>
    <mergeCell ref="Q69:S69"/>
    <mergeCell ref="AC68:AE68"/>
    <mergeCell ref="AF68:AH68"/>
    <mergeCell ref="AI68:AK68"/>
    <mergeCell ref="AL68:AN68"/>
    <mergeCell ref="AO68:AQ68"/>
    <mergeCell ref="AS68:AT68"/>
    <mergeCell ref="AS67:AT67"/>
    <mergeCell ref="B68:D68"/>
    <mergeCell ref="E68:G68"/>
    <mergeCell ref="H68:J68"/>
    <mergeCell ref="K68:M68"/>
    <mergeCell ref="N68:P68"/>
    <mergeCell ref="Q68:S68"/>
    <mergeCell ref="T68:V68"/>
    <mergeCell ref="W68:Y68"/>
    <mergeCell ref="Z68:AB68"/>
    <mergeCell ref="Z67:AB67"/>
    <mergeCell ref="AC67:AE67"/>
    <mergeCell ref="AF67:AH67"/>
    <mergeCell ref="AI67:AK67"/>
    <mergeCell ref="AL67:AN67"/>
    <mergeCell ref="AO67:AQ67"/>
    <mergeCell ref="AO66:AQ66"/>
    <mergeCell ref="AS66:AT66"/>
    <mergeCell ref="B67:D67"/>
    <mergeCell ref="E67:G67"/>
    <mergeCell ref="H67:J67"/>
    <mergeCell ref="K67:M67"/>
    <mergeCell ref="N67:P67"/>
    <mergeCell ref="Q67:S67"/>
    <mergeCell ref="T67:V67"/>
    <mergeCell ref="W67:Y67"/>
    <mergeCell ref="W66:Y66"/>
    <mergeCell ref="Z66:AB66"/>
    <mergeCell ref="AC66:AE66"/>
    <mergeCell ref="AF66:AH66"/>
    <mergeCell ref="AI66:AK66"/>
    <mergeCell ref="AL66:AN66"/>
    <mergeCell ref="AL65:AN65"/>
    <mergeCell ref="AO65:AQ65"/>
    <mergeCell ref="AS65:AT65"/>
    <mergeCell ref="B66:D66"/>
    <mergeCell ref="E66:G66"/>
    <mergeCell ref="H66:J66"/>
    <mergeCell ref="K66:M66"/>
    <mergeCell ref="N66:P66"/>
    <mergeCell ref="Q66:S66"/>
    <mergeCell ref="T66:V66"/>
    <mergeCell ref="T65:V65"/>
    <mergeCell ref="W65:Y65"/>
    <mergeCell ref="Z65:AB65"/>
    <mergeCell ref="AC65:AE65"/>
    <mergeCell ref="AF65:AH65"/>
    <mergeCell ref="AI65:AK65"/>
    <mergeCell ref="B65:D65"/>
    <mergeCell ref="E65:G65"/>
    <mergeCell ref="H65:J65"/>
    <mergeCell ref="K65:M65"/>
    <mergeCell ref="N65:P65"/>
    <mergeCell ref="Q65:S65"/>
    <mergeCell ref="AC64:AE64"/>
    <mergeCell ref="AF64:AH64"/>
    <mergeCell ref="AI64:AK64"/>
    <mergeCell ref="AL64:AN64"/>
    <mergeCell ref="AO64:AQ64"/>
    <mergeCell ref="AS64:AT64"/>
    <mergeCell ref="AS63:AT63"/>
    <mergeCell ref="B64:D64"/>
    <mergeCell ref="E64:G64"/>
    <mergeCell ref="H64:J64"/>
    <mergeCell ref="K64:M64"/>
    <mergeCell ref="N64:P64"/>
    <mergeCell ref="Q64:S64"/>
    <mergeCell ref="T64:V64"/>
    <mergeCell ref="W64:Y64"/>
    <mergeCell ref="Z64:AB64"/>
    <mergeCell ref="Z63:AB63"/>
    <mergeCell ref="AC63:AE63"/>
    <mergeCell ref="AF63:AH63"/>
    <mergeCell ref="AI63:AK63"/>
    <mergeCell ref="AL63:AN63"/>
    <mergeCell ref="AO63:AQ63"/>
    <mergeCell ref="AO62:AQ62"/>
    <mergeCell ref="AS62:AT62"/>
    <mergeCell ref="B63:D63"/>
    <mergeCell ref="E63:G63"/>
    <mergeCell ref="H63:J63"/>
    <mergeCell ref="K63:M63"/>
    <mergeCell ref="N63:P63"/>
    <mergeCell ref="Q63:S63"/>
    <mergeCell ref="T63:V63"/>
    <mergeCell ref="W63:Y63"/>
    <mergeCell ref="W62:Y62"/>
    <mergeCell ref="Z62:AB62"/>
    <mergeCell ref="AC62:AE62"/>
    <mergeCell ref="AF62:AH62"/>
    <mergeCell ref="AI62:AK62"/>
    <mergeCell ref="AL62:AN62"/>
    <mergeCell ref="AL61:AN61"/>
    <mergeCell ref="AO61:AQ61"/>
    <mergeCell ref="AS61:AT61"/>
    <mergeCell ref="B62:D62"/>
    <mergeCell ref="E62:G62"/>
    <mergeCell ref="H62:J62"/>
    <mergeCell ref="K62:M62"/>
    <mergeCell ref="N62:P62"/>
    <mergeCell ref="Q62:S62"/>
    <mergeCell ref="T62:V62"/>
    <mergeCell ref="T61:V61"/>
    <mergeCell ref="W61:Y61"/>
    <mergeCell ref="Z61:AB61"/>
    <mergeCell ref="AC61:AE61"/>
    <mergeCell ref="AF61:AH61"/>
    <mergeCell ref="AI61:AK61"/>
    <mergeCell ref="B61:D61"/>
    <mergeCell ref="E61:G61"/>
    <mergeCell ref="H61:J61"/>
    <mergeCell ref="K61:M61"/>
    <mergeCell ref="N61:P61"/>
    <mergeCell ref="Q61:S61"/>
    <mergeCell ref="AC60:AE60"/>
    <mergeCell ref="AF60:AH60"/>
    <mergeCell ref="AI60:AK60"/>
    <mergeCell ref="AL60:AN60"/>
    <mergeCell ref="AO60:AQ60"/>
    <mergeCell ref="AS60:AT60"/>
    <mergeCell ref="AS59:AT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Z59:AB59"/>
    <mergeCell ref="AC59:AE59"/>
    <mergeCell ref="AF59:AH59"/>
    <mergeCell ref="AI59:AK59"/>
    <mergeCell ref="AL59:AN59"/>
    <mergeCell ref="AO59:AQ59"/>
    <mergeCell ref="AO58:AQ58"/>
    <mergeCell ref="AS58:AT58"/>
    <mergeCell ref="B59:D59"/>
    <mergeCell ref="E59:G59"/>
    <mergeCell ref="H59:J59"/>
    <mergeCell ref="K59:M59"/>
    <mergeCell ref="N59:P59"/>
    <mergeCell ref="Q59:S59"/>
    <mergeCell ref="T59:V59"/>
    <mergeCell ref="W59:Y59"/>
    <mergeCell ref="W58:Y58"/>
    <mergeCell ref="Z58:AB58"/>
    <mergeCell ref="AC58:AE58"/>
    <mergeCell ref="AF58:AH58"/>
    <mergeCell ref="AI58:AK58"/>
    <mergeCell ref="AL58:AN58"/>
    <mergeCell ref="AL57:AN57"/>
    <mergeCell ref="AO57:AQ57"/>
    <mergeCell ref="AS57:AT57"/>
    <mergeCell ref="B58:D58"/>
    <mergeCell ref="E58:G58"/>
    <mergeCell ref="H58:J58"/>
    <mergeCell ref="K58:M58"/>
    <mergeCell ref="N58:P58"/>
    <mergeCell ref="Q58:S58"/>
    <mergeCell ref="T58:V58"/>
    <mergeCell ref="T57:V57"/>
    <mergeCell ref="W57:Y57"/>
    <mergeCell ref="Z57:AB57"/>
    <mergeCell ref="AC57:AE57"/>
    <mergeCell ref="AF57:AH57"/>
    <mergeCell ref="AI57:AK57"/>
    <mergeCell ref="B57:D57"/>
    <mergeCell ref="E57:G57"/>
    <mergeCell ref="H57:J57"/>
    <mergeCell ref="K57:M57"/>
    <mergeCell ref="N57:P57"/>
    <mergeCell ref="Q57:S57"/>
    <mergeCell ref="AC56:AE56"/>
    <mergeCell ref="AF56:AH56"/>
    <mergeCell ref="AI56:AK56"/>
    <mergeCell ref="AL56:AN56"/>
    <mergeCell ref="AO56:AQ56"/>
    <mergeCell ref="AS56:AT56"/>
    <mergeCell ref="AS55:AT55"/>
    <mergeCell ref="B56:D56"/>
    <mergeCell ref="E56:G56"/>
    <mergeCell ref="H56:J56"/>
    <mergeCell ref="K56:M56"/>
    <mergeCell ref="N56:P56"/>
    <mergeCell ref="Q56:S56"/>
    <mergeCell ref="T56:V56"/>
    <mergeCell ref="W56:Y56"/>
    <mergeCell ref="Z56:AB56"/>
    <mergeCell ref="Z55:AB55"/>
    <mergeCell ref="AC55:AE55"/>
    <mergeCell ref="AF55:AH55"/>
    <mergeCell ref="AI55:AK55"/>
    <mergeCell ref="AL55:AN55"/>
    <mergeCell ref="AO55:AQ55"/>
    <mergeCell ref="AO54:AQ54"/>
    <mergeCell ref="AS54:AT54"/>
    <mergeCell ref="B55:D55"/>
    <mergeCell ref="E55:G55"/>
    <mergeCell ref="H55:J55"/>
    <mergeCell ref="K55:M55"/>
    <mergeCell ref="N55:P55"/>
    <mergeCell ref="Q55:S55"/>
    <mergeCell ref="T55:V55"/>
    <mergeCell ref="W55:Y55"/>
    <mergeCell ref="W54:Y54"/>
    <mergeCell ref="Z54:AB54"/>
    <mergeCell ref="AC54:AE54"/>
    <mergeCell ref="AF54:AH54"/>
    <mergeCell ref="AI54:AK54"/>
    <mergeCell ref="AL54:AN54"/>
    <mergeCell ref="AL53:AN53"/>
    <mergeCell ref="AO53:AQ53"/>
    <mergeCell ref="AS53:AT53"/>
    <mergeCell ref="B54:D54"/>
    <mergeCell ref="E54:G54"/>
    <mergeCell ref="H54:J54"/>
    <mergeCell ref="K54:M54"/>
    <mergeCell ref="N54:P54"/>
    <mergeCell ref="Q54:S54"/>
    <mergeCell ref="T54:V54"/>
    <mergeCell ref="T53:V53"/>
    <mergeCell ref="W53:Y53"/>
    <mergeCell ref="Z53:AB53"/>
    <mergeCell ref="AC53:AE53"/>
    <mergeCell ref="AF53:AH53"/>
    <mergeCell ref="AI53:AK53"/>
    <mergeCell ref="B53:D53"/>
    <mergeCell ref="E53:G53"/>
    <mergeCell ref="H53:J53"/>
    <mergeCell ref="K53:M53"/>
    <mergeCell ref="N53:P53"/>
    <mergeCell ref="Q53:S53"/>
    <mergeCell ref="AC52:AE52"/>
    <mergeCell ref="AF52:AH52"/>
    <mergeCell ref="AI52:AK52"/>
    <mergeCell ref="AL52:AN52"/>
    <mergeCell ref="AO52:AQ52"/>
    <mergeCell ref="AS52:AT52"/>
    <mergeCell ref="AS51:AT51"/>
    <mergeCell ref="B52:D52"/>
    <mergeCell ref="E52:G52"/>
    <mergeCell ref="H52:J52"/>
    <mergeCell ref="K52:M52"/>
    <mergeCell ref="N52:P52"/>
    <mergeCell ref="Q52:S52"/>
    <mergeCell ref="T52:V52"/>
    <mergeCell ref="W52:Y52"/>
    <mergeCell ref="Z52:AB52"/>
    <mergeCell ref="Z51:AB51"/>
    <mergeCell ref="AC51:AE51"/>
    <mergeCell ref="AF51:AH51"/>
    <mergeCell ref="AI51:AK51"/>
    <mergeCell ref="AL51:AN51"/>
    <mergeCell ref="AO51:AQ51"/>
    <mergeCell ref="AO50:AQ50"/>
    <mergeCell ref="AS50:AT50"/>
    <mergeCell ref="B51:D51"/>
    <mergeCell ref="E51:G51"/>
    <mergeCell ref="H51:J51"/>
    <mergeCell ref="K51:M51"/>
    <mergeCell ref="N51:P51"/>
    <mergeCell ref="Q51:S51"/>
    <mergeCell ref="T51:V51"/>
    <mergeCell ref="W51:Y51"/>
    <mergeCell ref="W50:Y50"/>
    <mergeCell ref="Z50:AB50"/>
    <mergeCell ref="AC50:AE50"/>
    <mergeCell ref="AF50:AH50"/>
    <mergeCell ref="AI50:AK50"/>
    <mergeCell ref="AL50:AN50"/>
    <mergeCell ref="AL49:AN49"/>
    <mergeCell ref="AO49:AQ49"/>
    <mergeCell ref="AS49:AT49"/>
    <mergeCell ref="B50:D50"/>
    <mergeCell ref="E50:G50"/>
    <mergeCell ref="H50:J50"/>
    <mergeCell ref="K50:M50"/>
    <mergeCell ref="N50:P50"/>
    <mergeCell ref="Q50:S50"/>
    <mergeCell ref="T50:V50"/>
    <mergeCell ref="T49:V49"/>
    <mergeCell ref="W49:Y49"/>
    <mergeCell ref="Z49:AB49"/>
    <mergeCell ref="AC49:AE49"/>
    <mergeCell ref="AF49:AH49"/>
    <mergeCell ref="AI49:AK49"/>
    <mergeCell ref="B49:D49"/>
    <mergeCell ref="E49:G49"/>
    <mergeCell ref="H49:J49"/>
    <mergeCell ref="K49:M49"/>
    <mergeCell ref="N49:P49"/>
    <mergeCell ref="Q49:S49"/>
    <mergeCell ref="AC48:AE48"/>
    <mergeCell ref="AF48:AH48"/>
    <mergeCell ref="AI48:AK48"/>
    <mergeCell ref="AL48:AN48"/>
    <mergeCell ref="AO48:AQ48"/>
    <mergeCell ref="AS48:AT48"/>
    <mergeCell ref="AS47:AT47"/>
    <mergeCell ref="B48:D48"/>
    <mergeCell ref="E48:G48"/>
    <mergeCell ref="H48:J48"/>
    <mergeCell ref="K48:M48"/>
    <mergeCell ref="N48:P48"/>
    <mergeCell ref="Q48:S48"/>
    <mergeCell ref="T48:V48"/>
    <mergeCell ref="W48:Y48"/>
    <mergeCell ref="Z48:AB48"/>
    <mergeCell ref="Z47:AB47"/>
    <mergeCell ref="AC47:AE47"/>
    <mergeCell ref="AF47:AH47"/>
    <mergeCell ref="AI47:AK47"/>
    <mergeCell ref="AL47:AN47"/>
    <mergeCell ref="AO47:AQ47"/>
    <mergeCell ref="AO46:AQ46"/>
    <mergeCell ref="AS46:AT46"/>
    <mergeCell ref="B47:D47"/>
    <mergeCell ref="E47:G47"/>
    <mergeCell ref="H47:J47"/>
    <mergeCell ref="K47:M47"/>
    <mergeCell ref="N47:P47"/>
    <mergeCell ref="Q47:S47"/>
    <mergeCell ref="T47:V47"/>
    <mergeCell ref="W47:Y47"/>
    <mergeCell ref="W46:Y46"/>
    <mergeCell ref="Z46:AB46"/>
    <mergeCell ref="AC46:AE46"/>
    <mergeCell ref="AF46:AH46"/>
    <mergeCell ref="AI46:AK46"/>
    <mergeCell ref="AL46:AN46"/>
    <mergeCell ref="AL45:AN45"/>
    <mergeCell ref="AO45:AQ45"/>
    <mergeCell ref="AS45:AT45"/>
    <mergeCell ref="B46:D46"/>
    <mergeCell ref="E46:G46"/>
    <mergeCell ref="H46:J46"/>
    <mergeCell ref="K46:M46"/>
    <mergeCell ref="N46:P46"/>
    <mergeCell ref="Q46:S46"/>
    <mergeCell ref="T46:V46"/>
    <mergeCell ref="T45:V45"/>
    <mergeCell ref="W45:Y45"/>
    <mergeCell ref="Z45:AB45"/>
    <mergeCell ref="AC45:AE45"/>
    <mergeCell ref="AF45:AH45"/>
    <mergeCell ref="AI45:AK45"/>
    <mergeCell ref="B45:D45"/>
    <mergeCell ref="E45:G45"/>
    <mergeCell ref="H45:J45"/>
    <mergeCell ref="K45:M45"/>
    <mergeCell ref="N45:P45"/>
    <mergeCell ref="Q45:S45"/>
    <mergeCell ref="AC44:AE44"/>
    <mergeCell ref="AF44:AH44"/>
    <mergeCell ref="AI44:AK44"/>
    <mergeCell ref="AL44:AN44"/>
    <mergeCell ref="AO44:AQ44"/>
    <mergeCell ref="AS44:AT44"/>
    <mergeCell ref="AS43:AT43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Z43:AB43"/>
    <mergeCell ref="AC43:AE43"/>
    <mergeCell ref="AF43:AH43"/>
    <mergeCell ref="AI43:AK43"/>
    <mergeCell ref="AL43:AN43"/>
    <mergeCell ref="AO43:AQ43"/>
    <mergeCell ref="AO42:AQ42"/>
    <mergeCell ref="AS42:AT42"/>
    <mergeCell ref="B43:D43"/>
    <mergeCell ref="E43:G43"/>
    <mergeCell ref="H43:J43"/>
    <mergeCell ref="K43:M43"/>
    <mergeCell ref="N43:P43"/>
    <mergeCell ref="Q43:S43"/>
    <mergeCell ref="T43:V43"/>
    <mergeCell ref="W43:Y43"/>
    <mergeCell ref="W42:Y42"/>
    <mergeCell ref="Z42:AB42"/>
    <mergeCell ref="AC42:AE42"/>
    <mergeCell ref="AF42:AH42"/>
    <mergeCell ref="AI42:AK42"/>
    <mergeCell ref="AL42:AN42"/>
    <mergeCell ref="AL41:AN41"/>
    <mergeCell ref="AO41:AQ41"/>
    <mergeCell ref="AS41:AT41"/>
    <mergeCell ref="B42:D42"/>
    <mergeCell ref="E42:G42"/>
    <mergeCell ref="H42:J42"/>
    <mergeCell ref="K42:M42"/>
    <mergeCell ref="N42:P42"/>
    <mergeCell ref="Q42:S42"/>
    <mergeCell ref="T42:V42"/>
    <mergeCell ref="T41:V41"/>
    <mergeCell ref="W41:Y41"/>
    <mergeCell ref="Z41:AB41"/>
    <mergeCell ref="AC41:AE41"/>
    <mergeCell ref="AF41:AH41"/>
    <mergeCell ref="AI41:AK41"/>
    <mergeCell ref="B41:D41"/>
    <mergeCell ref="E41:G41"/>
    <mergeCell ref="H41:J41"/>
    <mergeCell ref="K41:M41"/>
    <mergeCell ref="N41:P41"/>
    <mergeCell ref="Q41:S41"/>
    <mergeCell ref="AC40:AE40"/>
    <mergeCell ref="AF40:AH40"/>
    <mergeCell ref="AI40:AK40"/>
    <mergeCell ref="AL40:AN40"/>
    <mergeCell ref="AO40:AQ40"/>
    <mergeCell ref="AS40:AT40"/>
    <mergeCell ref="AS39:AT39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Z39:AB39"/>
    <mergeCell ref="AC39:AE39"/>
    <mergeCell ref="AF39:AH39"/>
    <mergeCell ref="AI39:AK39"/>
    <mergeCell ref="AL39:AN39"/>
    <mergeCell ref="AO39:AQ39"/>
    <mergeCell ref="AO38:AQ38"/>
    <mergeCell ref="AS38:AT38"/>
    <mergeCell ref="B39:D39"/>
    <mergeCell ref="E39:G39"/>
    <mergeCell ref="H39:J39"/>
    <mergeCell ref="K39:M39"/>
    <mergeCell ref="N39:P39"/>
    <mergeCell ref="Q39:S39"/>
    <mergeCell ref="T39:V39"/>
    <mergeCell ref="W39:Y39"/>
    <mergeCell ref="W38:Y38"/>
    <mergeCell ref="Z38:AB38"/>
    <mergeCell ref="AC38:AE38"/>
    <mergeCell ref="AF38:AH38"/>
    <mergeCell ref="AI38:AK38"/>
    <mergeCell ref="AL38:AN38"/>
    <mergeCell ref="AL37:AN37"/>
    <mergeCell ref="AO37:AQ37"/>
    <mergeCell ref="AS37:AT37"/>
    <mergeCell ref="B38:D38"/>
    <mergeCell ref="E38:G38"/>
    <mergeCell ref="H38:J38"/>
    <mergeCell ref="K38:M38"/>
    <mergeCell ref="N38:P38"/>
    <mergeCell ref="Q38:S38"/>
    <mergeCell ref="T38:V38"/>
    <mergeCell ref="T37:V37"/>
    <mergeCell ref="W37:Y37"/>
    <mergeCell ref="Z37:AB37"/>
    <mergeCell ref="AC37:AE37"/>
    <mergeCell ref="AF37:AH37"/>
    <mergeCell ref="AI37:AK37"/>
    <mergeCell ref="B37:D37"/>
    <mergeCell ref="E37:G37"/>
    <mergeCell ref="H37:J37"/>
    <mergeCell ref="K37:M37"/>
    <mergeCell ref="N37:P37"/>
    <mergeCell ref="Q37:S37"/>
    <mergeCell ref="AC36:AE36"/>
    <mergeCell ref="AF36:AH36"/>
    <mergeCell ref="AI36:AK36"/>
    <mergeCell ref="AL36:AN36"/>
    <mergeCell ref="AO36:AQ36"/>
    <mergeCell ref="AS36:AT36"/>
    <mergeCell ref="AS35:AT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Z35:AB35"/>
    <mergeCell ref="AC35:AE35"/>
    <mergeCell ref="AF35:AH35"/>
    <mergeCell ref="AI35:AK35"/>
    <mergeCell ref="AL35:AN35"/>
    <mergeCell ref="AO35:AQ35"/>
    <mergeCell ref="AO34:AQ34"/>
    <mergeCell ref="AS34:AT34"/>
    <mergeCell ref="B35:D35"/>
    <mergeCell ref="E35:G35"/>
    <mergeCell ref="H35:J35"/>
    <mergeCell ref="K35:M35"/>
    <mergeCell ref="N35:P35"/>
    <mergeCell ref="Q35:S35"/>
    <mergeCell ref="T35:V35"/>
    <mergeCell ref="W35:Y35"/>
    <mergeCell ref="W34:Y34"/>
    <mergeCell ref="Z34:AB34"/>
    <mergeCell ref="AC34:AE34"/>
    <mergeCell ref="AF34:AH34"/>
    <mergeCell ref="AI34:AK34"/>
    <mergeCell ref="AL34:AN34"/>
    <mergeCell ref="AL33:AN33"/>
    <mergeCell ref="AO33:AQ33"/>
    <mergeCell ref="AS33:AT33"/>
    <mergeCell ref="B34:D34"/>
    <mergeCell ref="E34:G34"/>
    <mergeCell ref="H34:J34"/>
    <mergeCell ref="K34:M34"/>
    <mergeCell ref="N34:P34"/>
    <mergeCell ref="Q34:S34"/>
    <mergeCell ref="T34:V34"/>
    <mergeCell ref="T33:V33"/>
    <mergeCell ref="W33:Y33"/>
    <mergeCell ref="Z33:AB33"/>
    <mergeCell ref="AC33:AE33"/>
    <mergeCell ref="AF33:AH33"/>
    <mergeCell ref="AI33:AK33"/>
    <mergeCell ref="B33:D33"/>
    <mergeCell ref="E33:G33"/>
    <mergeCell ref="H33:J33"/>
    <mergeCell ref="K33:M33"/>
    <mergeCell ref="N33:P33"/>
    <mergeCell ref="Q33:S33"/>
    <mergeCell ref="AC32:AE32"/>
    <mergeCell ref="AF32:AH32"/>
    <mergeCell ref="AI32:AK32"/>
    <mergeCell ref="AL32:AN32"/>
    <mergeCell ref="AO32:AQ32"/>
    <mergeCell ref="AS32:AT32"/>
    <mergeCell ref="A31:AT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F27:AG27"/>
    <mergeCell ref="AI27:AJ27"/>
    <mergeCell ref="AL27:AM27"/>
    <mergeCell ref="AO27:AP27"/>
    <mergeCell ref="A28:AT29"/>
    <mergeCell ref="A30:AT30"/>
    <mergeCell ref="N27:O27"/>
    <mergeCell ref="Q27:R27"/>
    <mergeCell ref="T27:U27"/>
    <mergeCell ref="W27:X27"/>
    <mergeCell ref="Z27:AA27"/>
    <mergeCell ref="AC27:AD27"/>
    <mergeCell ref="B25:C25"/>
    <mergeCell ref="B26:C26"/>
    <mergeCell ref="B27:C27"/>
    <mergeCell ref="E27:F27"/>
    <mergeCell ref="H27:I27"/>
    <mergeCell ref="K27:L27"/>
    <mergeCell ref="AO21:AQ21"/>
    <mergeCell ref="AR21:AR22"/>
    <mergeCell ref="AS21:AT21"/>
    <mergeCell ref="B22:C22"/>
    <mergeCell ref="B23:C23"/>
    <mergeCell ref="B24:C24"/>
    <mergeCell ref="W21:Y21"/>
    <mergeCell ref="Z21:AB21"/>
    <mergeCell ref="AC21:AE21"/>
    <mergeCell ref="AF21:AH21"/>
    <mergeCell ref="AI21:AK21"/>
    <mergeCell ref="AL21:AN21"/>
    <mergeCell ref="AR18:AT18"/>
    <mergeCell ref="A19:AT20"/>
    <mergeCell ref="A21:A22"/>
    <mergeCell ref="B21:D21"/>
    <mergeCell ref="E21:G21"/>
    <mergeCell ref="H21:J21"/>
    <mergeCell ref="K21:M21"/>
    <mergeCell ref="N21:P21"/>
    <mergeCell ref="Q21:S21"/>
    <mergeCell ref="T21:V21"/>
    <mergeCell ref="T18:V18"/>
    <mergeCell ref="W18:Y18"/>
    <mergeCell ref="AC18:AE18"/>
    <mergeCell ref="AI18:AK18"/>
    <mergeCell ref="AL18:AN18"/>
    <mergeCell ref="AO18:AQ18"/>
    <mergeCell ref="AI17:AK17"/>
    <mergeCell ref="AL17:AN17"/>
    <mergeCell ref="AO17:AQ17"/>
    <mergeCell ref="AR17:AT17"/>
    <mergeCell ref="B18:D18"/>
    <mergeCell ref="E18:G18"/>
    <mergeCell ref="H18:J18"/>
    <mergeCell ref="K18:M18"/>
    <mergeCell ref="N18:P18"/>
    <mergeCell ref="Q18:S18"/>
    <mergeCell ref="AR16:AT16"/>
    <mergeCell ref="B17:D17"/>
    <mergeCell ref="E17:G17"/>
    <mergeCell ref="H17:J17"/>
    <mergeCell ref="K17:M17"/>
    <mergeCell ref="N17:P17"/>
    <mergeCell ref="Q17:S17"/>
    <mergeCell ref="T17:V17"/>
    <mergeCell ref="W17:Y17"/>
    <mergeCell ref="AC17:AE17"/>
    <mergeCell ref="T16:V16"/>
    <mergeCell ref="W16:Y16"/>
    <mergeCell ref="AC16:AE16"/>
    <mergeCell ref="AI16:AK16"/>
    <mergeCell ref="AL16:AN16"/>
    <mergeCell ref="AO16:AQ16"/>
    <mergeCell ref="AI15:AK15"/>
    <mergeCell ref="AL15:AN15"/>
    <mergeCell ref="AO15:AQ15"/>
    <mergeCell ref="AR15:AT15"/>
    <mergeCell ref="B16:D16"/>
    <mergeCell ref="E16:G16"/>
    <mergeCell ref="H16:J16"/>
    <mergeCell ref="K16:M16"/>
    <mergeCell ref="N16:P16"/>
    <mergeCell ref="Q16:S16"/>
    <mergeCell ref="AR14:AT14"/>
    <mergeCell ref="B15:D15"/>
    <mergeCell ref="E15:G15"/>
    <mergeCell ref="H15:J15"/>
    <mergeCell ref="K15:M15"/>
    <mergeCell ref="N15:P15"/>
    <mergeCell ref="Q15:S15"/>
    <mergeCell ref="T15:V15"/>
    <mergeCell ref="W15:Y15"/>
    <mergeCell ref="AC15:AE15"/>
    <mergeCell ref="T14:V14"/>
    <mergeCell ref="W14:Y14"/>
    <mergeCell ref="AC14:AE14"/>
    <mergeCell ref="AI14:AK14"/>
    <mergeCell ref="AL14:AN14"/>
    <mergeCell ref="AO14:AQ14"/>
    <mergeCell ref="AI13:AK13"/>
    <mergeCell ref="AL13:AN13"/>
    <mergeCell ref="AO13:AQ13"/>
    <mergeCell ref="AR13:AT13"/>
    <mergeCell ref="B14:D14"/>
    <mergeCell ref="E14:G14"/>
    <mergeCell ref="H14:J14"/>
    <mergeCell ref="K14:M14"/>
    <mergeCell ref="N14:P14"/>
    <mergeCell ref="Q14:S14"/>
    <mergeCell ref="AR12:AT12"/>
    <mergeCell ref="B13:D13"/>
    <mergeCell ref="E13:G13"/>
    <mergeCell ref="H13:J13"/>
    <mergeCell ref="K13:M13"/>
    <mergeCell ref="N13:P13"/>
    <mergeCell ref="Q13:S13"/>
    <mergeCell ref="T13:V13"/>
    <mergeCell ref="W13:Y13"/>
    <mergeCell ref="AC13:AE13"/>
    <mergeCell ref="T12:V12"/>
    <mergeCell ref="W12:Y12"/>
    <mergeCell ref="AC12:AE12"/>
    <mergeCell ref="AI12:AK12"/>
    <mergeCell ref="AL12:AN12"/>
    <mergeCell ref="AO12:AQ12"/>
    <mergeCell ref="AI11:AK11"/>
    <mergeCell ref="AL11:AN11"/>
    <mergeCell ref="AO11:AQ11"/>
    <mergeCell ref="AR11:AT11"/>
    <mergeCell ref="B12:D12"/>
    <mergeCell ref="E12:G12"/>
    <mergeCell ref="H12:J12"/>
    <mergeCell ref="K12:M12"/>
    <mergeCell ref="N12:P12"/>
    <mergeCell ref="Q12:S12"/>
    <mergeCell ref="Q11:S11"/>
    <mergeCell ref="T11:V11"/>
    <mergeCell ref="W11:Y11"/>
    <mergeCell ref="Z11:AB11"/>
    <mergeCell ref="AC11:AE11"/>
    <mergeCell ref="AF11:AH11"/>
    <mergeCell ref="A1:AT4"/>
    <mergeCell ref="A5:AT6"/>
    <mergeCell ref="A7:AT8"/>
    <mergeCell ref="A9:AT9"/>
    <mergeCell ref="A10:AT10"/>
    <mergeCell ref="B11:D11"/>
    <mergeCell ref="E11:G11"/>
    <mergeCell ref="H11:J11"/>
    <mergeCell ref="K11:M11"/>
    <mergeCell ref="N11:P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ANIPA</dc:creator>
  <cp:lastModifiedBy>ANIPA</cp:lastModifiedBy>
  <dcterms:created xsi:type="dcterms:W3CDTF">2020-01-21T19:34:01Z</dcterms:created>
  <dcterms:modified xsi:type="dcterms:W3CDTF">2020-01-21T19:35:36Z</dcterms:modified>
</cp:coreProperties>
</file>