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dos\Desktop\FINANCEIRO\05. FINANCEIRO\2020\11. NOV\Histórico Mensal\"/>
    </mc:Choice>
  </mc:AlternateContent>
  <xr:revisionPtr revIDLastSave="0" documentId="13_ncr:1_{7416EBC7-34C3-4CC0-B459-F6D4E070C34D}" xr6:coauthVersionLast="46" xr6:coauthVersionMax="46" xr10:uidLastSave="{00000000-0000-0000-0000-000000000000}"/>
  <bookViews>
    <workbookView xWindow="-120" yWindow="-120" windowWidth="20730" windowHeight="11160" xr2:uid="{ABC15BCD-2CBC-45F7-9F79-7D9FA02AB410}"/>
  </bookViews>
  <sheets>
    <sheet name="NO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6" i="1" l="1"/>
  <c r="AK24" i="1"/>
  <c r="AK27" i="1" s="1"/>
  <c r="AK26" i="1"/>
  <c r="AI113" i="1"/>
  <c r="W113" i="1"/>
  <c r="T113" i="1"/>
  <c r="K113" i="1"/>
  <c r="E113" i="1"/>
  <c r="K112" i="1"/>
  <c r="N112" i="1" s="1"/>
  <c r="Q112" i="1" s="1"/>
  <c r="T112" i="1" s="1"/>
  <c r="W112" i="1" s="1"/>
  <c r="Z112" i="1" s="1"/>
  <c r="AC112" i="1" s="1"/>
  <c r="AF112" i="1" s="1"/>
  <c r="AI112" i="1" s="1"/>
  <c r="H112" i="1"/>
  <c r="E112" i="1"/>
  <c r="T111" i="1"/>
  <c r="W111" i="1" s="1"/>
  <c r="Z111" i="1" s="1"/>
  <c r="AC111" i="1" s="1"/>
  <c r="AF111" i="1" s="1"/>
  <c r="AI111" i="1" s="1"/>
  <c r="Q111" i="1"/>
  <c r="N111" i="1"/>
  <c r="H110" i="1"/>
  <c r="K110" i="1" s="1"/>
  <c r="N110" i="1" s="1"/>
  <c r="Q110" i="1" s="1"/>
  <c r="T110" i="1" s="1"/>
  <c r="W110" i="1" s="1"/>
  <c r="Z110" i="1" s="1"/>
  <c r="AC110" i="1" s="1"/>
  <c r="AF110" i="1" s="1"/>
  <c r="AI110" i="1" s="1"/>
  <c r="E110" i="1"/>
  <c r="E109" i="1"/>
  <c r="B109" i="1"/>
  <c r="B114" i="1" s="1"/>
  <c r="AL102" i="1"/>
  <c r="K102" i="1"/>
  <c r="E102" i="1"/>
  <c r="AL101" i="1"/>
  <c r="AP101" i="1" s="1"/>
  <c r="AL100" i="1"/>
  <c r="K100" i="1"/>
  <c r="AL99" i="1"/>
  <c r="K99" i="1"/>
  <c r="AL98" i="1"/>
  <c r="K98" i="1"/>
  <c r="H98" i="1"/>
  <c r="E98" i="1"/>
  <c r="AL97" i="1"/>
  <c r="AP97" i="1" s="1"/>
  <c r="H97" i="1"/>
  <c r="K96" i="1"/>
  <c r="H96" i="1"/>
  <c r="AI95" i="1"/>
  <c r="AF95" i="1"/>
  <c r="AC95" i="1"/>
  <c r="Z95" i="1"/>
  <c r="W95" i="1"/>
  <c r="T95" i="1"/>
  <c r="Q95" i="1"/>
  <c r="N95" i="1"/>
  <c r="K95" i="1"/>
  <c r="E95" i="1"/>
  <c r="B95" i="1"/>
  <c r="AP94" i="1"/>
  <c r="AL94" i="1"/>
  <c r="Z94" i="1"/>
  <c r="K93" i="1"/>
  <c r="E93" i="1"/>
  <c r="H92" i="1"/>
  <c r="AL92" i="1" s="1"/>
  <c r="Z91" i="1"/>
  <c r="Z90" i="1" s="1"/>
  <c r="Q91" i="1"/>
  <c r="E91" i="1"/>
  <c r="AL91" i="1" s="1"/>
  <c r="B91" i="1"/>
  <c r="AI90" i="1"/>
  <c r="AF90" i="1"/>
  <c r="AC90" i="1"/>
  <c r="W90" i="1"/>
  <c r="T90" i="1"/>
  <c r="Q90" i="1"/>
  <c r="N90" i="1"/>
  <c r="K90" i="1"/>
  <c r="B90" i="1"/>
  <c r="AI89" i="1"/>
  <c r="Z89" i="1"/>
  <c r="Q89" i="1"/>
  <c r="Q84" i="1" s="1"/>
  <c r="K89" i="1"/>
  <c r="AL89" i="1" s="1"/>
  <c r="AP89" i="1" s="1"/>
  <c r="E89" i="1"/>
  <c r="AI88" i="1"/>
  <c r="AC88" i="1"/>
  <c r="Z88" i="1"/>
  <c r="W88" i="1"/>
  <c r="T88" i="1"/>
  <c r="Q88" i="1"/>
  <c r="K88" i="1"/>
  <c r="E88" i="1"/>
  <c r="AL88" i="1" s="1"/>
  <c r="AP88" i="1" s="1"/>
  <c r="AI87" i="1"/>
  <c r="AF87" i="1"/>
  <c r="AC87" i="1"/>
  <c r="Z87" i="1"/>
  <c r="Z84" i="1" s="1"/>
  <c r="W87" i="1"/>
  <c r="T87" i="1"/>
  <c r="Q87" i="1"/>
  <c r="K87" i="1"/>
  <c r="AL87" i="1" s="1"/>
  <c r="H87" i="1"/>
  <c r="E87" i="1"/>
  <c r="AL86" i="1"/>
  <c r="AP86" i="1" s="1"/>
  <c r="AL85" i="1"/>
  <c r="AI84" i="1"/>
  <c r="AF84" i="1"/>
  <c r="AC84" i="1"/>
  <c r="W84" i="1"/>
  <c r="T84" i="1"/>
  <c r="N84" i="1"/>
  <c r="K84" i="1"/>
  <c r="H84" i="1"/>
  <c r="B84" i="1"/>
  <c r="AI83" i="1"/>
  <c r="AF83" i="1"/>
  <c r="AC83" i="1"/>
  <c r="Z83" i="1"/>
  <c r="W83" i="1"/>
  <c r="T83" i="1"/>
  <c r="Q83" i="1"/>
  <c r="N83" i="1"/>
  <c r="K83" i="1"/>
  <c r="H83" i="1"/>
  <c r="E83" i="1"/>
  <c r="AI82" i="1"/>
  <c r="AF82" i="1"/>
  <c r="AC82" i="1"/>
  <c r="Z82" i="1"/>
  <c r="W82" i="1"/>
  <c r="T82" i="1"/>
  <c r="Q82" i="1"/>
  <c r="N82" i="1"/>
  <c r="K82" i="1"/>
  <c r="AL82" i="1" s="1"/>
  <c r="H82" i="1"/>
  <c r="E82" i="1"/>
  <c r="AL81" i="1"/>
  <c r="AP81" i="1" s="1"/>
  <c r="AL80" i="1"/>
  <c r="AP80" i="1" s="1"/>
  <c r="E80" i="1"/>
  <c r="AC79" i="1"/>
  <c r="H79" i="1"/>
  <c r="E79" i="1"/>
  <c r="AL79" i="1" s="1"/>
  <c r="AL78" i="1"/>
  <c r="AP78" i="1" s="1"/>
  <c r="AI77" i="1"/>
  <c r="AF77" i="1"/>
  <c r="AC77" i="1"/>
  <c r="Z77" i="1"/>
  <c r="W77" i="1"/>
  <c r="K77" i="1"/>
  <c r="H77" i="1"/>
  <c r="E77" i="1"/>
  <c r="AL77" i="1" s="1"/>
  <c r="AP77" i="1" s="1"/>
  <c r="AI76" i="1"/>
  <c r="AF76" i="1"/>
  <c r="AC76" i="1"/>
  <c r="Z76" i="1"/>
  <c r="W76" i="1"/>
  <c r="T76" i="1"/>
  <c r="Q76" i="1"/>
  <c r="N76" i="1"/>
  <c r="AL76" i="1" s="1"/>
  <c r="K76" i="1"/>
  <c r="H76" i="1"/>
  <c r="E76" i="1"/>
  <c r="AI75" i="1"/>
  <c r="AF75" i="1"/>
  <c r="AF69" i="1" s="1"/>
  <c r="AC75" i="1"/>
  <c r="Z75" i="1"/>
  <c r="W75" i="1"/>
  <c r="T75" i="1"/>
  <c r="T69" i="1" s="1"/>
  <c r="Q75" i="1"/>
  <c r="N75" i="1"/>
  <c r="K75" i="1"/>
  <c r="H75" i="1"/>
  <c r="E75" i="1"/>
  <c r="AL74" i="1"/>
  <c r="AP74" i="1" s="1"/>
  <c r="AI74" i="1"/>
  <c r="AC74" i="1"/>
  <c r="Z74" i="1"/>
  <c r="W74" i="1"/>
  <c r="W69" i="1" s="1"/>
  <c r="Q74" i="1"/>
  <c r="Q69" i="1" s="1"/>
  <c r="H74" i="1"/>
  <c r="E74" i="1"/>
  <c r="AI73" i="1"/>
  <c r="AL73" i="1" s="1"/>
  <c r="K72" i="1"/>
  <c r="H72" i="1"/>
  <c r="E72" i="1"/>
  <c r="AL72" i="1" s="1"/>
  <c r="AL71" i="1"/>
  <c r="AP71" i="1" s="1"/>
  <c r="AF71" i="1"/>
  <c r="AL70" i="1"/>
  <c r="AP70" i="1" s="1"/>
  <c r="Z69" i="1"/>
  <c r="N69" i="1"/>
  <c r="K69" i="1"/>
  <c r="B69" i="1"/>
  <c r="W68" i="1"/>
  <c r="N68" i="1"/>
  <c r="H68" i="1"/>
  <c r="E68" i="1"/>
  <c r="AI67" i="1"/>
  <c r="AF67" i="1"/>
  <c r="AC67" i="1"/>
  <c r="Z67" i="1"/>
  <c r="W67" i="1"/>
  <c r="T67" i="1"/>
  <c r="Q67" i="1"/>
  <c r="N67" i="1"/>
  <c r="K67" i="1"/>
  <c r="H67" i="1"/>
  <c r="E67" i="1"/>
  <c r="AL67" i="1" s="1"/>
  <c r="AP67" i="1" s="1"/>
  <c r="AI66" i="1"/>
  <c r="AI64" i="1" s="1"/>
  <c r="AF66" i="1"/>
  <c r="AC66" i="1"/>
  <c r="Z66" i="1"/>
  <c r="Z64" i="1" s="1"/>
  <c r="W66" i="1"/>
  <c r="W64" i="1" s="1"/>
  <c r="T66" i="1"/>
  <c r="Q66" i="1"/>
  <c r="N66" i="1"/>
  <c r="K66" i="1"/>
  <c r="K64" i="1" s="1"/>
  <c r="H66" i="1"/>
  <c r="E66" i="1"/>
  <c r="AI65" i="1"/>
  <c r="AF65" i="1"/>
  <c r="AF64" i="1" s="1"/>
  <c r="AC65" i="1"/>
  <c r="AC64" i="1" s="1"/>
  <c r="Z65" i="1"/>
  <c r="W65" i="1"/>
  <c r="T65" i="1"/>
  <c r="T64" i="1" s="1"/>
  <c r="Q65" i="1"/>
  <c r="Q64" i="1" s="1"/>
  <c r="N65" i="1"/>
  <c r="K65" i="1"/>
  <c r="H65" i="1"/>
  <c r="H64" i="1" s="1"/>
  <c r="E65" i="1"/>
  <c r="N64" i="1"/>
  <c r="B64" i="1"/>
  <c r="AL63" i="1"/>
  <c r="AP63" i="1" s="1"/>
  <c r="AL62" i="1"/>
  <c r="AP62" i="1" s="1"/>
  <c r="N62" i="1"/>
  <c r="AL61" i="1"/>
  <c r="AP61" i="1" s="1"/>
  <c r="AL60" i="1"/>
  <c r="AP60" i="1" s="1"/>
  <c r="Q59" i="1"/>
  <c r="AL59" i="1" s="1"/>
  <c r="AI58" i="1"/>
  <c r="AF58" i="1"/>
  <c r="AC58" i="1"/>
  <c r="Z58" i="1"/>
  <c r="AL58" i="1" s="1"/>
  <c r="W58" i="1"/>
  <c r="AI57" i="1"/>
  <c r="AF57" i="1"/>
  <c r="AC57" i="1"/>
  <c r="Z57" i="1"/>
  <c r="W57" i="1"/>
  <c r="T57" i="1"/>
  <c r="Q57" i="1"/>
  <c r="N57" i="1"/>
  <c r="K57" i="1"/>
  <c r="AL57" i="1" s="1"/>
  <c r="H57" i="1"/>
  <c r="E57" i="1"/>
  <c r="AI56" i="1"/>
  <c r="AF56" i="1"/>
  <c r="AC56" i="1"/>
  <c r="Z56" i="1"/>
  <c r="W56" i="1"/>
  <c r="T56" i="1"/>
  <c r="Q56" i="1"/>
  <c r="N56" i="1"/>
  <c r="K56" i="1"/>
  <c r="H56" i="1"/>
  <c r="E56" i="1"/>
  <c r="AL56" i="1" s="1"/>
  <c r="AP56" i="1" s="1"/>
  <c r="AI55" i="1"/>
  <c r="AI50" i="1" s="1"/>
  <c r="AF55" i="1"/>
  <c r="AC55" i="1"/>
  <c r="Z55" i="1"/>
  <c r="W55" i="1"/>
  <c r="W50" i="1" s="1"/>
  <c r="T55" i="1"/>
  <c r="Q55" i="1"/>
  <c r="N55" i="1"/>
  <c r="N50" i="1" s="1"/>
  <c r="K55" i="1"/>
  <c r="K50" i="1" s="1"/>
  <c r="H55" i="1"/>
  <c r="E55" i="1"/>
  <c r="AL54" i="1"/>
  <c r="AP54" i="1" s="1"/>
  <c r="AF54" i="1"/>
  <c r="AI53" i="1"/>
  <c r="AF53" i="1"/>
  <c r="AF50" i="1" s="1"/>
  <c r="AC53" i="1"/>
  <c r="AC50" i="1" s="1"/>
  <c r="Z53" i="1"/>
  <c r="W53" i="1"/>
  <c r="T53" i="1"/>
  <c r="Q53" i="1"/>
  <c r="N53" i="1"/>
  <c r="K53" i="1"/>
  <c r="H53" i="1"/>
  <c r="H50" i="1" s="1"/>
  <c r="E53" i="1"/>
  <c r="AL53" i="1" s="1"/>
  <c r="AP53" i="1" s="1"/>
  <c r="AL52" i="1"/>
  <c r="AL51" i="1"/>
  <c r="AP51" i="1" s="1"/>
  <c r="T50" i="1"/>
  <c r="Q50" i="1"/>
  <c r="B50" i="1"/>
  <c r="AL49" i="1"/>
  <c r="AP49" i="1" s="1"/>
  <c r="AF48" i="1"/>
  <c r="AL48" i="1" s="1"/>
  <c r="Z48" i="1"/>
  <c r="AL47" i="1"/>
  <c r="AI47" i="1"/>
  <c r="AI46" i="1" s="1"/>
  <c r="AC47" i="1"/>
  <c r="AF46" i="1"/>
  <c r="AC46" i="1"/>
  <c r="Z46" i="1"/>
  <c r="W46" i="1"/>
  <c r="T46" i="1"/>
  <c r="Q46" i="1"/>
  <c r="N46" i="1"/>
  <c r="K46" i="1"/>
  <c r="H46" i="1"/>
  <c r="E46" i="1"/>
  <c r="B46" i="1"/>
  <c r="AL45" i="1"/>
  <c r="AP45" i="1" s="1"/>
  <c r="AL44" i="1"/>
  <c r="B44" i="1"/>
  <c r="AI43" i="1"/>
  <c r="AI42" i="1" s="1"/>
  <c r="AF43" i="1"/>
  <c r="AF42" i="1" s="1"/>
  <c r="T43" i="1"/>
  <c r="Q43" i="1"/>
  <c r="N43" i="1"/>
  <c r="AL43" i="1" s="1"/>
  <c r="B43" i="1"/>
  <c r="AC42" i="1"/>
  <c r="Z42" i="1"/>
  <c r="W42" i="1"/>
  <c r="T42" i="1"/>
  <c r="Q42" i="1"/>
  <c r="N42" i="1"/>
  <c r="K42" i="1"/>
  <c r="H42" i="1"/>
  <c r="E42" i="1"/>
  <c r="B42" i="1"/>
  <c r="AL41" i="1"/>
  <c r="B41" i="1"/>
  <c r="AL40" i="1"/>
  <c r="B40" i="1"/>
  <c r="AL39" i="1"/>
  <c r="B39" i="1"/>
  <c r="AI38" i="1"/>
  <c r="AI33" i="1" s="1"/>
  <c r="AF38" i="1"/>
  <c r="AC38" i="1"/>
  <c r="Z38" i="1"/>
  <c r="W38" i="1"/>
  <c r="T38" i="1"/>
  <c r="N38" i="1"/>
  <c r="K38" i="1"/>
  <c r="H38" i="1"/>
  <c r="H33" i="1" s="1"/>
  <c r="AI37" i="1"/>
  <c r="AF37" i="1"/>
  <c r="AC37" i="1"/>
  <c r="Z37" i="1"/>
  <c r="W37" i="1"/>
  <c r="T37" i="1"/>
  <c r="Q37" i="1"/>
  <c r="N37" i="1"/>
  <c r="K37" i="1"/>
  <c r="AL37" i="1" s="1"/>
  <c r="H37" i="1"/>
  <c r="AI36" i="1"/>
  <c r="AF36" i="1"/>
  <c r="AC36" i="1"/>
  <c r="AC33" i="1" s="1"/>
  <c r="Z36" i="1"/>
  <c r="W36" i="1"/>
  <c r="T36" i="1"/>
  <c r="Q36" i="1"/>
  <c r="Q33" i="1" s="1"/>
  <c r="Q103" i="1" s="1"/>
  <c r="N36" i="1"/>
  <c r="K36" i="1"/>
  <c r="H36" i="1"/>
  <c r="E36" i="1"/>
  <c r="AL36" i="1" s="1"/>
  <c r="AI35" i="1"/>
  <c r="AF35" i="1"/>
  <c r="AF33" i="1" s="1"/>
  <c r="AF103" i="1" s="1"/>
  <c r="AC35" i="1"/>
  <c r="Z35" i="1"/>
  <c r="W35" i="1"/>
  <c r="W33" i="1" s="1"/>
  <c r="T35" i="1"/>
  <c r="T33" i="1" s="1"/>
  <c r="T103" i="1" s="1"/>
  <c r="Q35" i="1"/>
  <c r="N35" i="1"/>
  <c r="K35" i="1"/>
  <c r="E35" i="1"/>
  <c r="AL34" i="1"/>
  <c r="B34" i="1"/>
  <c r="Z33" i="1"/>
  <c r="N33" i="1"/>
  <c r="K33" i="1"/>
  <c r="B33" i="1"/>
  <c r="E27" i="1"/>
  <c r="H27" i="1" s="1"/>
  <c r="K27" i="1" s="1"/>
  <c r="N27" i="1" s="1"/>
  <c r="Q27" i="1" s="1"/>
  <c r="T27" i="1" s="1"/>
  <c r="W27" i="1" s="1"/>
  <c r="Z27" i="1" s="1"/>
  <c r="AC27" i="1" s="1"/>
  <c r="AF27" i="1" s="1"/>
  <c r="AI27" i="1" s="1"/>
  <c r="B27" i="1"/>
  <c r="AL27" i="1" s="1"/>
  <c r="AQ26" i="1"/>
  <c r="D26" i="1"/>
  <c r="AK25" i="1"/>
  <c r="AH25" i="1"/>
  <c r="AE25" i="1"/>
  <c r="AE27" i="1" s="1"/>
  <c r="AB25" i="1"/>
  <c r="AB27" i="1" s="1"/>
  <c r="Y25" i="1"/>
  <c r="V25" i="1"/>
  <c r="S25" i="1"/>
  <c r="S27" i="1" s="1"/>
  <c r="Q104" i="1" s="1"/>
  <c r="P25" i="1"/>
  <c r="P27" i="1" s="1"/>
  <c r="M25" i="1"/>
  <c r="J25" i="1"/>
  <c r="G25" i="1"/>
  <c r="G27" i="1" s="1"/>
  <c r="D25" i="1"/>
  <c r="D27" i="1" s="1"/>
  <c r="B104" i="1" s="1"/>
  <c r="AM24" i="1"/>
  <c r="AL24" i="1"/>
  <c r="AP24" i="1" s="1"/>
  <c r="AP27" i="1" s="1"/>
  <c r="AH24" i="1"/>
  <c r="AH27" i="1" s="1"/>
  <c r="AE24" i="1"/>
  <c r="AB24" i="1"/>
  <c r="Y24" i="1"/>
  <c r="Y27" i="1" s="1"/>
  <c r="V24" i="1"/>
  <c r="V27" i="1" s="1"/>
  <c r="S24" i="1"/>
  <c r="P24" i="1"/>
  <c r="M24" i="1"/>
  <c r="M27" i="1" s="1"/>
  <c r="J24" i="1"/>
  <c r="G24" i="1"/>
  <c r="E24" i="1"/>
  <c r="D24" i="1"/>
  <c r="AQ23" i="1"/>
  <c r="D23" i="1"/>
  <c r="AK18" i="1"/>
  <c r="B17" i="1"/>
  <c r="B16" i="1"/>
  <c r="B18" i="1" s="1"/>
  <c r="B15" i="1"/>
  <c r="B14" i="1"/>
  <c r="B13" i="1"/>
  <c r="B12" i="1" s="1"/>
  <c r="AO12" i="1"/>
  <c r="AL12" i="1"/>
  <c r="AN24" i="1" l="1"/>
  <c r="AP59" i="1"/>
  <c r="AP82" i="1"/>
  <c r="AP43" i="1"/>
  <c r="AL42" i="1"/>
  <c r="AP87" i="1"/>
  <c r="AQ24" i="1"/>
  <c r="AP36" i="1"/>
  <c r="AP37" i="1"/>
  <c r="AP57" i="1"/>
  <c r="AP48" i="1"/>
  <c r="AP58" i="1"/>
  <c r="W103" i="1"/>
  <c r="W104" i="1" s="1"/>
  <c r="AP76" i="1"/>
  <c r="T104" i="1"/>
  <c r="AF104" i="1"/>
  <c r="H103" i="1"/>
  <c r="AP79" i="1"/>
  <c r="J27" i="1"/>
  <c r="AP102" i="1"/>
  <c r="K103" i="1"/>
  <c r="K104" i="1" s="1"/>
  <c r="AL35" i="1"/>
  <c r="E33" i="1"/>
  <c r="AL38" i="1"/>
  <c r="Z50" i="1"/>
  <c r="Z103" i="1" s="1"/>
  <c r="Z104" i="1" s="1"/>
  <c r="AP91" i="1"/>
  <c r="N103" i="1"/>
  <c r="N104" i="1" s="1"/>
  <c r="H90" i="1"/>
  <c r="H95" i="1"/>
  <c r="AL96" i="1"/>
  <c r="AN25" i="1"/>
  <c r="AP34" i="1"/>
  <c r="AP44" i="1"/>
  <c r="AP52" i="1"/>
  <c r="AL84" i="1"/>
  <c r="AP85" i="1"/>
  <c r="AP84" i="1" s="1"/>
  <c r="AP92" i="1"/>
  <c r="AP40" i="1"/>
  <c r="AL55" i="1"/>
  <c r="E64" i="1"/>
  <c r="AL65" i="1"/>
  <c r="AL66" i="1"/>
  <c r="AI69" i="1"/>
  <c r="AI103" i="1" s="1"/>
  <c r="AI104" i="1" s="1"/>
  <c r="H69" i="1"/>
  <c r="AP73" i="1"/>
  <c r="E90" i="1"/>
  <c r="AL93" i="1"/>
  <c r="AP99" i="1"/>
  <c r="H109" i="1"/>
  <c r="E114" i="1"/>
  <c r="AP47" i="1"/>
  <c r="AP46" i="1" s="1"/>
  <c r="AL46" i="1"/>
  <c r="E50" i="1"/>
  <c r="AP39" i="1"/>
  <c r="AP41" i="1"/>
  <c r="AL68" i="1"/>
  <c r="AP72" i="1"/>
  <c r="AL75" i="1"/>
  <c r="AC69" i="1"/>
  <c r="AC103" i="1" s="1"/>
  <c r="AC104" i="1" s="1"/>
  <c r="AL83" i="1"/>
  <c r="AP98" i="1"/>
  <c r="AP100" i="1"/>
  <c r="E84" i="1"/>
  <c r="E69" i="1"/>
  <c r="AL64" i="1" l="1"/>
  <c r="AP65" i="1"/>
  <c r="AP50" i="1"/>
  <c r="AP35" i="1"/>
  <c r="H104" i="1"/>
  <c r="AP75" i="1"/>
  <c r="AL69" i="1"/>
  <c r="AP33" i="1"/>
  <c r="AP83" i="1"/>
  <c r="AP93" i="1"/>
  <c r="AP90" i="1" s="1"/>
  <c r="AP55" i="1"/>
  <c r="AL90" i="1"/>
  <c r="AP38" i="1"/>
  <c r="AP42" i="1"/>
  <c r="AQ25" i="1"/>
  <c r="AQ27" i="1" s="1"/>
  <c r="AN27" i="1"/>
  <c r="AP68" i="1"/>
  <c r="AL33" i="1"/>
  <c r="AL95" i="1"/>
  <c r="AP96" i="1"/>
  <c r="AP95" i="1" s="1"/>
  <c r="K109" i="1"/>
  <c r="H114" i="1"/>
  <c r="AP66" i="1"/>
  <c r="AL50" i="1"/>
  <c r="E103" i="1"/>
  <c r="E104" i="1" s="1"/>
  <c r="AO16" i="1" l="1"/>
  <c r="AL103" i="1"/>
  <c r="AO95" i="1" s="1"/>
  <c r="AP64" i="1"/>
  <c r="K114" i="1"/>
  <c r="N109" i="1"/>
  <c r="AO27" i="1"/>
  <c r="AL16" i="1"/>
  <c r="AO24" i="1"/>
  <c r="AO26" i="1"/>
  <c r="AO25" i="1"/>
  <c r="AP69" i="1"/>
  <c r="AP103" i="1" l="1"/>
  <c r="AO104" i="1" s="1"/>
  <c r="AL104" i="1"/>
  <c r="AO45" i="1" s="1"/>
  <c r="AO69" i="1"/>
  <c r="AO64" i="1"/>
  <c r="AO17" i="1"/>
  <c r="AO18" i="1" s="1"/>
  <c r="AO103" i="1"/>
  <c r="AO97" i="1"/>
  <c r="AO94" i="1"/>
  <c r="AO78" i="1"/>
  <c r="AO63" i="1"/>
  <c r="AO51" i="1"/>
  <c r="AO62" i="1"/>
  <c r="AO101" i="1"/>
  <c r="AO81" i="1"/>
  <c r="AO67" i="1"/>
  <c r="AO60" i="1"/>
  <c r="AO54" i="1"/>
  <c r="AO53" i="1"/>
  <c r="AO49" i="1"/>
  <c r="AO86" i="1"/>
  <c r="AO61" i="1"/>
  <c r="AO56" i="1"/>
  <c r="AL17" i="1"/>
  <c r="AL18" i="1" s="1"/>
  <c r="AO70" i="1"/>
  <c r="AO59" i="1"/>
  <c r="AO43" i="1"/>
  <c r="AO72" i="1"/>
  <c r="AO91" i="1"/>
  <c r="AO44" i="1"/>
  <c r="AO88" i="1"/>
  <c r="AO71" i="1"/>
  <c r="AO80" i="1"/>
  <c r="AO100" i="1"/>
  <c r="AO39" i="1"/>
  <c r="AO47" i="1"/>
  <c r="AO82" i="1"/>
  <c r="AO36" i="1"/>
  <c r="AO79" i="1"/>
  <c r="AO85" i="1"/>
  <c r="AO99" i="1"/>
  <c r="AO87" i="1"/>
  <c r="AO48" i="1"/>
  <c r="AO57" i="1"/>
  <c r="AO76" i="1"/>
  <c r="AO77" i="1"/>
  <c r="AO34" i="1"/>
  <c r="AO73" i="1"/>
  <c r="AO89" i="1"/>
  <c r="AO52" i="1"/>
  <c r="AO92" i="1"/>
  <c r="AO98" i="1"/>
  <c r="AO37" i="1"/>
  <c r="AO102" i="1"/>
  <c r="AO40" i="1"/>
  <c r="AO74" i="1"/>
  <c r="AO41" i="1"/>
  <c r="AO35" i="1"/>
  <c r="AO83" i="1"/>
  <c r="AO55" i="1"/>
  <c r="AO66" i="1"/>
  <c r="AO46" i="1"/>
  <c r="AO93" i="1"/>
  <c r="AO42" i="1"/>
  <c r="AO38" i="1"/>
  <c r="AO68" i="1"/>
  <c r="AO96" i="1"/>
  <c r="AO65" i="1"/>
  <c r="AO84" i="1"/>
  <c r="AO75" i="1"/>
  <c r="AO33" i="1"/>
  <c r="N114" i="1"/>
  <c r="Q109" i="1"/>
  <c r="AO50" i="1"/>
  <c r="AO90" i="1"/>
  <c r="AO58" i="1" l="1"/>
  <c r="T109" i="1"/>
  <c r="Q114" i="1"/>
  <c r="W109" i="1" l="1"/>
  <c r="T114" i="1"/>
  <c r="W114" i="1" l="1"/>
  <c r="Z109" i="1"/>
  <c r="Z114" i="1" l="1"/>
  <c r="AC109" i="1"/>
  <c r="AF109" i="1" l="1"/>
  <c r="AC114" i="1"/>
  <c r="AF114" i="1" l="1"/>
  <c r="AI109" i="1"/>
  <c r="AI114" i="1" s="1"/>
</calcChain>
</file>

<file path=xl/sharedStrings.xml><?xml version="1.0" encoding="utf-8"?>
<sst xmlns="http://schemas.openxmlformats.org/spreadsheetml/2006/main" count="194" uniqueCount="128">
  <si>
    <r>
      <t xml:space="preserve">CONTROLE FINANCEIRO 2020
</t>
    </r>
    <r>
      <rPr>
        <b/>
        <sz val="12"/>
        <rFont val="Calibri"/>
        <family val="2"/>
        <scheme val="minor"/>
      </rPr>
      <t>Posição NOVEMBRO</t>
    </r>
  </si>
  <si>
    <t>Bens da ANIPA</t>
  </si>
  <si>
    <t>Acumulado 2019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</si>
  <si>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</si>
  <si>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</si>
  <si>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</si>
  <si>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</si>
  <si>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</si>
  <si>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</si>
  <si>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</si>
  <si>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</si>
  <si>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</si>
  <si>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</si>
  <si>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Acumulado 2020</t>
  </si>
  <si>
    <t>Evolução histórica</t>
  </si>
  <si>
    <t xml:space="preserve">Total bens </t>
  </si>
  <si>
    <t>Imobilizado (computadores, equipamentos)</t>
  </si>
  <si>
    <t>Intangível (softwares)</t>
  </si>
  <si>
    <t>(-) Depreciação acumulada</t>
  </si>
  <si>
    <t xml:space="preserve"> </t>
  </si>
  <si>
    <t>Receitas</t>
  </si>
  <si>
    <t>Despesas</t>
  </si>
  <si>
    <t>Total Parcial e Acumulado</t>
  </si>
  <si>
    <t>Associados / Receitas</t>
  </si>
  <si>
    <t>NOV</t>
  </si>
  <si>
    <t>%</t>
  </si>
  <si>
    <t>Q</t>
  </si>
  <si>
    <t>Valor</t>
  </si>
  <si>
    <t>S</t>
  </si>
  <si>
    <t>E</t>
  </si>
  <si>
    <t>Receitas anteriores / Associados</t>
  </si>
  <si>
    <t>Associados / Mensalidades</t>
  </si>
  <si>
    <t>Receitas Financeiras</t>
  </si>
  <si>
    <t>Total Associados / Receitas</t>
  </si>
  <si>
    <t>DETALHAMENTO DE DESPESAS</t>
  </si>
  <si>
    <t>Serviços de Terceiros</t>
  </si>
  <si>
    <t>Serviços administrativos Advogados</t>
  </si>
  <si>
    <t>Assessoria Jurídica</t>
  </si>
  <si>
    <t xml:space="preserve">Serviços Contábeis </t>
  </si>
  <si>
    <t>Assessoria Atuarial</t>
  </si>
  <si>
    <t>Consultoria/Assessoria Técnica (Fin, Cont, TI)</t>
  </si>
  <si>
    <t>Telemarketing (associados regular termos)</t>
  </si>
  <si>
    <t>Assessoria Comunicação</t>
  </si>
  <si>
    <t xml:space="preserve">Serviços eventuais de apoio </t>
  </si>
  <si>
    <t>Custos das Ações</t>
  </si>
  <si>
    <r>
      <t>Honorários Advocatícios Iniciais Ações</t>
    </r>
    <r>
      <rPr>
        <sz val="8"/>
        <rFont val="Calibri"/>
        <family val="2"/>
        <scheme val="minor"/>
      </rPr>
      <t xml:space="preserve"> (5)</t>
    </r>
  </si>
  <si>
    <t>Honorários mensais das ações</t>
  </si>
  <si>
    <t>Taxas de ajuizamento de ações</t>
  </si>
  <si>
    <t>Registros/Cartórios/Publicações</t>
  </si>
  <si>
    <t>Registros e Taxas(Cart, Pref, RF...)</t>
  </si>
  <si>
    <t>Cartórios (Aut, Doc, Rec Firma)</t>
  </si>
  <si>
    <t>Publicações Legais/Editais</t>
  </si>
  <si>
    <t>Tecnologia</t>
  </si>
  <si>
    <t>Desenvolvimento/Hospedagem SITE e Sistema inicial</t>
  </si>
  <si>
    <t>Desenvolvimento novo SITE</t>
  </si>
  <si>
    <t xml:space="preserve">Hospedagem/Manutenção novo SITE </t>
  </si>
  <si>
    <t xml:space="preserve">Desenvolvimento Sistema de Cadastros ANIPA </t>
  </si>
  <si>
    <t xml:space="preserve">Hospedagem / Manutenção Sistema de Cadastros ANIPA </t>
  </si>
  <si>
    <t>Serviço de E-mail</t>
  </si>
  <si>
    <r>
      <t xml:space="preserve">Serviço de Mensagens por celular </t>
    </r>
    <r>
      <rPr>
        <sz val="8"/>
        <rFont val="Calibri"/>
        <family val="2"/>
        <scheme val="minor"/>
      </rPr>
      <t>(3)</t>
    </r>
  </si>
  <si>
    <r>
      <t xml:space="preserve">Plataforma de assinatura eletrônica </t>
    </r>
    <r>
      <rPr>
        <sz val="8"/>
        <rFont val="Calibri"/>
        <family val="2"/>
        <scheme val="minor"/>
      </rPr>
      <t>(6)</t>
    </r>
  </si>
  <si>
    <t>Desenv/Serviço Sist Assembleia Virtual</t>
  </si>
  <si>
    <t>Desenv/Serviço Sist Eleição Virtual</t>
  </si>
  <si>
    <t>Desenv/Serviço Fórum Site ANIPA</t>
  </si>
  <si>
    <t>Registro Domínio ANIPA</t>
  </si>
  <si>
    <t>Certificado Segurança SITE / Certificado Digital</t>
  </si>
  <si>
    <t>Bancos/Impostos/Juros</t>
  </si>
  <si>
    <t>Tarifas Bancárias CAIXA</t>
  </si>
  <si>
    <r>
      <t>Impostos recolhidos à terceiros (INSS, IR, CONTR. FEDER...)</t>
    </r>
    <r>
      <rPr>
        <sz val="8"/>
        <rFont val="Calibri"/>
        <family val="2"/>
        <scheme val="minor"/>
      </rPr>
      <t>(2)</t>
    </r>
  </si>
  <si>
    <t>IRRF/IOF operações financeiras (sobre os investimentos)</t>
  </si>
  <si>
    <t>Despesas com Juros/Outras despesas financeiras</t>
  </si>
  <si>
    <t xml:space="preserve">Escritório ANIPA </t>
  </si>
  <si>
    <t>Móveis/Utensílios</t>
  </si>
  <si>
    <t>Computadores 4, impressoras 1, celular 1</t>
  </si>
  <si>
    <t>Softwares (Office, Antivírus, Adobe mensal)</t>
  </si>
  <si>
    <t>Assinatura de jornais, revistas, publicações</t>
  </si>
  <si>
    <t>Material Escritório</t>
  </si>
  <si>
    <t xml:space="preserve">Aluguel/Condomínio/IPTU/Taxas </t>
  </si>
  <si>
    <t xml:space="preserve">Luz/Telefone/Internet </t>
  </si>
  <si>
    <t>Diversos (café, água, copos, chaves, etc.)</t>
  </si>
  <si>
    <t>Manutenção (de computadores, impressora)</t>
  </si>
  <si>
    <t>Higiene e Limpeza (material e serviço)</t>
  </si>
  <si>
    <t>Reforma escritório</t>
  </si>
  <si>
    <t>Serviço de Seleção e Recrutamento</t>
  </si>
  <si>
    <t>Salários (mês, 13°, férias, rescisão)</t>
  </si>
  <si>
    <r>
      <t>Encargos trabalhistas (INSS, FGTS, PIS, Transp, Alim, Sind)</t>
    </r>
    <r>
      <rPr>
        <sz val="8"/>
        <rFont val="Calibri"/>
        <family val="2"/>
        <scheme val="minor"/>
      </rPr>
      <t xml:space="preserve"> (2)</t>
    </r>
  </si>
  <si>
    <t>Outros Serviços</t>
  </si>
  <si>
    <t>Serv. Gráficos/Digitalizações/Cópias</t>
  </si>
  <si>
    <t>Serviços MSN/Telefonia</t>
  </si>
  <si>
    <t>Motoboy</t>
  </si>
  <si>
    <t>Correios</t>
  </si>
  <si>
    <t>Deslocamento (para serviços externos)</t>
  </si>
  <si>
    <t>Outros</t>
  </si>
  <si>
    <t>Locação sala Eventos/Assembleia/Equipamentos/Hotel</t>
  </si>
  <si>
    <t>Apoio a mobilizações</t>
  </si>
  <si>
    <t>Devoluções/Recebimentos indevidos</t>
  </si>
  <si>
    <t>Participações em outras associações</t>
  </si>
  <si>
    <t>Despesas Viagens</t>
  </si>
  <si>
    <t>Presidência</t>
  </si>
  <si>
    <t>Jurídico</t>
  </si>
  <si>
    <t>Financeiro</t>
  </si>
  <si>
    <t>Técnico</t>
  </si>
  <si>
    <t>Comunicação</t>
  </si>
  <si>
    <t>Conselho Fiscal</t>
  </si>
  <si>
    <r>
      <t xml:space="preserve">Associados / Prestador de serviço / Funcionários </t>
    </r>
    <r>
      <rPr>
        <sz val="8"/>
        <rFont val="Calibri"/>
        <family val="2"/>
        <scheme val="minor"/>
      </rPr>
      <t>(1)</t>
    </r>
  </si>
  <si>
    <t>Total Despesas</t>
  </si>
  <si>
    <t>Resultado / Saldo em Conta</t>
  </si>
  <si>
    <t>Despesas Acumuladas até 2019</t>
  </si>
  <si>
    <t>Investimentos</t>
  </si>
  <si>
    <t>Acumulado até 2019</t>
  </si>
  <si>
    <t>Caixa FIC GIRO EMPRESAS</t>
  </si>
  <si>
    <t>Caixa FIC PREMIUM - mudou para FIC RUBI</t>
  </si>
  <si>
    <t xml:space="preserve">Caixa FIC SIGMA </t>
  </si>
  <si>
    <t>CDB Flex Empresarial</t>
  </si>
  <si>
    <r>
      <t>Bolsa Americana Multimercado (encerrado)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(4)</t>
    </r>
  </si>
  <si>
    <t>Saldos totais</t>
  </si>
  <si>
    <t>Evolução histórica desde a fundação - MAR/2015</t>
  </si>
  <si>
    <r>
      <t xml:space="preserve">Q - </t>
    </r>
    <r>
      <rPr>
        <sz val="10"/>
        <color theme="1"/>
        <rFont val="Calibri"/>
        <family val="2"/>
        <scheme val="minor"/>
      </rPr>
      <t>Quantidade acumulada</t>
    </r>
  </si>
  <si>
    <r>
      <t xml:space="preserve">E - </t>
    </r>
    <r>
      <rPr>
        <sz val="10"/>
        <color theme="1"/>
        <rFont val="Calibri"/>
        <family val="2"/>
        <scheme val="minor"/>
      </rPr>
      <t>Entraram na ANIPA</t>
    </r>
  </si>
  <si>
    <t>(1) A serviço ou representação da ANIPA.</t>
  </si>
  <si>
    <t>(2) Pagamento em duplicidade de algumas DARFs</t>
  </si>
  <si>
    <t>(3) Pagamento em atraso mensalidade de dez/2019</t>
  </si>
  <si>
    <t xml:space="preserve">(4) Investimento realizado indevidamente pela agência bancária, sem anuência da ANIPA. Valor integral da  aplicação devolvido mediante crédito em conta. </t>
  </si>
  <si>
    <t>(5) Ajuizamento de Ação Quórum Qualificado no valor de R$ 50.000,00 em 2x</t>
  </si>
  <si>
    <t>(6) Contratação de plataforma de assinatura eletrônica para assinaturas de atas e documentos necessários em razão da pandemia de COVID-19 que</t>
  </si>
  <si>
    <t xml:space="preserve">       impossibilita a reunião presencial de diretores e conselheiros.</t>
  </si>
  <si>
    <t xml:space="preserve">Outras Receitas / Participação de associados em ações (7) </t>
  </si>
  <si>
    <t>(7) Honorários advocatícios cobrados dos associados para participarem da ação sobre o equacionamento.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</si>
</sst>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0B0B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4A7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9ECA8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/>
    </xf>
    <xf numFmtId="0" fontId="10" fillId="7" borderId="7" xfId="0" applyFont="1" applyFill="1" applyBorder="1" applyAlignment="1">
      <alignment vertical="center"/>
    </xf>
    <xf numFmtId="0" fontId="9" fillId="8" borderId="5" xfId="0" applyFont="1" applyFill="1" applyBorder="1" applyAlignment="1">
      <alignment horizontal="right"/>
    </xf>
    <xf numFmtId="0" fontId="9" fillId="8" borderId="4" xfId="0" applyFont="1" applyFill="1" applyBorder="1" applyAlignment="1">
      <alignment horizontal="right"/>
    </xf>
    <xf numFmtId="0" fontId="9" fillId="8" borderId="6" xfId="0" applyFont="1" applyFill="1" applyBorder="1" applyAlignment="1">
      <alignment horizontal="right"/>
    </xf>
    <xf numFmtId="0" fontId="8" fillId="8" borderId="1" xfId="0" applyFont="1" applyFill="1" applyBorder="1"/>
    <xf numFmtId="3" fontId="11" fillId="8" borderId="5" xfId="0" applyNumberFormat="1" applyFont="1" applyFill="1" applyBorder="1" applyAlignment="1">
      <alignment horizontal="right"/>
    </xf>
    <xf numFmtId="3" fontId="11" fillId="8" borderId="4" xfId="0" applyNumberFormat="1" applyFont="1" applyFill="1" applyBorder="1" applyAlignment="1">
      <alignment horizontal="right"/>
    </xf>
    <xf numFmtId="3" fontId="11" fillId="8" borderId="6" xfId="0" applyNumberFormat="1" applyFont="1" applyFill="1" applyBorder="1" applyAlignment="1">
      <alignment horizontal="right"/>
    </xf>
    <xf numFmtId="0" fontId="10" fillId="10" borderId="1" xfId="0" applyFont="1" applyFill="1" applyBorder="1" applyAlignment="1">
      <alignment horizontal="center"/>
    </xf>
    <xf numFmtId="3" fontId="11" fillId="10" borderId="5" xfId="0" applyNumberFormat="1" applyFont="1" applyFill="1" applyBorder="1" applyAlignment="1">
      <alignment horizontal="right"/>
    </xf>
    <xf numFmtId="3" fontId="11" fillId="10" borderId="4" xfId="0" applyNumberFormat="1" applyFont="1" applyFill="1" applyBorder="1" applyAlignment="1">
      <alignment horizontal="right"/>
    </xf>
    <xf numFmtId="3" fontId="11" fillId="10" borderId="6" xfId="0" applyNumberFormat="1" applyFont="1" applyFill="1" applyBorder="1" applyAlignment="1">
      <alignment horizontal="right"/>
    </xf>
    <xf numFmtId="3" fontId="11" fillId="10" borderId="4" xfId="0" applyNumberFormat="1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3" fontId="9" fillId="11" borderId="5" xfId="0" applyNumberFormat="1" applyFont="1" applyFill="1" applyBorder="1" applyAlignment="1">
      <alignment horizontal="right"/>
    </xf>
    <xf numFmtId="3" fontId="9" fillId="11" borderId="4" xfId="0" applyNumberFormat="1" applyFont="1" applyFill="1" applyBorder="1" applyAlignment="1">
      <alignment horizontal="right"/>
    </xf>
    <xf numFmtId="3" fontId="9" fillId="11" borderId="6" xfId="0" applyNumberFormat="1" applyFont="1" applyFill="1" applyBorder="1" applyAlignment="1">
      <alignment horizontal="right"/>
    </xf>
    <xf numFmtId="3" fontId="9" fillId="11" borderId="4" xfId="0" applyNumberFormat="1" applyFont="1" applyFill="1" applyBorder="1" applyAlignment="1">
      <alignment horizontal="center"/>
    </xf>
    <xf numFmtId="0" fontId="10" fillId="10" borderId="5" xfId="0" applyFont="1" applyFill="1" applyBorder="1" applyAlignment="1">
      <alignment horizontal="right" vertical="center" wrapText="1"/>
    </xf>
    <xf numFmtId="0" fontId="10" fillId="10" borderId="4" xfId="0" applyFont="1" applyFill="1" applyBorder="1" applyAlignment="1">
      <alignment horizontal="right" vertical="center" wrapText="1"/>
    </xf>
    <xf numFmtId="0" fontId="10" fillId="10" borderId="6" xfId="0" applyFont="1" applyFill="1" applyBorder="1" applyAlignment="1">
      <alignment horizontal="right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left" vertical="center" wrapText="1"/>
    </xf>
    <xf numFmtId="164" fontId="11" fillId="7" borderId="1" xfId="0" applyNumberFormat="1" applyFont="1" applyFill="1" applyBorder="1" applyAlignment="1">
      <alignment horizontal="right"/>
    </xf>
    <xf numFmtId="3" fontId="11" fillId="7" borderId="1" xfId="0" applyNumberFormat="1" applyFont="1" applyFill="1" applyBorder="1"/>
    <xf numFmtId="0" fontId="8" fillId="7" borderId="1" xfId="0" applyFont="1" applyFill="1" applyBorder="1"/>
    <xf numFmtId="164" fontId="11" fillId="7" borderId="1" xfId="0" applyNumberFormat="1" applyFont="1" applyFill="1" applyBorder="1"/>
    <xf numFmtId="10" fontId="12" fillId="7" borderId="1" xfId="0" applyNumberFormat="1" applyFont="1" applyFill="1" applyBorder="1"/>
    <xf numFmtId="3" fontId="8" fillId="13" borderId="1" xfId="0" applyNumberFormat="1" applyFont="1" applyFill="1" applyBorder="1"/>
    <xf numFmtId="164" fontId="8" fillId="13" borderId="1" xfId="0" applyNumberFormat="1" applyFont="1" applyFill="1" applyBorder="1"/>
    <xf numFmtId="164" fontId="11" fillId="8" borderId="1" xfId="0" applyNumberFormat="1" applyFont="1" applyFill="1" applyBorder="1" applyAlignment="1">
      <alignment horizontal="right"/>
    </xf>
    <xf numFmtId="3" fontId="8" fillId="7" borderId="1" xfId="0" applyNumberFormat="1" applyFont="1" applyFill="1" applyBorder="1"/>
    <xf numFmtId="10" fontId="12" fillId="8" borderId="1" xfId="0" applyNumberFormat="1" applyFont="1" applyFill="1" applyBorder="1"/>
    <xf numFmtId="3" fontId="8" fillId="8" borderId="1" xfId="0" applyNumberFormat="1" applyFont="1" applyFill="1" applyBorder="1"/>
    <xf numFmtId="164" fontId="8" fillId="8" borderId="1" xfId="0" applyNumberFormat="1" applyFont="1" applyFill="1" applyBorder="1"/>
    <xf numFmtId="0" fontId="11" fillId="8" borderId="1" xfId="0" applyFont="1" applyFill="1" applyBorder="1"/>
    <xf numFmtId="0" fontId="8" fillId="13" borderId="1" xfId="0" applyFont="1" applyFill="1" applyBorder="1"/>
    <xf numFmtId="0" fontId="10" fillId="14" borderId="1" xfId="0" applyFont="1" applyFill="1" applyBorder="1"/>
    <xf numFmtId="40" fontId="9" fillId="14" borderId="1" xfId="0" applyNumberFormat="1" applyFont="1" applyFill="1" applyBorder="1"/>
    <xf numFmtId="40" fontId="9" fillId="14" borderId="5" xfId="0" applyNumberFormat="1" applyFont="1" applyFill="1" applyBorder="1"/>
    <xf numFmtId="10" fontId="13" fillId="14" borderId="1" xfId="0" applyNumberFormat="1" applyFont="1" applyFill="1" applyBorder="1"/>
    <xf numFmtId="165" fontId="10" fillId="6" borderId="1" xfId="0" applyNumberFormat="1" applyFont="1" applyFill="1" applyBorder="1" applyAlignment="1">
      <alignment horizontal="right"/>
    </xf>
    <xf numFmtId="40" fontId="10" fillId="6" borderId="1" xfId="0" applyNumberFormat="1" applyFont="1" applyFill="1" applyBorder="1"/>
    <xf numFmtId="0" fontId="14" fillId="4" borderId="1" xfId="0" applyFont="1" applyFill="1" applyBorder="1" applyAlignment="1" applyProtection="1">
      <alignment horizontal="center"/>
      <protection locked="0"/>
    </xf>
    <xf numFmtId="0" fontId="9" fillId="5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 applyProtection="1">
      <alignment horizontal="center"/>
      <protection locked="0"/>
    </xf>
    <xf numFmtId="10" fontId="9" fillId="12" borderId="1" xfId="0" applyNumberFormat="1" applyFont="1" applyFill="1" applyBorder="1" applyAlignment="1">
      <alignment horizontal="right"/>
    </xf>
    <xf numFmtId="0" fontId="11" fillId="8" borderId="1" xfId="0" applyFont="1" applyFill="1" applyBorder="1" applyProtection="1">
      <protection locked="0"/>
    </xf>
    <xf numFmtId="10" fontId="11" fillId="8" borderId="1" xfId="0" applyNumberFormat="1" applyFont="1" applyFill="1" applyBorder="1" applyAlignment="1">
      <alignment horizontal="right"/>
    </xf>
    <xf numFmtId="0" fontId="8" fillId="0" borderId="1" xfId="0" applyFont="1" applyBorder="1" applyProtection="1">
      <protection locked="0"/>
    </xf>
    <xf numFmtId="0" fontId="11" fillId="8" borderId="1" xfId="0" applyFont="1" applyFill="1" applyBorder="1" applyAlignment="1" applyProtection="1">
      <alignment horizontal="left"/>
      <protection locked="0"/>
    </xf>
    <xf numFmtId="10" fontId="11" fillId="8" borderId="1" xfId="1" applyNumberFormat="1" applyFont="1" applyFill="1" applyBorder="1" applyAlignment="1">
      <alignment horizontal="right"/>
    </xf>
    <xf numFmtId="0" fontId="10" fillId="3" borderId="1" xfId="0" applyFont="1" applyFill="1" applyBorder="1" applyAlignment="1" applyProtection="1">
      <alignment horizontal="center"/>
      <protection locked="0"/>
    </xf>
    <xf numFmtId="10" fontId="10" fillId="3" borderId="1" xfId="0" applyNumberFormat="1" applyFont="1" applyFill="1" applyBorder="1" applyAlignment="1">
      <alignment horizontal="right"/>
    </xf>
    <xf numFmtId="0" fontId="9" fillId="14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4" fontId="10" fillId="8" borderId="0" xfId="0" applyNumberFormat="1" applyFont="1" applyFill="1" applyAlignment="1">
      <alignment horizontal="right"/>
    </xf>
    <xf numFmtId="4" fontId="6" fillId="8" borderId="0" xfId="0" applyNumberFormat="1" applyFont="1" applyFill="1" applyAlignment="1">
      <alignment horizontal="right"/>
    </xf>
    <xf numFmtId="0" fontId="10" fillId="10" borderId="7" xfId="0" applyFont="1" applyFill="1" applyBorder="1" applyAlignment="1">
      <alignment horizontal="center" vertical="center"/>
    </xf>
    <xf numFmtId="4" fontId="16" fillId="8" borderId="0" xfId="0" applyNumberFormat="1" applyFont="1" applyFill="1" applyAlignment="1">
      <alignment vertical="center" wrapText="1"/>
    </xf>
    <xf numFmtId="0" fontId="8" fillId="0" borderId="1" xfId="0" applyFont="1" applyBorder="1"/>
    <xf numFmtId="0" fontId="10" fillId="5" borderId="1" xfId="0" applyFont="1" applyFill="1" applyBorder="1" applyAlignment="1">
      <alignment horizontal="center"/>
    </xf>
    <xf numFmtId="0" fontId="20" fillId="0" borderId="0" xfId="0" applyFont="1"/>
    <xf numFmtId="40" fontId="10" fillId="8" borderId="0" xfId="0" applyNumberFormat="1" applyFont="1" applyFill="1"/>
    <xf numFmtId="0" fontId="10" fillId="0" borderId="0" xfId="0" applyFont="1"/>
    <xf numFmtId="0" fontId="12" fillId="0" borderId="0" xfId="0" applyFont="1"/>
    <xf numFmtId="164" fontId="0" fillId="0" borderId="0" xfId="0" applyNumberForma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4" fontId="8" fillId="0" borderId="5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/>
    </xf>
    <xf numFmtId="4" fontId="9" fillId="7" borderId="5" xfId="0" applyNumberFormat="1" applyFont="1" applyFill="1" applyBorder="1" applyAlignment="1">
      <alignment horizontal="right"/>
    </xf>
    <xf numFmtId="4" fontId="9" fillId="7" borderId="4" xfId="0" applyNumberFormat="1" applyFont="1" applyFill="1" applyBorder="1" applyAlignment="1">
      <alignment horizontal="right"/>
    </xf>
    <xf numFmtId="4" fontId="9" fillId="7" borderId="6" xfId="0" applyNumberFormat="1" applyFont="1" applyFill="1" applyBorder="1" applyAlignment="1">
      <alignment horizontal="right"/>
    </xf>
    <xf numFmtId="4" fontId="10" fillId="9" borderId="1" xfId="0" applyNumberFormat="1" applyFont="1" applyFill="1" applyBorder="1" applyAlignment="1">
      <alignment horizontal="right"/>
    </xf>
    <xf numFmtId="4" fontId="11" fillId="7" borderId="5" xfId="0" applyNumberFormat="1" applyFont="1" applyFill="1" applyBorder="1" applyAlignment="1">
      <alignment horizontal="right"/>
    </xf>
    <xf numFmtId="4" fontId="11" fillId="7" borderId="4" xfId="0" applyNumberFormat="1" applyFont="1" applyFill="1" applyBorder="1" applyAlignment="1">
      <alignment horizontal="right"/>
    </xf>
    <xf numFmtId="4" fontId="11" fillId="7" borderId="6" xfId="0" applyNumberFormat="1" applyFont="1" applyFill="1" applyBorder="1" applyAlignment="1">
      <alignment horizontal="right"/>
    </xf>
    <xf numFmtId="3" fontId="11" fillId="8" borderId="5" xfId="0" applyNumberFormat="1" applyFont="1" applyFill="1" applyBorder="1" applyAlignment="1">
      <alignment horizontal="right"/>
    </xf>
    <xf numFmtId="3" fontId="11" fillId="8" borderId="4" xfId="0" applyNumberFormat="1" applyFont="1" applyFill="1" applyBorder="1" applyAlignment="1">
      <alignment horizontal="right"/>
    </xf>
    <xf numFmtId="3" fontId="11" fillId="8" borderId="6" xfId="0" applyNumberFormat="1" applyFont="1" applyFill="1" applyBorder="1" applyAlignment="1">
      <alignment horizontal="right"/>
    </xf>
    <xf numFmtId="4" fontId="8" fillId="0" borderId="5" xfId="0" applyNumberFormat="1" applyFont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right"/>
    </xf>
    <xf numFmtId="0" fontId="9" fillId="8" borderId="4" xfId="0" applyFont="1" applyFill="1" applyBorder="1" applyAlignment="1">
      <alignment horizontal="right"/>
    </xf>
    <xf numFmtId="0" fontId="9" fillId="8" borderId="6" xfId="0" applyFont="1" applyFill="1" applyBorder="1" applyAlignment="1">
      <alignment horizontal="right"/>
    </xf>
    <xf numFmtId="4" fontId="8" fillId="0" borderId="1" xfId="0" applyNumberFormat="1" applyFont="1" applyBorder="1" applyAlignment="1">
      <alignment horizontal="right" vertical="center" wrapText="1"/>
    </xf>
    <xf numFmtId="3" fontId="11" fillId="8" borderId="5" xfId="0" applyNumberFormat="1" applyFont="1" applyFill="1" applyBorder="1" applyAlignment="1">
      <alignment horizontal="center"/>
    </xf>
    <xf numFmtId="3" fontId="11" fillId="8" borderId="4" xfId="0" applyNumberFormat="1" applyFont="1" applyFill="1" applyBorder="1" applyAlignment="1">
      <alignment horizontal="center"/>
    </xf>
    <xf numFmtId="3" fontId="11" fillId="8" borderId="6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/>
    </xf>
    <xf numFmtId="3" fontId="9" fillId="11" borderId="5" xfId="0" applyNumberFormat="1" applyFont="1" applyFill="1" applyBorder="1" applyAlignment="1">
      <alignment horizontal="center"/>
    </xf>
    <xf numFmtId="3" fontId="9" fillId="11" borderId="4" xfId="0" applyNumberFormat="1" applyFont="1" applyFill="1" applyBorder="1" applyAlignment="1">
      <alignment horizontal="center"/>
    </xf>
    <xf numFmtId="3" fontId="9" fillId="11" borderId="6" xfId="0" applyNumberFormat="1" applyFont="1" applyFill="1" applyBorder="1" applyAlignment="1">
      <alignment horizontal="center"/>
    </xf>
    <xf numFmtId="4" fontId="11" fillId="11" borderId="5" xfId="0" applyNumberFormat="1" applyFont="1" applyFill="1" applyBorder="1" applyAlignment="1">
      <alignment horizontal="right"/>
    </xf>
    <xf numFmtId="4" fontId="11" fillId="11" borderId="4" xfId="0" applyNumberFormat="1" applyFont="1" applyFill="1" applyBorder="1" applyAlignment="1">
      <alignment horizontal="right"/>
    </xf>
    <xf numFmtId="4" fontId="11" fillId="11" borderId="6" xfId="0" applyNumberFormat="1" applyFont="1" applyFill="1" applyBorder="1" applyAlignment="1">
      <alignment horizontal="right"/>
    </xf>
    <xf numFmtId="4" fontId="8" fillId="11" borderId="1" xfId="0" applyNumberFormat="1" applyFont="1" applyFill="1" applyBorder="1" applyAlignment="1">
      <alignment horizontal="right"/>
    </xf>
    <xf numFmtId="4" fontId="10" fillId="10" borderId="5" xfId="0" applyNumberFormat="1" applyFont="1" applyFill="1" applyBorder="1" applyAlignment="1">
      <alignment horizontal="right" vertical="center" wrapText="1"/>
    </xf>
    <xf numFmtId="4" fontId="10" fillId="10" borderId="4" xfId="0" applyNumberFormat="1" applyFont="1" applyFill="1" applyBorder="1" applyAlignment="1">
      <alignment horizontal="right" vertical="center" wrapText="1"/>
    </xf>
    <xf numFmtId="4" fontId="10" fillId="10" borderId="6" xfId="0" applyNumberFormat="1" applyFont="1" applyFill="1" applyBorder="1" applyAlignment="1">
      <alignment horizontal="right" vertical="center" wrapText="1"/>
    </xf>
    <xf numFmtId="0" fontId="10" fillId="10" borderId="5" xfId="0" applyFont="1" applyFill="1" applyBorder="1" applyAlignment="1">
      <alignment horizontal="right" vertical="center" wrapText="1"/>
    </xf>
    <xf numFmtId="0" fontId="10" fillId="10" borderId="4" xfId="0" applyFont="1" applyFill="1" applyBorder="1" applyAlignment="1">
      <alignment horizontal="right" vertical="center" wrapText="1"/>
    </xf>
    <xf numFmtId="0" fontId="10" fillId="10" borderId="6" xfId="0" applyFont="1" applyFill="1" applyBorder="1" applyAlignment="1">
      <alignment horizontal="right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3" fontId="9" fillId="11" borderId="5" xfId="0" applyNumberFormat="1" applyFont="1" applyFill="1" applyBorder="1" applyAlignment="1">
      <alignment horizontal="right"/>
    </xf>
    <xf numFmtId="3" fontId="9" fillId="11" borderId="4" xfId="0" applyNumberFormat="1" applyFont="1" applyFill="1" applyBorder="1" applyAlignment="1">
      <alignment horizontal="right"/>
    </xf>
    <xf numFmtId="3" fontId="9" fillId="11" borderId="6" xfId="0" applyNumberFormat="1" applyFont="1" applyFill="1" applyBorder="1" applyAlignment="1">
      <alignment horizontal="right"/>
    </xf>
    <xf numFmtId="4" fontId="11" fillId="10" borderId="5" xfId="0" applyNumberFormat="1" applyFont="1" applyFill="1" applyBorder="1" applyAlignment="1">
      <alignment horizontal="right"/>
    </xf>
    <xf numFmtId="4" fontId="11" fillId="10" borderId="4" xfId="0" applyNumberFormat="1" applyFont="1" applyFill="1" applyBorder="1" applyAlignment="1">
      <alignment horizontal="right"/>
    </xf>
    <xf numFmtId="4" fontId="11" fillId="10" borderId="6" xfId="0" applyNumberFormat="1" applyFont="1" applyFill="1" applyBorder="1" applyAlignment="1">
      <alignment horizontal="right"/>
    </xf>
    <xf numFmtId="3" fontId="11" fillId="10" borderId="5" xfId="0" applyNumberFormat="1" applyFont="1" applyFill="1" applyBorder="1" applyAlignment="1">
      <alignment horizontal="right"/>
    </xf>
    <xf numFmtId="3" fontId="11" fillId="10" borderId="4" xfId="0" applyNumberFormat="1" applyFont="1" applyFill="1" applyBorder="1" applyAlignment="1">
      <alignment horizontal="right"/>
    </xf>
    <xf numFmtId="3" fontId="11" fillId="10" borderId="6" xfId="0" applyNumberFormat="1" applyFont="1" applyFill="1" applyBorder="1" applyAlignment="1">
      <alignment horizontal="right"/>
    </xf>
    <xf numFmtId="3" fontId="11" fillId="10" borderId="5" xfId="0" applyNumberFormat="1" applyFont="1" applyFill="1" applyBorder="1" applyAlignment="1">
      <alignment horizontal="center"/>
    </xf>
    <xf numFmtId="3" fontId="11" fillId="10" borderId="4" xfId="0" applyNumberFormat="1" applyFont="1" applyFill="1" applyBorder="1" applyAlignment="1">
      <alignment horizontal="center"/>
    </xf>
    <xf numFmtId="3" fontId="11" fillId="10" borderId="6" xfId="0" applyNumberFormat="1" applyFont="1" applyFill="1" applyBorder="1" applyAlignment="1">
      <alignment horizontal="center"/>
    </xf>
    <xf numFmtId="4" fontId="8" fillId="10" borderId="1" xfId="0" applyNumberFormat="1" applyFont="1" applyFill="1" applyBorder="1" applyAlignment="1">
      <alignment horizontal="right" vertical="center" wrapText="1"/>
    </xf>
    <xf numFmtId="0" fontId="10" fillId="5" borderId="1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/>
    </xf>
    <xf numFmtId="0" fontId="9" fillId="12" borderId="6" xfId="0" applyFont="1" applyFill="1" applyBorder="1" applyAlignment="1">
      <alignment horizontal="center"/>
    </xf>
    <xf numFmtId="3" fontId="11" fillId="7" borderId="5" xfId="0" applyNumberFormat="1" applyFont="1" applyFill="1" applyBorder="1" applyAlignment="1">
      <alignment horizontal="center"/>
    </xf>
    <xf numFmtId="3" fontId="11" fillId="7" borderId="6" xfId="0" applyNumberFormat="1" applyFont="1" applyFill="1" applyBorder="1" applyAlignment="1">
      <alignment horizontal="center"/>
    </xf>
    <xf numFmtId="4" fontId="10" fillId="10" borderId="1" xfId="0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3" fontId="9" fillId="14" borderId="5" xfId="0" applyNumberFormat="1" applyFont="1" applyFill="1" applyBorder="1" applyAlignment="1">
      <alignment horizontal="center"/>
    </xf>
    <xf numFmtId="3" fontId="9" fillId="14" borderId="6" xfId="0" applyNumberFormat="1" applyFont="1" applyFill="1" applyBorder="1" applyAlignment="1">
      <alignment horizontal="center"/>
    </xf>
    <xf numFmtId="38" fontId="9" fillId="14" borderId="5" xfId="0" applyNumberFormat="1" applyFont="1" applyFill="1" applyBorder="1" applyAlignment="1">
      <alignment horizontal="center"/>
    </xf>
    <xf numFmtId="38" fontId="9" fillId="14" borderId="6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3" fontId="9" fillId="14" borderId="1" xfId="0" applyNumberFormat="1" applyFont="1" applyFill="1" applyBorder="1" applyAlignment="1">
      <alignment horizontal="center"/>
    </xf>
    <xf numFmtId="4" fontId="10" fillId="12" borderId="5" xfId="0" applyNumberFormat="1" applyFont="1" applyFill="1" applyBorder="1" applyAlignment="1">
      <alignment horizontal="right"/>
    </xf>
    <xf numFmtId="4" fontId="10" fillId="12" borderId="4" xfId="0" applyNumberFormat="1" applyFont="1" applyFill="1" applyBorder="1" applyAlignment="1">
      <alignment horizontal="right"/>
    </xf>
    <xf numFmtId="4" fontId="10" fillId="12" borderId="6" xfId="0" applyNumberFormat="1" applyFont="1" applyFill="1" applyBorder="1" applyAlignment="1">
      <alignment horizontal="right"/>
    </xf>
    <xf numFmtId="4" fontId="9" fillId="12" borderId="5" xfId="0" applyNumberFormat="1" applyFont="1" applyFill="1" applyBorder="1" applyAlignment="1">
      <alignment horizontal="right"/>
    </xf>
    <xf numFmtId="4" fontId="9" fillId="12" borderId="4" xfId="0" applyNumberFormat="1" applyFont="1" applyFill="1" applyBorder="1" applyAlignment="1">
      <alignment horizontal="right"/>
    </xf>
    <xf numFmtId="4" fontId="9" fillId="12" borderId="6" xfId="0" applyNumberFormat="1" applyFont="1" applyFill="1" applyBorder="1" applyAlignment="1">
      <alignment horizontal="right"/>
    </xf>
    <xf numFmtId="4" fontId="9" fillId="9" borderId="1" xfId="0" applyNumberFormat="1" applyFont="1" applyFill="1" applyBorder="1" applyAlignment="1">
      <alignment horizontal="right"/>
    </xf>
    <xf numFmtId="4" fontId="9" fillId="12" borderId="1" xfId="0" applyNumberFormat="1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4" fontId="11" fillId="8" borderId="1" xfId="0" applyNumberFormat="1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horizontal="right"/>
    </xf>
    <xf numFmtId="4" fontId="11" fillId="8" borderId="5" xfId="0" applyNumberFormat="1" applyFont="1" applyFill="1" applyBorder="1" applyAlignment="1">
      <alignment horizontal="right"/>
    </xf>
    <xf numFmtId="4" fontId="11" fillId="8" borderId="4" xfId="0" applyNumberFormat="1" applyFont="1" applyFill="1" applyBorder="1" applyAlignment="1">
      <alignment horizontal="right"/>
    </xf>
    <xf numFmtId="4" fontId="11" fillId="8" borderId="6" xfId="0" applyNumberFormat="1" applyFont="1" applyFill="1" applyBorder="1" applyAlignment="1">
      <alignment horizontal="right"/>
    </xf>
    <xf numFmtId="2" fontId="8" fillId="7" borderId="1" xfId="0" applyNumberFormat="1" applyFont="1" applyFill="1" applyBorder="1" applyAlignment="1">
      <alignment horizontal="right"/>
    </xf>
    <xf numFmtId="4" fontId="10" fillId="3" borderId="5" xfId="0" applyNumberFormat="1" applyFont="1" applyFill="1" applyBorder="1" applyAlignment="1">
      <alignment horizontal="right"/>
    </xf>
    <xf numFmtId="4" fontId="10" fillId="3" borderId="4" xfId="0" applyNumberFormat="1" applyFont="1" applyFill="1" applyBorder="1" applyAlignment="1">
      <alignment horizontal="right"/>
    </xf>
    <xf numFmtId="4" fontId="10" fillId="3" borderId="6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9" fillId="14" borderId="5" xfId="0" applyNumberFormat="1" applyFont="1" applyFill="1" applyBorder="1" applyAlignment="1">
      <alignment horizontal="right"/>
    </xf>
    <xf numFmtId="4" fontId="9" fillId="14" borderId="4" xfId="0" applyNumberFormat="1" applyFont="1" applyFill="1" applyBorder="1" applyAlignment="1">
      <alignment horizontal="right"/>
    </xf>
    <xf numFmtId="4" fontId="9" fillId="14" borderId="6" xfId="0" applyNumberFormat="1" applyFont="1" applyFill="1" applyBorder="1" applyAlignment="1">
      <alignment horizontal="right"/>
    </xf>
    <xf numFmtId="4" fontId="9" fillId="2" borderId="1" xfId="0" applyNumberFormat="1" applyFont="1" applyFill="1" applyBorder="1" applyAlignment="1">
      <alignment horizontal="center"/>
    </xf>
    <xf numFmtId="4" fontId="9" fillId="3" borderId="1" xfId="0" applyNumberFormat="1" applyFont="1" applyFill="1" applyBorder="1" applyAlignment="1">
      <alignment horizontal="right"/>
    </xf>
    <xf numFmtId="4" fontId="9" fillId="8" borderId="0" xfId="0" applyNumberFormat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4" fontId="9" fillId="10" borderId="5" xfId="0" applyNumberFormat="1" applyFont="1" applyFill="1" applyBorder="1" applyAlignment="1">
      <alignment horizontal="center"/>
    </xf>
    <xf numFmtId="4" fontId="9" fillId="10" borderId="4" xfId="0" applyNumberFormat="1" applyFont="1" applyFill="1" applyBorder="1" applyAlignment="1">
      <alignment horizontal="center"/>
    </xf>
    <xf numFmtId="0" fontId="9" fillId="10" borderId="5" xfId="0" applyFont="1" applyFill="1" applyBorder="1" applyAlignment="1">
      <alignment horizontal="center"/>
    </xf>
    <xf numFmtId="0" fontId="9" fillId="10" borderId="4" xfId="0" applyFont="1" applyFill="1" applyBorder="1" applyAlignment="1">
      <alignment horizontal="center"/>
    </xf>
    <xf numFmtId="0" fontId="9" fillId="10" borderId="6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4" fontId="10" fillId="14" borderId="1" xfId="0" applyNumberFormat="1" applyFont="1" applyFill="1" applyBorder="1" applyAlignment="1">
      <alignment horizontal="right"/>
    </xf>
    <xf numFmtId="4" fontId="17" fillId="8" borderId="1" xfId="0" applyNumberFormat="1" applyFont="1" applyFill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4" fontId="16" fillId="8" borderId="0" xfId="0" applyNumberFormat="1" applyFont="1" applyFill="1" applyAlignment="1">
      <alignment horizontal="left" vertical="center" wrapText="1"/>
    </xf>
    <xf numFmtId="4" fontId="8" fillId="7" borderId="5" xfId="0" applyNumberFormat="1" applyFont="1" applyFill="1" applyBorder="1" applyAlignment="1">
      <alignment horizontal="right"/>
    </xf>
    <xf numFmtId="4" fontId="8" fillId="7" borderId="4" xfId="0" applyNumberFormat="1" applyFont="1" applyFill="1" applyBorder="1" applyAlignment="1">
      <alignment horizontal="right"/>
    </xf>
    <xf numFmtId="4" fontId="8" fillId="7" borderId="6" xfId="0" applyNumberFormat="1" applyFont="1" applyFill="1" applyBorder="1" applyAlignment="1">
      <alignment horizontal="right"/>
    </xf>
    <xf numFmtId="4" fontId="8" fillId="8" borderId="5" xfId="0" applyNumberFormat="1" applyFont="1" applyFill="1" applyBorder="1" applyAlignment="1">
      <alignment horizontal="right"/>
    </xf>
    <xf numFmtId="4" fontId="8" fillId="8" borderId="4" xfId="0" applyNumberFormat="1" applyFont="1" applyFill="1" applyBorder="1" applyAlignment="1">
      <alignment horizontal="right"/>
    </xf>
    <xf numFmtId="4" fontId="8" fillId="8" borderId="6" xfId="0" applyNumberFormat="1" applyFont="1" applyFill="1" applyBorder="1" applyAlignment="1">
      <alignment horizontal="right"/>
    </xf>
    <xf numFmtId="4" fontId="14" fillId="1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9" xfId="0" applyBorder="1" applyAlignment="1">
      <alignment horizontal="center"/>
    </xf>
    <xf numFmtId="4" fontId="14" fillId="5" borderId="1" xfId="0" applyNumberFormat="1" applyFont="1" applyFill="1" applyBorder="1" applyAlignment="1">
      <alignment horizontal="right" vertical="center" wrapText="1"/>
    </xf>
    <xf numFmtId="4" fontId="16" fillId="8" borderId="0" xfId="0" applyNumberFormat="1" applyFont="1" applyFill="1" applyAlignment="1">
      <alignment horizontal="center" vertical="center" wrapText="1"/>
    </xf>
    <xf numFmtId="2" fontId="17" fillId="0" borderId="1" xfId="0" applyNumberFormat="1" applyFont="1" applyBorder="1" applyAlignment="1">
      <alignment horizontal="right"/>
    </xf>
    <xf numFmtId="4" fontId="9" fillId="5" borderId="5" xfId="0" applyNumberFormat="1" applyFont="1" applyFill="1" applyBorder="1" applyAlignment="1">
      <alignment horizontal="right"/>
    </xf>
    <xf numFmtId="4" fontId="9" fillId="5" borderId="4" xfId="0" applyNumberFormat="1" applyFont="1" applyFill="1" applyBorder="1" applyAlignment="1">
      <alignment horizontal="right"/>
    </xf>
    <xf numFmtId="4" fontId="9" fillId="5" borderId="6" xfId="0" applyNumberFormat="1" applyFont="1" applyFill="1" applyBorder="1" applyAlignment="1">
      <alignment horizontal="right"/>
    </xf>
    <xf numFmtId="4" fontId="9" fillId="5" borderId="1" xfId="0" applyNumberFormat="1" applyFont="1" applyFill="1" applyBorder="1" applyAlignment="1">
      <alignment horizontal="right"/>
    </xf>
    <xf numFmtId="4" fontId="18" fillId="8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7ECF13-29D9-4686-ACB5-E2F66781CF63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E1E7B0-0B17-416A-855B-EA238EB32353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3A6DCE-DAE6-4CFB-974A-FC8942846EDE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54F19C-ED7C-43D2-9097-38B9C5078D9A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E28EA4-831B-4D52-9EB9-4AD0B370FDA9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16BE69-E774-429D-87EC-7026AED94239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59DA5A-61E2-4C58-BD2C-A24F4F2E0BE7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BF44B5-4A07-4097-8DF9-97F038AA152A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1EA71D-D312-407F-A061-19F2D6987758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CC973D-A1FF-4619-9238-6432E476FAC9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5100C6-9F38-47C0-A165-D9ACD347D33A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AD8DEA-DA03-4C8E-BFF0-7FAB01F6DD99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0180A3-27DF-40C2-9E46-495FF6018091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D5160B-86AB-4E39-95CC-4D4C23DC143D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D9526D-1139-479E-9A58-D948CFB18C5B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BE55C3-7730-4910-8B78-604091967090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ABE00A-8F19-48C5-B4BC-AD70DEE98969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8E0EFD-62B5-4E6B-A7FB-765A27D521FC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A5617D-0919-4E3A-ABE3-EB05ADC9A929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F2E6A7-B412-407C-B7FC-EF9D99E457AD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E38A71-055D-449E-8C15-9296A2982810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6D2E91-446D-4E32-84EB-86CBB63F1ED4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023C03-0284-44FF-B689-451560AFA71A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3F9EAB-7491-4EF2-8AF0-32703DD84486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09FB05-B0C5-4C86-80B5-641E2A0809F9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611AFA-785C-42CC-B472-F264D69D8FAA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2255B7-EF3D-47A3-A45F-7C618ED0B49F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F35EB4-DFEC-4CC7-996A-2CE7CCE1A8B5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EB6684-4B4C-4B7C-BF46-9296EA24BF4E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3FB424-E2BD-4337-8520-7323154E43F1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5F7589-5B3D-4663-BB78-4254EB4A8169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D90AAE-3CC0-4259-B65C-58AA28EBC96A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FDA6DE-D646-42D9-B0DF-0EA44E8C158A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778529-1772-4F96-B8FC-DD37E52BDA1E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E53857-A1FF-4EE2-B7D4-A47439491688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5C6881-F393-4C45-A00D-FF30E122AF91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CE1DF3-D021-4F40-B7CC-E2E988300B47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E2A8D6-C0E8-43EB-8B9E-4D882D68AF44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DF95E8-581A-4FB5-9E59-E4B9DB53EA1F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96AE79-C80A-4CA8-95B4-DDD42F6AEDB5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11EE46-60A8-4F32-B9F2-539340B3C70E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AA3BB6-1654-41CB-820A-E3402588F360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298CA5-1BA0-49AD-980F-4DB6BF10B1E0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A94068-DFC9-423E-A922-CADE34044F8D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220F0C-F4E6-4DE1-AFAB-6AD67CAA5A62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BD0627-4ED9-4155-A783-B1027E4EB596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E434AF-101C-4FFC-B308-5977F900DF87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F898AF-428E-4162-B007-F2135E9D3497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BA86BA-C593-4117-A97A-2F079F25CDAB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AF915F-8332-4A25-A330-D620ECEF1AA5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8C720F-1D5E-4D71-B79C-6939BAE89C16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2A97CF-2791-4B49-AB75-8E422C5929E8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411EB5-1578-4ACB-8E42-92717668CB41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3C2A0A-C2E5-44C4-86D9-B3ADF00FE161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131CC1-9653-4392-B4CE-100F037E4EB5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FEAE0C-F3CD-4BB1-BE18-77F2A0DFD508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242E58-5F4C-4DCB-9868-50F1FE4C47E5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CB84D5-B180-4408-B4D6-775692D3670B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26C91E-2F36-466C-9A7C-A6FA6A982DEA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88A3BE-A2CB-4752-8311-74D8F31F1556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48FA68-2142-46A4-B80D-9B44972946DC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031A7A-0B87-4E38-A9F1-A37ED7ACB3B8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FDA1C9-7211-4FC2-B5F5-70BD2ED61380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ABE33B-7A39-4866-82D4-9336CB2E6853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714375" cy="304800"/>
    <xdr:sp macro="" textlink="">
      <xdr:nvSpPr>
        <xdr:cNvPr id="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63E09C-32D5-4938-958E-27B6541A3F49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DB8FD5-7F9C-48D0-8D3D-3F7B7F12C0AF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695F5D-CACC-4B0A-B8F6-8154A9CF2FB9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C2DE48-2DB3-4C83-91D4-CFE436166895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2D69C4-2C78-4D2C-978D-7F53E354F1EA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466092-9AE0-4C0C-BD9A-F53AEE3D0CF7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714375" cy="304800"/>
    <xdr:sp macro="" textlink="">
      <xdr:nvSpPr>
        <xdr:cNvPr id="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BBED37-D3E0-47CA-8E92-B3584AEBFE64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39AF2E-F624-44C5-A95C-724E12C81C3F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783A97-6806-40DE-8F04-D0182EE88CBD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5D87C0-6344-4F6D-A2BA-6BE6FF2DE070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21E5F0-2336-439F-A5AC-21A38543E0CF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AC273C-DABB-4C0C-A395-6DD5CF535184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FA494D-9C81-453F-A2DC-DCDEFE1E3B5D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1586C6-E8A7-448C-BDD7-D6BDE4A364E1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B34417-3017-4BF8-9483-BC8F4D24F254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7F0D1E-C64E-457A-9252-601A2E5574DE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A63EF2-67C8-445C-80B6-41526A3B9117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3A2054-1572-453F-BDD9-7CFF86110C87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BD984B-5881-4F4B-9306-E86A0D8D25E5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1B22A8-ED38-4A19-818F-1C640D7ED714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74C359-D920-49A1-9E78-4385DE4220AC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88B7B0-D586-401D-BB4E-E67B9ACD2CB2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623709-9431-463D-A394-9F1A7F56F3D3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6E5B58-A6FF-4FC2-BAA3-7218E153366A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AE1BA0-C054-4287-9B9A-14C3EF0EB491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142B02-1D49-4879-AC01-D422599971DF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F49116-5EEB-4564-A5C0-50D820C67DAE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714375" cy="304800"/>
    <xdr:sp macro="" textlink="">
      <xdr:nvSpPr>
        <xdr:cNvPr id="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A6CC96-F76A-4683-828D-5D35416A5A4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FF9C38-CF5A-449C-9185-362B9D41946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E835FC-35BE-4C24-BA3F-83FF5EF233A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727258-E107-4F0C-9FA8-AAE2319BD9D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1C0227-4FB5-449B-AFDB-D3E0420E0AD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99B321-D575-4F76-8520-88B295C3EC6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714375" cy="304800"/>
    <xdr:sp macro="" textlink="">
      <xdr:nvSpPr>
        <xdr:cNvPr id="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4C182F-3F6C-4900-AE34-3401807E8E3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1387AA-B455-4CED-83BE-B27B67112B1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AFA011-B766-47B6-A413-6FE8EC921D0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5BCE65-0A03-4D7D-B91E-8930DBE7B02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484BED-CDFA-4A6A-8337-8A7BC838B86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A31ACB-1A26-4FDE-A1B1-0B1F45BD606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4E3492-DC5A-4077-986F-D8601FB7B2F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84B473-80BD-4945-BDD5-C4D853074A0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F415AB-FC2E-4919-990D-3AC45BEFE53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6A5C79-F211-4D9E-9A89-A0245448596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4C9418-FA3C-439B-94CE-B34443A7543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714375" cy="304800"/>
    <xdr:sp macro="" textlink="">
      <xdr:nvSpPr>
        <xdr:cNvPr id="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A8EC82-F01A-4AC8-9DCF-FD7E3174FEF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895D57-E43E-4DE1-9E9F-F85763B1E98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8842AA-D499-4991-8E7D-8A548C50872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0D0933-526B-4375-B8F5-F8B9965A4E9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35DB94-6323-45F2-94C0-D8D67A4EAD7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BAD278-4ACE-49F9-BAC9-784B53A3602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F65962-B0DD-4720-8B53-27D2BB224D1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5C1283-28D8-4347-9206-7F114059002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4B7CA8-68CA-440D-A1F0-C90B9E6AEB2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29A6FF-B023-43F0-93D8-7C403ABC161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146AA1-226C-4E00-976A-39A617AC861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8C6412-076F-4D71-A9EF-DBCC8EEBF435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D0210F-6806-46D8-8128-2C3161F10B0B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277B11-7F9A-452B-8885-75EB4CCBC954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C74A4B-A58B-42CA-9D39-5C5EB1DF53E1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C1775E-D3A7-4B47-8C1D-EE1383F71CA1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364277-F574-4330-AF3C-3CAC9ACB076C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CED0DC-85D8-48A4-9019-9484622B4906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0ED86B-4EE9-4C0F-8DF0-1AED7B43114A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714375" cy="304800"/>
    <xdr:sp macro="" textlink="">
      <xdr:nvSpPr>
        <xdr:cNvPr id="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9D1532-3A6F-45C3-8B0D-AAD8373414E7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45F98D-B7B9-4A65-B9F9-CD3F7F70DA82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EF4BB2-E1DA-4C48-B8EC-0AA431BE32A4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60E944-5008-4CD1-A9EF-301107BC6B2C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C45385-9925-4E08-A445-B970288DE27D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FDA926-14E3-450E-895B-A2FCD15AC2FE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714375" cy="304800"/>
    <xdr:sp macro="" textlink="">
      <xdr:nvSpPr>
        <xdr:cNvPr id="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6869B7-69D5-4E9D-B8B6-9FB412B83B19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8EB570-4EDD-4007-BB64-BF5EB3596AC3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473986-8958-45F2-8D58-F6AE60A59209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8E6A30-12D9-474A-936B-876524C9C476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DE4D73-BD68-4E79-8BDC-41D8413FE095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028E8B-2762-4DB8-BE21-C207FD5CE404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2FC639-D76E-4609-9E60-9E49EC1E80BC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61B49F-E0F3-4C43-AE77-9AAF7609C368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23FDBE-F708-4125-8BE8-63142771A459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CD5601-9A19-42AD-94A7-A8BE1901B50F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ECED01-783D-4626-9DA4-6F1AB4864104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ED6DB0-086A-4414-9FF9-57BB94EA792B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58F5CF-1C52-4DAA-8538-7908873F2F30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05EAFE-401A-42DB-9FDB-E4EAD8FF2F61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F7308B-F082-4A50-954B-4E34586B3E7D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2E3D89-9391-4EB0-B8D8-DBF37232547A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AAB967-5013-435E-AFAF-73F6BE5196FA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E4AD2E-E9D1-4D29-9545-2CC0F4E3F8FD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63C45F-76F3-4653-9142-74508777E0A8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EB2E74-7972-4381-9B13-CD2B8B0F1D96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7B9970-78CA-4A35-9AD2-37A7D0C96B0D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714375" cy="304800"/>
    <xdr:sp macro="" textlink="">
      <xdr:nvSpPr>
        <xdr:cNvPr id="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0F6918-C67B-4994-9AC0-A0322B8393D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5FBAAC-335B-426C-A6AC-20C45EB6B12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E9AB63-8676-4706-9C35-1A8B866134E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A743B3-E85F-40F9-B727-7CC4A122A35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4A6138-3801-4064-883E-F29CC08E307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B86F1C-07D0-4790-B4C5-92D7A044441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714375" cy="304800"/>
    <xdr:sp macro="" textlink="">
      <xdr:nvSpPr>
        <xdr:cNvPr id="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2F82FD-0502-493A-AAAB-3E1B3CAC3EA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654B34-686D-4119-8512-B0258301990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F916FA-6B7C-4AC6-9D23-A14DE4634D4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AB0A2C-E0D2-4904-92A5-3DB43D9E845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1CAECA-CC36-4044-BD31-3F1166D2CC5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7D837A-2236-49C2-B02A-9CC7608C23C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B8EC01-0FF4-4E7B-9817-01A007D0C39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11FB1D-D302-4ADF-92E7-4FEC88DA63E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BCA9F3-4369-4209-81AA-70338734A9B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8CAC8B-4F5B-4049-8991-F7AD8C826CD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FA0005-5A65-4208-8792-9F171627765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714375" cy="304800"/>
    <xdr:sp macro="" textlink="">
      <xdr:nvSpPr>
        <xdr:cNvPr id="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8E32EF-31CA-47D2-B18A-0A35D4D6048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CA362A-FD92-4B1E-A5D2-2F2DAA9936B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322CB5-B3C1-40DC-A81E-FDF64BF11A6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7FF542-5782-49BC-A248-C5E43A7284D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ACEFBA-6F86-4E5F-B61B-644A6923160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EB7E15-D6D0-4033-9716-CFE20C4A808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162695-6203-4861-A6FC-FA842E4C948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E82F94-D068-4695-BEB0-6900EF87160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4B69F4-F691-4A9C-9C66-807EA66C1F2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EAC521-0F02-4720-B642-B1A22B86C12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7DED89-FA73-4311-A4F4-13FE8C1557C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DBC9E9-C87D-4EC1-86E2-E5ADF39E501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EFD351-2941-4C80-A8C4-E91E00D8388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E507FA-9486-403E-B062-78AA2FCEBB2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A877AC-FD46-47C7-B80F-18D2DF88058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484689-9FF2-4F29-826A-6370EFBF61F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C07F6C-0FC1-4166-8753-C264FD81E47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B85E2B-C00E-43B5-B7AF-E10F2050A64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49D415-23A8-4EBE-82BA-786D12B9809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668D57-FBBE-4A95-AE5B-7C683D89F79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60273B-69CA-4AB3-A2E5-BBE7EDB6C99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61EE61-E768-49E8-8945-524859A9A33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16BD78-AFBE-4D46-B2F0-DC5EEF26C08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5EF64F-6FF0-47CA-8721-C373BE358CB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EBB6C0-5A01-42BD-ADFF-ADCA0D9A210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36D051-0356-4D51-BF3A-4840CBF9922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AB6E9C-A207-49B8-A51E-70FA2B96FB6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CECFCD-16FF-4BA5-BC40-8F224B00A4D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1E1250-BFAD-40EA-9FA7-083A1F95ADA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55BCE7-BFB7-4C0D-A85C-119CD026203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650FC3-F9ED-4DEE-BEFC-894A10D6F65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5EC49B-190E-40FE-BC08-B77BD6381FE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9CF49A-C612-4C27-93F6-74FE51737E9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E04262-FCE0-4A0F-ACF4-901466F06C0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CBC073-93BD-4664-A71F-1531B2C9D04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AE90F1-3297-4348-A6E7-09806896642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F700F1-E5AF-4D37-969E-379554796DF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383513-1432-46E8-81D0-233D7509C4E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25BFF7-EF20-44A0-847A-19F8F978B8D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118287-D991-429B-88BC-434FEF0CCD3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021BDF-BF6B-4C45-B414-31C687E5F41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202957-B560-46D5-A097-AC90AA286A6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A7F6FF-336F-486F-88D1-E0E7B8A4F97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928D03-5D82-432B-99D9-D9C055CB57C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F8BD6D-ECF1-47E5-814B-FC026879C50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B0976E-45D5-4DA7-B3F8-9B0F290B48D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C1F2E6-8C78-4C48-92FF-09466747E1D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C88529-54BC-4B5C-AB5F-D81D929928E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5271DC-F216-4950-A7BC-3BF442F42E3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4A5EB3-A9B1-48CB-AE85-56A013EB52D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08C282-1BB4-4B94-BD64-55340519990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4EA531-7C1D-4772-BE3E-1211195C63D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75C9E4-84C5-4923-81C7-5A881EA1658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1DE5E2-F80C-478F-9FBF-26CF6E87726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9547BA-2451-42F4-B751-443590BE477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E206C1-F0CD-40D0-92E4-6BDEF2279DE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6C79DD-EE66-497E-98A3-D02B0431C3F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C55A39-EA4E-4880-A349-5F2D548C455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F77659-EAB2-420B-BEA3-2801FE33BC8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28575</xdr:colOff>
      <xdr:row>0</xdr:row>
      <xdr:rowOff>28575</xdr:rowOff>
    </xdr:from>
    <xdr:to>
      <xdr:col>12</xdr:col>
      <xdr:colOff>191954</xdr:colOff>
      <xdr:row>3</xdr:row>
      <xdr:rowOff>133790</xdr:rowOff>
    </xdr:to>
    <xdr:pic>
      <xdr:nvPicPr>
        <xdr:cNvPr id="232" name="Imagem 231">
          <a:extLst>
            <a:ext uri="{FF2B5EF4-FFF2-40B4-BE49-F238E27FC236}">
              <a16:creationId xmlns:a16="http://schemas.microsoft.com/office/drawing/2014/main" id="{4A83E736-4559-4683-99B3-7DCDFEDBA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7392854" cy="676715"/>
        </a:xfrm>
        <a:prstGeom prst="rect">
          <a:avLst/>
        </a:prstGeom>
      </xdr:spPr>
    </xdr:pic>
    <xdr:clientData/>
  </xdr:two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B62B35-7251-47C9-A763-835CE31056C9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51FD9A-2126-49BC-8F46-356C7C1E2D2B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F84BFD-74B6-433D-913E-453F28DFDD4A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BDCDD0-1953-433B-8E17-BB2AE72FCFC8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6FF754-54A1-4C7D-9A6F-A961FDDA4E8F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450C8A-BCF7-4C11-B250-F3C11E7853AC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0F83F8-DE6B-4E58-8E27-B1B30235C38F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4A6C99-5A7F-42D7-AFE1-4CF21049B310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F3E144-02FE-4F37-8703-110886FC59A0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FC0621-A36D-4924-9F10-0369DABF2265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03A986-4E3D-465D-8E24-349C7496B3F8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E9904B-27F5-4AEB-9C25-5FD8D58B8D33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2A318E-AEB8-4FD0-AB54-7EAB6E5DFD7F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2A8E66-0665-4F8D-A7A2-AAAE4E037006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85A296-1F09-46BF-8F98-6CE9432C4AEB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D79EF1-F7E2-4B6B-93A0-1B5715F45C06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7F97F3-DEAA-41E3-A298-6CFC71644086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6FE029-131A-4070-AD94-4CB4BE835231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5537EC-9067-4D29-BCC6-5BB85FB328BA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290138-DF53-4512-8D13-4683796951BD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BE1531-B775-471E-BADE-5863CD46DB00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9FE1A4-C47E-4F39-A913-C133B534B143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72E81C-4264-4465-9623-38CE9AA171D6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A637B0-36ED-42C7-A856-3FB94B0A415A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C1E879-4EDB-4E0E-9D31-1397A2EC2F1D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A7FDBF-2DDD-43D4-9670-0489AF8E8E81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1D7AD5-DD89-4FCF-8201-2A1C90471726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B0F3DA-4A12-45F7-9DD1-9D2F30F1F5CC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AC414B-182E-451A-9974-124246325219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03B52A-BCA0-4C74-B8B5-8F869EDFD8B4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1C76ED-775D-422D-ACCC-F7B5E4755EB4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21CDE9-F03A-49D8-812F-E0C84E006A8E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CC932D-D43E-4B13-89E9-E242C83C9033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BB8E6F-04C0-40DF-B326-8A57EE024C0B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33CDCE-7492-4FA5-9445-72EE0925591F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C72040-D290-4CF5-B256-DF3C2748054A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9C05A0-05F5-4B04-A843-31F66027A65D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626C34-D714-4A9F-9423-B9BFE63C5665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E53802-1800-4F23-962D-9C61C04D0904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47E61C-7EA3-4FF8-BBA7-DC3351B490B1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A7A1C4-1280-45C7-AD0D-FBFD6B6F615A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414706-268C-4974-B050-735F409A563F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33BB01-DC16-4391-A5CF-A1DE5B726220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41EC53-B5A7-4D2C-BED5-5C52B660642F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936C56-BB0D-4AF8-BFAD-357073367604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267139-CE65-4E6F-9C39-D448B9F7A321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395107-D199-4FA3-84FC-F3AF18214143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260519-3198-4813-B7A9-F4778A6F4B8F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A67B1D-E9FE-4340-8A80-F6E1CEF05F98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1634B3-0315-443A-BADF-A93B5F522CF5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D376FC-2FB9-4D0D-926B-B3DBBB354023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05ED76-3427-4F41-A5ED-88EAA94BFC60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094F2A-25E0-488D-A406-40E57F482595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533205-775C-4870-AC1F-0D3BA1A025D3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18B5CF-053A-4D75-94E1-F531B650EA95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75A533-BFFF-4174-8C5B-5448E7D36DC0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60EF82-DB11-4676-80EC-09463775537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91BEB6-95D6-4583-8FFF-F2389E64937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745C24-2E1A-4B43-8F3E-EFB98AC4499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DE1F47-295C-4301-A4C5-27090C6AA0F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414CA3-5D2C-47E5-A19B-3C21A887296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0A4FE6-0347-49BA-AAB9-E2BA0289D20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964B17-DD89-4626-8ECC-C4A07C2E87A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734088-4B73-4DC8-A96C-8A7FF6428ED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8A457F-3FE0-476B-8294-CCFA1DFDF8F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428121-33C6-4CF7-8F8C-1A3888F0E70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46A173-0D95-4BCC-89BE-40B34A74387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C8303F-93A3-4D66-8A4E-FB413FE534B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23D289-1B5A-45DD-B624-4760F61E149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338D04-8027-44A1-ADDB-4B4AEDD7DAB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42022A-A0C3-473B-8D51-2D21E55C2DA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B6E23D-AA9B-497A-AFED-A6168D5A19D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D3508D-F063-456C-856D-2091CF61007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448AEB-43BE-4DDC-8FC6-91D1F82EF00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C6F051-7FA5-44E8-A394-F065E79ECB2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55950F-FE67-430F-B93D-6A73CEFE366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2091DE-E498-41AC-9037-8C092DA6510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B9BBD6-5C57-4D05-A071-37969C753A6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5809FB-D90D-4FCC-92C5-3A1C893D06A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648856-A2EB-4898-A40D-C48CDD39D01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096EBB-C469-4AD4-8CF8-7267E053D3C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C5364E-5539-495A-9700-0DE6AF8FA67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D25B18-1842-46C2-8BAC-54A742DBD38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6740EC-6FB7-4A2D-B8CB-1491E11E4E5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63D9B8-0881-4D68-8D12-D76C0FF790A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EB377B-81F0-4B35-AD0F-478F2569CF4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6C6C6F-26D3-44E1-94DD-DF42D1BDEC2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9725DC-EBF7-4E91-B79A-A77747D6859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1D1169-4E6A-4DA6-80CC-91C9A7AA2A8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F321DA-D0CE-4C35-BF6E-E8893FF4AAF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B84DF4-F40A-42D9-B75C-BC1D0748314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3260FF-90DE-4F43-9545-A536B954ADB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AC7912-D59D-4161-8603-8D4E924557D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5C110E-203B-4917-9C36-BEE85EAB3D7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51D488-0D27-4F27-B539-54D6FD01FC1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926ACB-CD32-45E9-B199-BC24399E54B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B502DD-1875-4031-8AB2-1B3DC004173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CC9D9E-FDC6-4055-95DC-59A4B1F3EFD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965B9E-0CDA-4D34-B51F-48B64AB36C3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496403-5A74-452E-A29F-159AD56A072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263471-6FF5-4EB9-BE44-37A2830E1C3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58E589-9366-4A80-A794-C86DB62AF96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B9BB95-B08E-4C08-BD84-D4DDCABD7BD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D94235-C1D5-400D-863F-02312EDCB08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AA3432-2769-4E59-810E-E9CEB6C8B53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B1D486-82F7-4AF7-B637-331FDF2F373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8E6DBA-C2A0-4B31-B2AF-D823C457327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DDE40E-A211-42A4-AB76-6682B4929B0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6112DC-78FE-4987-9255-8D3B2B92228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D9EFB6-DEC9-4D53-A018-CD36D002A61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B28EF4-A7EF-4A6C-BCFA-C8516AD8C1A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D03DEB-88E2-4975-A953-3E8CEB7AA4D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B9B040-AED1-4032-91A0-3C6F9927B89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D990DC-2D41-4A49-8675-538AB48BF6B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57C3FD-8BD0-4CB5-93E9-82210C996EE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8D6E4E-B3F1-4E13-B452-6061E191DEB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28E31A-DF52-45B2-836E-CFDB5CAD2C3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36A139-2CB0-4C8B-94E7-FF4361D3648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3F9B48-A735-47B4-A590-B6D7D5E6506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31A65A-40AD-4CD5-8B4F-C78A699B9DC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7E68A0-5389-4F0C-88C2-278EBEB95A1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4D3F03-F5F0-4FD5-9699-BFA73D1C7EB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2EF52A-7918-40F3-B7E4-D42550D7281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E24E85-098F-4BC1-8364-5180A09E5C5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F4B3D1-2D30-41B1-99A7-0FF9A89F531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9C1C62-569C-42D1-A771-4173E9C2B1E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F62360-1E01-47B2-85D2-223EF2ECA1F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6C3542-2362-4CF1-B503-3AC91CF6244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4C8B04-8BED-4792-BC0F-DDBC79FE43E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0754AC-CB71-4596-890F-F0143240261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3B93C6-694F-42F3-BDD3-3DAACE01D02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25C454-3233-4576-8A87-DA613B26B54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93B484-131E-41F9-9290-27A03CD586B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2CA88B-D075-4192-8EBC-D76D53E2C0D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4A3343-847A-4245-9B13-A1B8ED819EE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EB5F31-028C-4A74-A0BA-558BB12BD11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09A132-56B1-430F-A109-D3C83E04810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813858-0AB3-421A-A0B8-DAE851FFBB7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53F339-4D2F-4B56-A0C0-DDB97E7ECCB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E8852C-0FC4-458F-B4E3-9575240DAD2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3E2D76-B501-43D6-A5E3-4E53703411E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25D830-79B2-45F5-B994-94E44C8A276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E059E0-F256-4F87-B999-BAD7ECCB7FF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C75BB9-B7DF-417E-8A46-60F6D148AEB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FE4F98-37C7-4D19-9477-1B68724BF4B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0F5511-7ACF-4CBB-BBE1-5FE0A8A0E84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585048-E153-4A0D-AEC1-FD6445BC3F9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949D71-3DF1-4F55-BC87-E8687A3BF83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74A944-0AD4-44D2-B44A-A6CD556434E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A6E03F-12AD-4995-8F6D-9E1CE159513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2DC56E-C44E-4117-967A-2286D1450F1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4ED7FA-4F03-48D4-BC4D-13013B7D363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82198B-C245-450F-A091-E53A79CAE05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6</xdr:row>
      <xdr:rowOff>0</xdr:rowOff>
    </xdr:from>
    <xdr:ext cx="304800" cy="304800"/>
    <xdr:sp macro="" textlink="">
      <xdr:nvSpPr>
        <xdr:cNvPr id="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449E78-4BD5-46F5-9D9A-562C08A71D9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BB6CFF-EDA2-472F-A75E-54C23D6CF84D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3D58A2-C676-496A-A395-C30E76F3AB8F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5D2609-696A-41F5-856F-F905DB7CDCC8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DF0994-4563-4CF3-AFE3-7C2C46AFEF02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9A1489-52FD-41B9-9E42-54AE3B8F856A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E3FB8F-60F8-45BF-9885-105F36A1A72C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3E2B88-D60E-4AD5-B60C-3A5602D619AD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41E6A0-F060-4F19-89CC-6B6473FA2AA9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48323C-6005-4796-AC24-EBC7B0DE0C4F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DDD97E-7DE3-4022-9423-A5294E9A4C58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DC68F4-99BE-4200-95CA-FE31666A91DB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68988B-90CE-45A7-BA24-928EA88BE507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94E789-F097-428F-A0BB-53C62BE4ADC0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0F6C27-BE26-4080-AE79-8B341F9007C2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913F22-3C53-4CD8-A8F0-77A2BC847C6C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8F6582-B313-4B30-A563-552A3B5DEE32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5046F2-C443-4F8F-8D39-3481FB7D0BAD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5757FB-C686-4E83-91E1-F63CC792EC13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8F2B46-DAA1-4542-9F2B-BD428309D9F8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224B29-E8AD-4D1E-B134-11DC3110ABF0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393B0D-A284-489A-831B-E069218E240E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6A2F45-4B3F-42FA-89F8-3BFE101925A6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20</xdr:row>
      <xdr:rowOff>0</xdr:rowOff>
    </xdr:from>
    <xdr:ext cx="304800" cy="304800"/>
    <xdr:sp macro="" textlink="">
      <xdr:nvSpPr>
        <xdr:cNvPr id="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E2D9FD-F6B0-4DA5-A0CF-13789096F803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D42A8C-7009-4940-98FB-35938D0A34E8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12FD93-3209-4F02-9110-C9279D2458AB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F492B0-602F-4229-B588-ADDD26E88F23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8F5800-816B-43D5-9A68-A8375732A0EA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256F77-B986-48BF-BAE9-35CA967CD917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ED7DE6-8B2E-45A7-8021-6393EE0A66AB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8EB210-034C-4173-A3F5-1760CB247DB0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ABBD04-0150-461E-8EB5-9B016302F911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045F7B-3823-40D5-832D-1846A4CCBE5F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309D62-3D00-465A-AE1B-699BE578ECB4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0DAD33-670F-4D6B-AF07-ACF1D367F52E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FFF120-6DA6-4451-A087-CA84847276CB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7D50D4-1584-4770-8389-D45D56DAC38D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F93961-393D-4523-90BA-4774A577064A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45C03A-18BA-4AF7-B72A-562FC651627A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3C8802-7E2D-495C-A909-4ABE5C883A88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9BC142-6452-40F5-A0ED-1231FC1C63EE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6E3A54-CCAC-4E18-9EC8-DC8E9784DA47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56B8B7-E602-4038-B5B0-4ED71CC78F27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B1AD1C-AB08-4862-8141-47BCE6AE7380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8785A9-CA77-41A7-9C85-31A47053ECBB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DF5483-8EF7-4247-8978-FF89C629620B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14DF69-BCD7-4562-9C3E-332C112BC1A5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CEBD45-0A4D-4620-A910-15B47A8BE86F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A00A74-2613-4AB1-8544-6645537266D5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4E6237-3E75-4280-84B0-97CFF9026C76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A421A1-4D2A-439A-A18E-EB7A7DDACD0E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28</xdr:row>
      <xdr:rowOff>0</xdr:rowOff>
    </xdr:from>
    <xdr:ext cx="304800" cy="304800"/>
    <xdr:sp macro="" textlink="">
      <xdr:nvSpPr>
        <xdr:cNvPr id="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670787-584B-4D3B-8824-ED874C431317}"/>
            </a:ext>
          </a:extLst>
        </xdr:cNvPr>
        <xdr:cNvSpPr>
          <a:spLocks noChangeAspect="1" noChangeArrowheads="1"/>
        </xdr:cNvSpPr>
      </xdr:nvSpPr>
      <xdr:spPr bwMode="auto">
        <a:xfrm>
          <a:off x="19916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B0C2B2-93FD-4613-BF0F-58BBD205C4C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37C20D-4453-479A-97E4-5A0113DF174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75E95D-066D-4A91-9BA4-D8923DD4748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422BA4-BDF8-42DA-99B6-93ECB98F1D9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DD010F-00A6-453D-8D96-C8B99F4E5C0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961257-2261-4A3E-93BC-3170E8754CE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6E7038-B821-4F2C-A415-D569F3A35AF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A93452-26B9-4BD7-A13C-C40EA412E63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EBE328-CF64-4995-AD84-D88BF01747F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EEFE80-421E-46CC-BA27-43BF97C56F1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1225F3-D78F-4CE1-96E5-28C22EFAE49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9E6B9E-99B1-466A-BE37-BC31B01A446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C9F3C6-F37A-4E74-ADA8-77677A569D4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370C3A-149C-4745-975D-237AE5E3F07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5AC5CB-EC4B-42C3-AE5A-A7A4A8F9B25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BADA2D-D872-4294-B61F-58AF196678D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75F8FC-398C-4F02-B8F2-985DD3EB06C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B5EA3F-9165-4B3E-865F-23DA3E85943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1BE826-9CDE-45ED-985C-4EA921B828F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FFF5DD-7B3D-4058-B565-F948C127101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720897-8BB9-4BCB-B6D1-3847A8E76ED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A32C2C-B1A5-4C88-BDAE-0C6D7E72DD7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EECC36-618F-40C6-B03C-4CF67209148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B2B802-EA29-49F2-96EF-771C3A4377F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4463C0-CD20-42AF-8010-9290814DA1A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EBDF13-47CB-4F0B-A183-D3439F97CD0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166FCE-0409-4E17-AB70-76E60D42388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191180-AC6D-431B-B59E-43CF6833C32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5A2DBC-93F9-4E06-97A3-ACB429F2863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AAF769-7D3E-4555-B953-D2AA719D8C4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055525-9FD0-4799-A75C-3C36DCF4E73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63F7CA-22FA-4756-8D32-2A6535A458E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7091CC-4433-449A-B135-1DAB784350B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B00652-1DD0-4555-ADFD-23F321BEF12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84C83B-9550-4994-9AEC-028FC01B3B0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B7F2A3-37A9-45F1-A1A7-74869E367AB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59A6F8-4833-41C9-92B7-3DD94AE8970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DC8D5A-0E79-4AB4-BEF7-ECE85F5059B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D7690B-670C-4D04-9176-A007E93772F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CE9ADE-4A0C-463B-9C9C-ACBF4B8023B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FA6491-FDBA-4F87-81B4-45ED5734F9F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655D45-D2FF-40FA-A3EF-1256835B79B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065BDC-402E-403C-AAA3-5EAA136AFB9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592F73-0F2F-49B8-9DD7-4667B411FB7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9EA7EA-8BB8-4336-BF2B-9975497E61E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B32B20-0D96-4001-892F-ACE17D87899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1BEB0A-1974-4BBE-88C8-E7A08FD8A7A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5F0AA5-9957-4A45-B54F-9C73FE9B5B8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CB87F5-2E53-4B55-9DB3-6D2F6CC018E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962332-DFC9-4428-8570-3460BC846A2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0BA4ED-304C-4603-B65E-76A9BCE135F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455CD2-D0CE-40F2-A350-38AB2F0FC85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A40A7F-7F7C-4B0F-9D44-7257A4EF344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2B8ADD-5454-4CA0-B29F-474F3574418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9521B3-64C5-49F6-BF4C-03E60E41A58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70059E-7084-4862-A02D-CFE6F89F9AC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B7630A-0C81-4C36-AE64-AFD0E30DB74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F25149-E0A0-490C-A324-6B1990D4D20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C98696-4B41-4676-B864-5095A232464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C68C9B-1528-41FB-BB07-5B5E8C7FB2C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800253-A4BB-43B9-934D-8E9A0BA9162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656C43-5CAE-48DE-BCB6-E740AAF7019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1E4DB7-A120-46E0-B69B-F89E615ECC4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AB94BE-57B7-4EB2-AA0C-A3253FEA8F0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D7A383-20B1-45EF-A527-6ECD6A330DC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39A2B7-F75D-4273-BBE6-0823630678F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4DC6E7-870A-4CA3-9D4F-7D27A808DEA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F77950-4E71-4CCE-83C6-5BEBC911782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27EC7D-7504-48D8-AE3B-2D4F330D485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0F6CEB-83D1-4764-A4CB-A05D320F37B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21CE68-EF90-4A92-8A4C-FD45324D973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7BB465-2534-46AE-B0FF-B95AA25BCD0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682956-B216-4E70-AF09-4A55DE394F8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946826-09C1-47D0-B53E-F0E691865F5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CBA5AD-5F6A-4265-B2F9-16BBC4BCE1B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4D19AE-74F5-487F-95DC-33A59369382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098677-4309-47D1-8FD5-81F0D7F3994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7DD94A-725E-4818-8118-70702160C93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A4BE4B-901C-4914-846E-7E8F8A0AFEF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A059D9-8263-416A-9546-F2CFF18A369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B07582-82E6-487C-8AE6-529788443B1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1A5F4A-610F-4BED-9C42-EFFF3A8F6F9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FBA32F-5B78-4C24-91B9-CF067F7BB18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F18BC7-9CC6-4101-9EE1-F028909DABA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25B295-6D1A-418C-A913-8DAAD340092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0B06A6-8E22-4677-A65B-B3AF7E67106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FA0D4E-8720-4B44-83F5-11BF2561C7C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7ED9F1-2912-4685-B191-4FCE77A5F99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32F612-7A1D-4539-94A7-030C4380BB5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AE95AC-8C6C-48E3-B7CB-8148936B1F8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4C90ED-667A-4C39-BD6E-9783A7421A4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F5C678-22AE-4FA3-8B45-3B21647C76A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5245F6-997B-4B5D-B090-FE511772E0D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97BA2B-9BC0-4F49-BDBB-04C3206AB82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8BA9B3-D2AE-4557-B249-914F9F3C544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464DD0-B30F-40E2-B909-6E37E804D58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1947DF-4CA3-4887-B0AA-11D3C7C77C5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600A29-80AC-409C-BD40-FD12F5CC7AE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B1888E-1760-48FC-98AC-95A9573D819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C63206-9ADF-4A70-9ACB-0A5D6EE2D35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E2B751-0388-4E4A-A1C2-CA5C1AFC0CA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6B08FC-F21D-436D-8AB2-CBF0AA215A3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8DA4FA-2DAB-4972-87F9-A1CF31F8FDD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FB1A39-0891-4CF1-AA6A-DE9B887CE68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5FE600-6CEB-4222-B1F9-6B34851CC4E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58918B-B5A7-444A-BA21-0D8791FA70C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4DDBDB-5224-4FB8-BBEE-6F97F558A6D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2DA691-2866-4569-A9BC-591B4D79B55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0438C7-71B9-4024-A473-6231B2E00CC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107B18-7084-4E9B-B89F-8516B18887B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AAB686-A937-40E4-83AD-029984B7348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890A94-6B35-4AF8-ADCE-9D86F22B12A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E9FA14-392C-490C-8244-EBD28791A4F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D8EE32-8401-4529-9A76-BE1AE52FE11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0C34E1-BD5C-4CE0-BE8E-45D6FA1F830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20C3B7-CA46-4BB2-97EF-87F467ADE56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95C417-24AA-484C-A21E-D88E7757F15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90DDFC-4C05-4068-95D1-3A9E1028440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25E38A-FE22-40DA-8FD6-B952B7A6EFE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F82BB0-20A3-4313-82DB-8C84A89F362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64815E-0484-4ECF-945B-52596AAA965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C36B59-AD74-4357-B90F-01EC2201CED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3D8304-4568-4749-88BA-7AD3ED05216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F2D981-B397-483C-AF0B-4969ED1BB73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12C38E-17A4-45A6-893B-2811EA2ABA8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D9C0A0-897C-42DD-9D2A-9EDBE70AF94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E937C2-ADB0-4699-AA4E-DC24618AD42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095F94-B62A-410A-BF69-2D67FE79D16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B0021D-C529-4952-98C6-BA696358966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28A52C-B5F4-483A-9AC9-1A957391936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1C0FE3-D3CD-4B64-9E6D-26611F7A0CF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ADC9E4-B99F-4C7D-A7FB-7D55FB396C4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1A8B2F-E477-4F61-9B1D-9292D34156F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683E80-9515-47AC-B99F-E615564BDBC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24ED30-9A52-4429-9AFA-37CA7958471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734194-51D9-4B9C-9286-A09A8026627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E24DDB-0C04-4C9E-8A9A-5FED1B848A1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E03EB4-0424-44CF-9F2C-60DCEC01412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DAB46E-6AA8-408D-89D4-98BA085E80F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C24007-DFA9-476F-B8C5-E5B790E3D40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1D66FF-4EAA-45A4-92DB-0634EB30C1E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72372F-B6BB-4617-ACC3-F9022F28556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42C18A-2A25-442F-B8E6-13170FCED24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3724DB-E0C8-474F-8EA7-906ED3C1662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EEC4CF-EF0C-4043-B713-C819F1EC39A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AABE09-59FA-44E0-AA13-DBF2EAFFE42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35C0A2-92E2-4518-B0F9-AFDF5D3D353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BA17F3-5FA2-4726-BAAF-E0C01D6BA74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BD8F1A-C3DD-4C29-AF25-D0470DE7351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44654B-CA5A-4017-A8DF-4C42D2EE736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00597F-D80D-49CD-8722-DE839B7C5DC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D21F77-F54A-46AF-B734-EAFB41FD0AB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78BCA5-2C3D-4298-B3D2-E326DEECF27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144E67-3BEE-4E02-B657-170658BDB14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47D03A-5A01-4147-9AB5-866489F8FDD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8AC879-1AF4-4937-8297-E3AF6514313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B1FFD3-8019-4FA2-88C0-825071B5031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E6D6C7-8F78-4D6B-A3F1-52C844C89EA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2E574C-D256-4077-BF7C-8CDE05013F3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5319E4-0DF9-4B2C-875B-D34D9C74E03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F7EDC7-375E-4EAF-93D3-75932340C9A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890FA4-1FFA-43BC-BEFE-8FF9FF694F6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BA3A4B-C788-46AB-BC9B-98DB8A31E15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DE1E0C-1CCF-4AE5-8870-EF7FD987B8E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A4A724-01FD-494E-ACF7-B033B4EADF7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1810F2-35F1-4280-B35F-5F51D2D489C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3CFA40-70BA-46E8-9C0B-6A3E7ED5EAB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4837A9-C0F7-4D61-A620-458644774E8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5522E6-12F5-4AD3-9592-E4AECC347B8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279403-15D2-4E83-A7E2-F4C16F590C6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C7D050-8D1A-4995-8340-F0A88F46147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CD3930-5D9D-4526-B192-6DD2AD7823D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19AFC1-2311-4B39-AD65-C062E415412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C61F59-2A2D-4E76-A9DD-A2DA8740F2B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95D014-355D-4EE4-B33A-68A2B9B072D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509095-CBA2-46EF-A47A-060E5BE39F2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E9116D-F0C3-429F-8060-0F4740615A8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372259-E636-4E0C-8616-28D5E49FC69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8F858F-4008-489D-878A-4BF9278A69F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023523-DD8E-4CA7-B76D-21020D2422E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1275AD-C455-4512-9CAF-91012B2B0F6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FEFEA4-1FF8-449A-98A0-1C5428D290E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B71E56-566D-4185-AB80-58FB88FAC3D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D9C17D-5F54-48FA-B797-F87CA749BFF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C01049-398E-4F64-8125-E944498027B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6D6E3C-C74D-4E08-AA6C-707915AA1F5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065432-5979-43F7-ABB6-EF6F036E603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47339E-F275-41CF-A050-C6B2BA6C24C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46F4F3-7340-477D-B586-555B223F109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641E2B-370D-4EA9-8AB8-52DDB8D39A5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6F4227-A6A7-44F5-8EB4-DA9D3F264FA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261F6B-645A-423E-8CE9-A0AD2D9EC4D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806CAC-86C9-4F70-B1E7-4F47F85C6C9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CA3C36-3BF3-4F45-B8DD-FDD9AA70B78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B75373-37BD-407C-BA77-F0B9FADB107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12C2D4-D52E-4BFC-AAE7-B478BE76FFB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D058DC-D19E-43D6-AFA1-0DAB9B5F5EF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AE362A-F2C5-47E3-BFED-030B1EEA85B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25F58D-2686-44F9-B89C-5F4AFFB3E88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1505AF-17E2-4EBA-888D-B0329F971CB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B93C72-2094-419E-B883-216F4153603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04CCA9-BFB9-4621-93CF-E620E8688E2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55EFEE-907C-4062-B40A-D8FEED66063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4CB73B-6042-477F-A3BD-69F6ACC74B1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316AB5-DCE9-4970-81C5-F035515D8E2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547352-0300-42C6-A665-18192FD1224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736CBC-340A-4D06-9D38-FF2FE000268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72E723-0BD2-4051-AF42-64EDAF2B89D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C4D146-55B9-4B04-93EA-94944A6FA39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402680-DC3D-47E8-B6B8-1337ED47F8C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A4C824-3B51-4A86-A2F0-DDDC184A142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1997C1-0F4E-4542-84CE-F14D8A14F59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CFEF6B-99ED-4ED2-95B8-F826BF160CF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CFA86B-240D-4333-8E55-8BC2B8D0F62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FBA791-F661-4C1C-A398-56557EBDE7F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7E311C-D1F5-4A14-AE01-1D98809ED74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8628D8-B271-4F3E-83D1-E23BBA5E3ED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37BBC0-3982-47E8-9C71-35326964934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180A1F-CEE4-4597-BF38-71C52E47826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B65FE1-DBE5-42E7-8B72-F45AD3219BE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A30324-CE1C-4E8A-9726-0E4EB348D93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31170B-C8CC-49E7-8D0A-3947FC0418F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10CD97-BCF2-46E9-8557-902432FEBB0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573CEF-0EC5-4D2D-96C7-A6E6A83466D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B66FEA-8966-4A40-B0C0-9EDB6D7ABE5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A0057E-88BE-4F33-B3A5-C07BD7F4FA6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6E14FB-45E6-4DF7-9BB6-27AF3C8EBB7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34364B-6ECF-4889-8DB6-0123C8DB4BD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E81DB3-6677-49FF-9D29-E310E0EDBD3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EE92C3-3EE7-48B6-90E0-BE6EFA37B7C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B3EFB0-E5F7-4124-9900-108BFADA8C4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BCA41D-79EB-498D-957B-25C667A0DF0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2647CB-D469-4FDA-8380-B0AE0DAC770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17ED3B-0957-43A9-B3C4-9A0A3C1A45D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2625DB-5F35-4258-91C6-D13DAE344FC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615E02-5B09-40CD-A4DD-2CAE98937D7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F990A2-1522-4E8A-84B0-2BE09DC9543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100A10-14BB-4C4F-949C-B644930B50D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95C4C2-7881-4F8E-BC40-A5029B4C206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FEA381-17E7-4AA6-B5FB-7B36ED9F855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CC0829-926A-4BB1-905E-798DAE2D79A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43BAA5-5DAF-409E-92E0-584C25292C2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998D30-132F-46BB-8458-78297B21E49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A38883-5EFD-4882-B308-F242AD11D66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F4728F-FA62-4EDD-8B34-4E8EFAB480D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0EF964-DD3F-402A-9D53-F7345E8E2E3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06C311-8020-4A0C-B0C5-235295A9D70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A3DEA1-8A65-4861-98CF-394722F8B0A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4DF1CD-57A0-4DDD-8934-1663D955EC9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C6EB2C-8F89-43F9-999F-97F3A6CA2EE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50633B-7F55-4207-A4CA-F072273BB47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354089-2680-49D2-92B1-A999E793588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CB087C-2F7D-4B75-A14B-2EBBB2291BA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2021CD-107D-4D59-9C01-6226130711B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670E09-A217-477D-B56A-7A8C9A45F56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48A12F-9311-409F-9780-AFDA38B2DDB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0F5661-CB54-48F6-AE7B-EB53E9CE458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E13577-0449-4715-BB5C-EBC7E6F7FC3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81636D-BCC5-4CF0-BAF6-E4DFA14EEDC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A15733-BF98-4982-990B-8407906D41E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C0E1FD-A2E9-4BCE-A033-7F581862C26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770FE8-057B-4082-B2AB-FC8B874039B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6A0253-ABC0-4AA5-BA2F-432480D6A3E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92E0DF-3E9E-41AF-B428-2F7F9F92088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7DCC59-95F1-4417-B86B-B74847D3B73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96FE4B-78C4-441B-921D-6EE88AC3C8C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E2A5F6-A835-4D62-81F3-E4A0B4FC48A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E09548-DBCA-4AC0-AAA1-75133EF664C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4B5143-C827-4A37-8E47-DA67E4BAF18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059D93-22B8-4D70-BF6C-BD6F49DFC5F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153E87-24F5-4FEB-8428-9B096660F9B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D276D6-89D7-4341-8EF7-51E4FA127A3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265E54-892F-4B7C-BDFA-B72EFE1EB27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773F6C-A106-4A53-83CE-20DDB35B188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47A9EA-24D4-4F0E-85A3-6B3A00A807A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0CA0CD-AE2B-4ACD-816B-BDB011DD66F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BC0580-7B4A-4510-9859-B641DF57E59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3EE1D0-BE8C-4E40-9D80-98825AA0D51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677CED-0E50-437E-88F4-979A6FDCE49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FF40A3-FE32-463D-BB0C-5806CAC9B9A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CFFF73-C8C6-4DAC-9D70-D8528C432AB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A56F66-9831-4DAB-A236-AA808BA95DA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320AF5-AD7A-4E09-ABA1-3934C56BD8F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A4391E-30AF-4EC3-B888-0BA42E73401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7029CC-E6CB-4EBA-8B78-A8C954FB11F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CAE317-C58E-430C-895C-9D93CE041F0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FA081A-176A-471D-940E-0052DE8BE56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99BC9B-E5BD-4887-85CC-9C2C46CFDD5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EA24CF-3751-45EC-9133-45D7400A141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C7DC63-E291-45D3-9230-7244D2C1F49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478BC6-78DE-4AB6-8866-21A68AD1B51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99CAE0-1426-49FF-B01A-01B30F3875A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130501-E63A-4A43-B533-1586BD18C49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105</xdr:row>
      <xdr:rowOff>0</xdr:rowOff>
    </xdr:from>
    <xdr:ext cx="304800" cy="304800"/>
    <xdr:sp macro="" textlink="">
      <xdr:nvSpPr>
        <xdr:cNvPr id="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3FF691-50BA-43C4-9EAE-94260888AB9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00529B-1032-4226-AA92-975B5C2C98F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E1464D-8A6F-4374-A436-973EA373BA6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58CB59-20C0-452C-82F1-5DF367A93FA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544A66-E198-4914-84AB-BEEBCD1528A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F0CFBB-5805-4440-A285-9D2439715F1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A66F08-7C6F-40C6-8C47-21415675112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18CE56-1E55-491F-B54F-5A821C3A03B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866A21-89BC-4824-8C69-05356D08EB1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C116A8-90DC-490E-8FD0-39C3FFCD05D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3ED524-E037-4395-9F96-120D1780EA2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38B12A-7C45-4852-8FC0-7EA2CFFC3EC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8C5471-116D-4F3F-903B-38FAE0432B3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99DBF5-B8B4-435E-9045-0CC53600C1F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65BF6A-1D7F-4487-A186-4A945F10294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174E58-479E-4DF5-93B3-352E5398399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8E8D10-9DE2-45C9-B7A7-556278578AC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78932E-5B67-49FF-AF55-933E4F37A28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A30337-1550-48BF-BB44-B36B37B0757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C8E973-6236-4C89-8A35-161B5485F2B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052784-2C06-4A76-BD39-E24D3B1C036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777E83-C1FF-43C2-93D4-F23ACC7365C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38CE00-9536-4EA1-A2F9-D80E49D5AA1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78D650-73B5-46CC-8212-2E5D0171AB1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357D27-9282-40D1-B519-415BD8332E9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FA2306-FE4D-4D64-991A-45DAC51CDF2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1F6045-8A69-4A4A-9FEE-565507CEB3A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DA2189-CE58-4D04-BA9D-C2165471E81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5A6562-7A03-4649-BE63-E380160D2CE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88885B-FCAA-42AC-A03F-5F01DA3B612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41F552-8C2A-491A-B625-E929514FDFB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B832E2-4DDF-46D2-88EA-A93D8A01D23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B1F6AD-BF33-423A-B6F7-A21862188A5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A14875-A135-4623-BC75-DCD7E990C68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600C0C-41D5-427F-8FFA-6AD2481C81B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9AB6BC-C680-4747-87EB-053F0989D1D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949E26-4A95-492C-A327-EF4DFB8A75B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63A5B2-F6EC-4B97-AB32-30A0AA77635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B9CEBE-CC7A-4895-91C0-D35CBC8CA85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1F125A-AB19-4FBA-89B4-EBA1B94E438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25640B-E608-4B4A-A556-D3A486F65A1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2107C2-54C9-4F6E-96C0-189596FA410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C1E219-9B4B-42D0-A75F-06355B86B37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9B622A-5D4A-49DC-BA18-AB77BA36C95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C032BE-E1D0-4D59-BC65-49F68D77760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FC9E59-F450-4EB8-826B-BA2C4916CE7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C8074E-B539-4BDA-9093-DC08BCE3044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50A163-7DB1-4DB8-80ED-32EEA3DD8B2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688011-EEAC-4992-99B9-B9E172B331F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8CCE4A-CC24-47C1-9A14-762E4E967C1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D4296E-B959-4F7E-834F-7FC0F809F0A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BEF2D6-2322-40CA-93E6-A9DFCA19B9E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6029E7-169C-4A3D-951D-4FF0CB2A268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5804CE-13E0-4669-A27B-6AC32EC0439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14E143-C563-40B5-9792-55272FF621D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DA3F08-183C-4097-A01E-670085E1BDD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97AF07-0935-4E13-B60F-B423039523A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494B93-5072-4055-B848-85033CD5237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729E62-8C59-4D13-BE37-79D9D1C6951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6544F9-8537-4701-B7DB-AF2B60865B6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DCEF31-ABEB-4532-94CF-D0737DDDF28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10210C-009D-45E7-BDE1-ABBE38AD6CE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691B43-183E-47D9-8D3F-8835ADB3180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3EA66C-9DD2-4327-BF74-2990DBF3538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B3D446-4D5F-4F10-A17E-17919436CB3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A8F6B2-0F87-44A8-9709-7745E35CF10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25B89D-560A-4012-A1A7-5EDD6986CDF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BF633E-4D11-4F15-88F5-985F931F76C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1151A1-35B3-478D-8A98-00DC3673714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6DE69A-6476-4DCF-A762-87859D891EC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E45179-2172-42C5-88DD-81C20F41EA2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8DD3A7-9397-421F-AC6F-0E256623C54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1A2129-34AB-4724-AAE7-F4F491D5080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D81B10-CFBE-4611-9EE6-ABEB049EFD9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8C441B-6202-46D9-863A-765BEB5218B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A6820F-C634-4D1D-B5BE-B991BE0AA58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676568-73AB-4F86-8F5D-7622FC1FFA3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924445-31EA-4E8F-9118-49E0C89680D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1958AA-8E88-476E-8308-0FEB95C7944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362D44-E11E-47BF-82AA-23F6AAC9230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F0F26D-5D4D-4BDC-AED2-5C35AE12EDA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4E88AD-4E87-4A6B-9662-186BE071D14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6CB0D4-EE30-4BC4-929D-99FB9B6AE78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F34CDD-D759-4434-BC4E-5F7E484BA4B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1FCBFE-C5F4-4C4B-9923-1B97C6F7A1F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31FEF8-29C5-49C7-9C3B-87557D870BD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B26DAB-4FF3-4B71-9D85-DAE861F5C7F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1D87B7-CF02-4AC2-8A64-8C319DC77EA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4160EF-9555-4893-BCEE-0CC52F99BD8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DB62AF-FE5B-41A1-B547-D01AC8A0B73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7FC176-F293-46FB-A752-7D6877955F8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870BF5-BA95-4F5E-A818-7502002254C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28AD96-D8D0-4571-BFF2-1E2DBA221F3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2B59C1-98F4-4295-ABEB-5DDBDBF40FD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4D27DA-E6B5-4622-AB00-633B17543F3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9BCCA3-6EDF-41CC-8443-328C8F47445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EE9DC6-1C0C-4C43-8E11-2F5604B693D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B2E91F-8C13-45DC-A31E-C261F32706E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35F483-9E9D-4E11-A467-2ECC5A728CE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9CE207-40C8-48BC-8A8B-70ADA228AC6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27A3E5-D10D-4D05-986B-4B63BACCC6F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14DDBA-C06E-420B-A77B-E8BA227FBB5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7DC0A2-CDCD-4D97-B284-37BF94741F2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C3BBCC-1403-460A-9CB4-FB9EEA8382C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FD8523-8980-4287-9937-C00497DA64F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183BE2-481F-47D4-A3CA-ADFD2EEDFD8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14BD26-FBE0-4E95-99E4-E215169AED2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C19F32-1DFC-48E0-9ACB-A51FA4AA150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94FACE-FAE3-43D1-A08B-874AA802B71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2CF6F2-28A8-4990-938D-B1855046827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00C1E6-E2A6-4E43-9546-DFB3C7B263B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5CC23E-1A35-41EA-9C0E-E08EF1936F6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6C1A41-3D70-4BDE-AF2A-498AFAD6E6A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B84FB2-23C7-4D32-9609-5FAD335A8FD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0E6EFE-DF09-4C2E-BE10-19195EE708B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5F2BA2-D814-407E-BB8A-47E30C5730A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92074E-FD6D-46B2-B972-96DE3AC9FF7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A25E0E-7F33-449F-8FE8-F0BB1D52A6F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C44488-FA22-45F3-987F-3FEE7725E06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E6012A-C1E5-491A-A8D5-2BEFB9088CA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1CA4B5-7711-4CCF-9011-741DDDC60B5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028A2E-FD10-4F21-8DAB-BE1BCBC311A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4D2D0B-0E4A-4C0B-B0AF-A5897FABD40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81393D-B857-46D4-ACB6-DBF772F80F9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C63995-1384-4472-948D-4F0E2E2F566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CE83BF-3A14-4129-8FC6-13CC60A0FCD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5D217C-2FC7-4C4F-97B2-44B16E002D5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4CDF93-61C0-41B3-B5F4-832D2E54EAA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512DDA-0E55-48A8-BC51-DBCA40899C5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C064AC-0ACD-4BCF-B13C-39C06812DB7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DEC8C5-9D25-412E-A762-C69E373F72B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E9BBA3-2BB8-47B3-BCA9-7CC4DA12E0D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334377-C41A-4E3C-A5AC-50F3720B66D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2CF506-A312-4F1F-B478-FEA2183347E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89FB51-58B8-419D-BDE8-D8646A41C7E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7F3A3B-F791-4D1E-A685-54C3D6DD27A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C996A4-9D04-4553-B565-73D6FD969F1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FD7E30-394D-43F3-AEB6-F43BA2CE321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00A1AE-10E9-41EC-852D-9CAD2B064CD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FADF8E-D527-4308-90DD-F9D5B5B9B8C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663F3C-C25B-4886-83A0-9A155C30A3A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4B0F0A-D495-431F-867C-99A579289DE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BE0280-105E-4366-8538-2937A0A067C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66274E-C853-4F3B-909E-6F14AEC4AB3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C8870F-0805-4A63-B3D3-78F9E881346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82DE41-768A-4147-AEAE-43AB50C6F24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1FBB8A-F425-4C9D-896A-342C0AFA6DD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4420E9-135B-47EB-A57D-D3D9C2BE722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C2D2B2-7518-4B9D-929F-D1F62ECA74C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F62A8C-E8C2-44BC-ABAD-7AB12AD842F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DDA936-5A1A-4AA1-BF11-DA83B59FD8A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279A39-21C7-41C7-9BA2-6A4ED6D24DE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C60CDC-4A43-4C27-B1D1-FE2E978AF99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4911F1-9FE5-4869-8FEB-D45DA2F096D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9854E5-4A66-4743-AA42-0ABA0B47271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B11401-A3B9-4935-B256-AC7627C508A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886020-EEC3-4C40-A9FA-D3BA5784FA9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17DE01-B905-4F5E-856B-C8678F15882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BAE89F-7328-4F91-8F4A-8999779332E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61F47C-DE63-4858-BCB6-F24109912FE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0C8B49-D25A-45EF-A2A6-F41C4E46730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5703A4-E4CF-4AA3-A80A-1AD9B276B39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9E8491-FD66-42F5-98FD-477A3859C59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FB846F-D98E-42FB-928E-6CF52F6772A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CC2BA2-BAAF-444F-801A-72F3B63EF34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1BF020-B7D8-4A68-9BF4-37759E353AF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38E0BE-1550-4B4B-8364-20B5A850DFE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7990CD-4604-4F5A-9722-EB5110CA35C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C35D83-0DCB-4AFB-82A1-C62EB58E441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536320-72A6-4FE9-94EF-E60B406E277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209A4A-BBF0-4FBD-8491-8F25572E812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2E330D-00AF-439C-9B48-B5754EB78EB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14AE0D-8907-4A86-9E9D-9A73EE26618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273443-73D3-4052-A05A-56F974FDE79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B1B173-6DFE-48F6-9CE7-15A56033AE5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E719E5-25FC-4FFA-AD46-8832272BA73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0F7E56-B59E-4AE3-A559-D40F6FC02C3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C0C3F8-C2DB-4575-916D-265230E1477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F51DE5-4291-4E31-8953-0FFF0C0E89E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594298-61EE-4CDC-9962-58B10209DEE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CC1266-8636-4C80-89BC-8EA429593E0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D29A82-A18C-477A-AFF2-49EA858D878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9A1C6D-5F2A-4F09-B05A-B2A68417E8B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CF3A30-AE92-4A9E-9227-2C1295D01C2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CB98E0-8F16-4704-A6BA-06753D1856D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447418-3AA3-47F3-91AD-500CA01BADB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44F7AB-3D97-4A3E-AF14-65074A0FA73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07C687-7FFD-4261-B599-C7B4015462B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675690-0EC1-4D30-9B4F-C390A96FAE0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1954F1-E40D-479D-B554-0D9A300517F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CDDF39-F56C-42A9-95B3-09F25A2CCB4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3DC95F-48E7-4EEC-8CA5-D5FB2B07DFC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759F75-7D45-4AC9-AE0E-5946FEBC317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40CBDF-9CEB-49F5-ABEC-6EAA43AD318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FC9007-AB6B-4299-863F-430F0449E5D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EF3F76-4E44-49D9-AF1B-947B022FE1A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AAD1CD-BF24-4BE5-8DD3-FE6844AFC18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238DE8-9C1F-4667-B018-315C2DF40BC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09AD7B-CE52-4B21-B6F0-FAACAB1499F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48F293-3391-415C-A0E1-7D4242D8BA4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00F395-75A2-47D7-A531-5D241645A09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D2B5D0-7967-4B5D-9731-6E4E55FCFDB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1E9473-EDA9-48B4-BF62-DAB2C597422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5F515C-A3FB-4A6F-87E9-C9E05DEE896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BE96F6-E8A3-4FEA-9645-9DCB999125A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10745B-9DFA-4464-B1B1-4607C7A5A66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1BD539-6B78-4E28-BFED-F72829862DB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CDFAD6-211A-40EB-A612-9EB9D09EF0C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A1BC2C-5EF7-46BC-ABC0-0EDFF5BD6EC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5371C0-443E-4BF2-8B78-79BEB78EC06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0C43CF-B901-4FA1-8A09-75CE3848E97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153DEA-2EE4-487D-BB10-967044CA1C7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DE92D3-7125-46C2-9BD9-13FF044DCDF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3627AC-4634-4C9D-81B2-B40F1DC83B0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9628F7-F613-4830-8A99-3B046BA33B8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EE23DE-0B76-4192-89A7-A38B8D55DF1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55DED7-97AC-4B99-8319-743E4CB0632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8F8C8A-9115-444D-A9D2-52164DDF95B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0D4EF2-4FA8-4A47-B69C-4001677D82D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D24244-ACB7-4A97-9C0B-48B2BB46B3B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ECA0DB-FE8A-48DD-A046-B15F9DAB2D9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A45C9F-488A-4749-9C65-558835D271B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52D6B4-3B1E-4CE2-A499-A12A71E6E9A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BDC85E-30F0-46A0-8350-B23294EB026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C7DB83-BADA-4734-B74F-7BC37182109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87C942-ED18-4BAD-A6E0-5D9C57744FF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7F9B5B-0B03-4ED7-83C9-692B49D6986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E6DF60-C91E-44E2-806D-5D6B187212F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545B80-31CB-44EB-9C20-DF22A8C2662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180EC4-1ECB-461F-A3C0-B11FA3AF432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62AE68-2FF4-4A59-928C-134BC587BB9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74E2D8-5A95-41F7-8B01-0235EC31ED6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DE2778-22C8-49B4-8C18-235BB18472E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0D88C1-1BCC-4F6D-B5C0-AB8DD90DEE5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29ADAA-6824-4DD3-BAF2-D18D89AA95A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D9A1B3-1E62-4675-A2A5-CFE69EB4C7C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B25805-3D60-4F04-888A-7231A470244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F7FDA1-7189-47BB-B3DF-E4F1145576A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7231B2-6948-4C85-85BE-0E02563CDFB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CD9CED-5653-4B63-BFB9-6B62DB41B9B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7CD5E0-FFCB-4906-A671-A6D765B1D7A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530001-6C6A-484E-9B9A-941A8C3BF49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CA2737-03E8-4723-BAE5-0764B9A6B30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FC34B7-E56C-429B-8399-860BC357221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E5782C-0487-4040-8304-89F4E02A4EC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84D370-A917-4081-A823-740887FF85B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7D4687-52AF-493D-BD4B-207AACF311D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6D25E5-E621-44E3-BA93-40C1B843325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FD5994-8BD3-414E-BFBB-721C714B4D0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001C84-797D-47D8-B0BB-276445FD3B5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377349-4E90-422F-BAB5-26A0E74211A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85B249-8DB8-411D-A1D7-A3578192395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BA6EFE-D1DA-43A6-AC23-6C448CD126A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E0D2E9-A1D5-4045-88BC-183B590A5AB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8EF36F-C1C1-4447-B550-CE3AFF94D14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BFC1A9-CE57-47C5-9EED-E36F4EBF616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85F433-2C25-41B7-ADC8-0510C7EDFDE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BEA41E-3AD5-4AF8-A25C-F1A79C14B03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7430D2-D2DD-4082-B441-3CDD6EDA0F0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1C7142-D818-43A4-9B35-AA9015420B1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9AADAA-5A00-436E-B303-AA65CC6B152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ED7E1C-6484-4AAA-9CA7-210D83B0D72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0BDF76-D730-4F82-89D1-F667E29B609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BE9A54-7A13-4E18-B437-9B35CB7FC8B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1B8789-5084-43B9-B69B-78C75A1B81F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D5D2E1-67DA-4B04-A242-E293F2DCF42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CB434B-AC0C-48B3-ADFD-C5FC1014DA7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04C409-8EFA-45A7-84C1-F289786B5E5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006177-1AB7-4939-A43A-758442320B4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02AD02-B3BF-479D-80C0-254D8FEFF7B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896FEF-EEF5-4FAC-8F4B-E86B62DDF04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860F9E-30F1-42DE-BD28-4C57C6FFA65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75E1D4-3F41-4DC0-B889-F6261668776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C97C62-C5A9-4FD5-9958-35CB9AAD431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00206C-762A-4540-84F4-38AC0D373F0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D26740-7174-4BC7-A4F0-D82898F6A83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E305F4-CA58-4FA9-9046-8DC55963415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9E2EAD-D0C7-4E66-94DA-E009DE80AA7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7AD9C5-28D9-45FA-B2D6-E77818C361D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671A80-C7C1-4444-85B2-1E54B924BF5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716141-1D7B-436C-8D08-B3724ED597E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526DB5-9140-4B6F-86F3-AA0CBB45C0D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3F1AA4-A91F-4683-B63F-E8499E39F60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7D3D49-F33E-426B-8C1D-236B89FF4ED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13A35B-847E-4A22-B3FF-D684D32913E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0E010E-47EC-4118-A8C2-C6CE6926DA4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CA10E4-8D2B-4DA7-8D89-E3A36B47019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03C912-CFF3-4999-B9ED-1B09DEFD754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30B994-7259-445A-AF69-6345DA231ED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93855B-8429-44F8-AFFF-D49ECCF5A93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6B8A78-BACE-4B88-B120-9AB95F5D5DE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F839D4-8858-40BC-9523-812DBB54128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EA2B14-40CC-4FEE-8889-6496D6BA06E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EA7FEE-C756-4E28-842C-3B1CCB41515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A36EE8-0B3A-40AC-BD86-EFF63E0E419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B50CBF-C7A5-4991-8105-FD082B7CEEB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667D9A-C022-4D98-AF38-7511727C84C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91952E-0445-4BB7-982B-33CC97EF6E8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66DF13-439D-451A-A7FB-F47E93375D8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F8BF33-25A6-4A51-8B41-DAF99F1B622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8C8890-0D91-4A76-A574-C305AF08344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FFAADB-9D31-4556-AF53-BC4BEF136F3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52BDC0-D6CB-47CC-B55E-9350AA45508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BAE716-4D9C-4198-A386-C6948987F7D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A52D46-EAEB-43A3-A953-F0D2BEE79C1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CC9BFD-9C4C-41F3-ACD0-4236F2776A2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781EDB-4760-45C9-A8CF-6AB40326727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A163D6-0856-4821-B48E-83EEFB688F1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5AC876-87DD-42D2-B7A2-EF006E16566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4E301C-64D3-4207-ADEB-635EEA1D555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6B064E-043B-4FDF-BC4D-AB0E08671AF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EF1687-8C72-4B3B-8B0B-ACAC5768A25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E09ECE-18CB-4482-A328-518E0DC1027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1393C4-F0DA-4C66-8680-0D0B0DCA659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E5F4DE-62CA-48F6-BB16-F5F6DC17585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0280D8-CFB6-45FC-9E58-FF1D7B78AF1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FEA673-F881-4586-A0B2-0B82C6FF94C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3B7608-AB37-4977-83A2-DB66941E4C9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3BEB68-2A6D-404E-8537-BFDDB2F9E89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D44747-C279-4396-B0E8-7D9C786B475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29F9EB-85DD-49A5-A08A-09323826E24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530513-7763-4FD2-B206-1DCF4C1D0C5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FA77A3-3B2A-49E6-AE2F-8021A25F69E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A2A0A3-CCB5-47BE-A58D-E50A78301CC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3AD850-29C4-469B-B05F-0D36A2C943F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5D2F5F-7AAE-4213-8973-A8FCEC3F04A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F750AC-D8CE-4A40-9D93-9362F49EF6D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5D9C41-03BA-484A-B45D-ACD4942BCCF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A44632-0D8A-4D1E-8C7B-A680EFEBB27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AF5FFA-A8D8-4206-8704-3D9D1BE17DB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7908BD-B9D0-41B4-87F3-08D0277E833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5C6FC7-E595-4D3E-A2E6-F4E0DAC1014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346A1B-0220-46AE-939D-570F971DDD9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81E7BD-1640-48BE-BE67-2F601D2FE83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99F31C-ECF9-4864-AD50-37866F13740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6A1FD0-1EBD-408C-BE21-C37F870DBC0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7BDD97-5320-47C8-9890-E03D1B6C421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6FA5B7-5003-4D42-812B-EC5F5BE9AFF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38DCEE-61FB-42EE-AAEE-7157D040450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01AA9A-413F-4FA6-BAE9-FDF473860F6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D72CB8-87D9-4BFE-A999-A2F1D0D3EA2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7A996B-8AEB-4A70-95AB-B85DB49D86D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5667BC-026F-472D-9659-99209296466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740227-BD45-49FA-AF79-4FD4941D8DC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C5FF7A-607A-4745-A838-0DBF6068497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FEEE49-69B4-4003-ABA9-0971C4C1D03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C57DE7-1DFF-402D-874C-ED01964D276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139E5B-AD34-4CEB-889C-E097FDCB253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02BE10-6728-4608-AE12-503D056DE4F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78B125-DEB4-4629-9AAB-5D2AB6C90A7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F90FD1-6A6F-4A0C-A2A4-CE3E5F12115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537E54-4BCB-49C9-89C1-D43A54C3971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3CC498-6D9C-4106-9EE8-79FCE5AD85D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7B816F-5AAA-4B02-97A2-4DA8FBD43BB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F2EB32-B33D-4025-9885-15442B95416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09E30C-2EC5-4B6D-9404-72BB6847A08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9256C8-C0B0-498F-B68F-B20876C7415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432195-5B95-42EC-976F-C30E253A9F9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AF39D0-5719-4AC1-B153-3D57A6A29D5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DA6BB9-DAFB-4F34-809F-9A04E869BBE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DC28F8-9F18-468F-8C42-91CED975AF4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71F575-6B10-4913-BE16-45EA15A30A9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36190F-412F-46C8-A07E-7D465088CAF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6B4F75-B76A-40BA-BA20-9DA10F9ED89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829F5D-CCC0-432C-BD5B-66A53E8BCEF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951800-8DC9-49EA-85E7-95979002510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749C35-C935-4E68-9F64-05D5BFF4F62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22D688-3022-4A91-AD2C-D4427912146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E7F2F7-02B1-4634-8C2C-BA38C5A703F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E2A03E-2BEB-4D75-99D4-8FBC8E55C4F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2EA966-6438-4112-A52D-096C8BD8CA2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F0CA50-1D15-4A80-A0D1-B11C73019ED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118238-65E3-4C26-967A-62C5DF79F08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232DAB-8420-439F-9287-41CA2D1F364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222B12-D152-49E3-A939-F4F3EEE52C8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FE9DA2-F196-4B01-B502-10FC58B017C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A4A7E8-7641-4552-9B03-2173CAFF4A3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1C97C9-190F-4486-9E8E-2B3AABE8499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E69B3C-51FF-44E8-B135-2F4845303B8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738662-EB90-4CEE-AF46-AD8CD3E8F13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C10554-B743-4CEE-812E-583DB025076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44290D-71C7-4D97-933B-C200954C766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7C788A-7A5E-43AF-B615-678C2023608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ED5901-75D9-40F7-BBCE-E92A0603416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2637D9-5022-40C5-8040-FD68B877617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4600F8-9EE7-443F-A8B8-F29169E9ED4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03F7B6-5F37-4F58-BF65-A01994F14A7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CFB504-9312-4A40-845F-2714EAF1286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23C86B-86F3-4819-8D6A-540E149958F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53B2F7-1F86-485A-8224-1E8E81BED62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B0B4CC-C2DB-4064-90C6-8287B1035F0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2FAF56-FC95-4AFF-883B-13B033FF178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A84036-26E7-45B4-B8AF-77EB8C87893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6299F4-E1FE-48D9-9059-31DD3CE18EA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75343C-C6D7-4049-8755-487D6AB5FF2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6B4653-5437-4D67-B2EA-0D4798D4375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5ECDBD-4DB5-4B2D-9B60-089FCB16BED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35BAC4-5F66-4B8E-8500-F96E592750F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319273-F263-45C5-8444-C2207ADA4CF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74C938-9AE8-454A-AB2E-023325EC013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63B85E-E34C-413B-B075-6E9BC41606A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3DCBB0-E828-4058-B21E-32DB38562CD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CCE248-A4A5-450D-945D-B730A402D30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D78E9E-D306-4E4B-8175-47FFCD3031F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AE52FD-D5CE-44F2-89FF-EEDA4BB6BFC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42161B-CE68-421D-8704-BF664802234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46A033-8741-4800-8248-D99995B3CB2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1EA8DE-D946-4458-84CD-D29FF4DAC7F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CAA212-225C-4656-AE10-E5238C17D8D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CE1C80-5B1D-43C6-9B98-EDCBD528E6B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915A88-ED43-40DD-8435-1472081520B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DB35D0-5085-408A-94C6-12EAF3C3A37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E6C6E7-545F-4C24-8C71-D5B66D802C7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0A9FD9-E88C-47BD-BE96-C45E219C8AC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80596A-058F-4EEF-9537-E426019F75C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886ACD-7C28-4404-8BB9-D6E0E1A062D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3BE201-F702-4FAA-AF95-B8358B5BCFD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900941-2D63-42C0-9BF6-C361E4E8233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CA2FC0-7EE1-4452-8F73-C47F531B40D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4AA877-28D4-4085-A660-E416983A13A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9CA897-D5A1-40AA-B922-3415D12E637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1DFF86-C1A6-4508-83C1-FE5A86632EC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F5977C-82D9-4BAF-A291-535E58229E7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346C62-10EF-4255-88B1-DBFD42D8B42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77F5A5-43A9-4740-AFC4-F74DAAD901F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2F0C03-B09B-44B0-8C75-63DA3823C34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91A0BF-724C-408C-A6F8-1479BF01A04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F86CEB-2B56-4629-8A31-D6EE026DE83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67F209-FCD1-4433-B9C9-D74ECB3D8D5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A628DA-21A4-4A4F-87C8-E5E6F6726CC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D8851E-16D2-416E-9DD9-40AC0D28D84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A4A83C-A739-48F0-A574-E33041D1491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F4FC5B-BE0D-4551-8B07-DCFF819CA43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BDB88A-58F6-4470-8F84-A34A78A6A5A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65215A-C56D-4979-B6E6-30D29D0019A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8FD708-4E2F-4E07-8B4A-6B6B8AFBC6B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661CBA-F867-4A7C-85CA-4E339ED27CA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06BE32-EA87-4C20-92CD-B36F5313E86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2F4270-E0F4-4766-A1A6-B6D6DCF789D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3ADC91-DD1E-4F99-B951-D45778BD690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0A8E87-6A9E-4A29-B50C-79531CDCB78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61A996-041E-4291-8620-79C7F8DADCA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DB4860-62F2-48D7-B5BD-EBE72AABF91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CE78F8-AB1B-441F-A9ED-E0EBD7E2E79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223F8E-3F91-468F-8528-68AD00BA0C1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498712-C315-4FB5-8F03-B7B3E463609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C28AAB-8876-408E-A163-A62155D0241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85A803-5B1D-4B09-8C4B-2538B75A8CD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192052-13EC-4F6A-8EDF-168FD349A89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0C75F4-FF5A-4354-86F9-4821E32C23D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237302-1671-446E-B5D3-3541E51FA7E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DCA34A-FF5D-44FA-A9D4-3A371B40FDE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4421B3-1B74-4648-8B2D-30793B99296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C60493-3FD2-4D06-B1D7-4C5E50AB13E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B2449F-BD6C-4127-84B0-C2585811A6E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79DF64-8FDD-4750-988F-BFF12BC36C2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DDC538-2041-4D5D-AC20-8663D7CA66B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26BD91-B7F6-4523-8C38-702B1011577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3902BB-350C-4AF8-AD64-26B0C87F18E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DEE63A-B8E4-497B-BFB1-838B8517889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C9A590-5AEB-4441-8BD6-678F5743C4A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912FDA-434F-471F-AE03-5513E28FFB1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527493-54EE-4A56-A9E1-0E432D2098F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4C722C-1825-485B-B5B0-DBBF4C34498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80FB2E-D297-473D-A98F-179F9396E4E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B4DE9C-7A37-44E4-A91F-89EAD043B87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40AD43-461A-496C-B06A-38CFAB38199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0C9A06-7D72-46AF-8E27-D7C95AFAB70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5341DC-FD5B-4782-B03A-40CD546156B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6F7DBA-4164-4078-B4A9-EFC374CB6F0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E93E01-FE6F-4D86-88A3-211B458ACD7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D28680-245F-44C9-B8E8-D3B2E08B44F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561F8C-4302-409C-8A82-AC525FD8304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6528F1-49E3-441A-B4D3-8799E6A15AD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187AF1-7C2B-42EF-B253-F084967E477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B10A12-A9FE-4529-97EC-1C6ED85DE8C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27B739-8374-4AE9-A3E7-D937E36E804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D818E1-33E1-40B0-824B-0E70BA00753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0EC890-1403-4E3D-888E-1D4DB57933B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79E6FC-03E6-4C85-B27C-4EAA3EE1485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B10693-C61B-4238-A0F7-697EA2AA4BF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861A94-577C-450F-9FDF-352463B6FDA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D71663-7D98-4F0A-AB52-2FD81E9D367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66767C-BE2C-4F85-9915-E2CAF1263B6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3CABE5-467C-4E6D-924A-659DCFDC310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ADEBA5-0EB3-407F-9A27-1DBE244CEEF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3B361E-7EC7-4AE1-8F4D-1D909FFB920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956BF6-9698-493B-9889-A442161362B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8D0E4E-F791-46C2-BCBC-0CF37ABAD24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1D2DF2-CE5C-404D-B18A-0CF42563F55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F66E28-37BA-4505-B847-2A7BAE74305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798D72-434E-4531-A30E-57EC3E46AE9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407B76-0741-437C-B15A-F2418734BF3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535623-0294-44BA-B2A2-0C4B826826E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450017-EF40-4635-93BA-C0D3BF0ADB8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D0084E-B11C-44C6-AD83-AB2E576066B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7C1856-1DF4-4DB1-9C8D-4A632C17A8C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0D5039-0B4D-46B9-944D-49DAF626423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CAB7BB-A22B-4DD3-A010-A8FFBC5F671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5CBBD4-538A-4298-A091-CA09F0E0FF1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FF633B-2347-4614-908D-C0AE9D85905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7F8394-8543-426F-9936-74FBA2ED882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9546C0-EEE3-4AC9-ABAA-A00226FF5F1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FB1F0F-006B-4FE0-9B6B-0A941AC47BF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EB2353-B9CC-4A82-924C-6E3FBC4FF52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4EF1C7-2108-46B4-81E6-0C300A324AD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4FF6AC-EDA6-40F2-A457-C056E0AB9C6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E23E17-34D9-4251-9BDE-BBA3E8E1FC6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4632B0-074C-4ADC-AFB5-1E94267900A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84AB7A-65A5-49A0-A747-43ED0E6C29E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CC92B5-C8D8-45A1-9596-42F37E7C562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141944-0E55-425D-AB1C-3A3315D2E3E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9B9864-D510-4B3B-8A6F-84AEC4C1FE4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4414AE-5E0A-4CDF-A7F8-05AAFF7DE75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FBDFF2-113E-4931-9317-D63F50651D6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E86587-D100-459C-8836-7D63729372B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0BF093-21FB-4348-90C2-8325670F4F3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6EDFEA-F757-4164-BC0C-12558F31935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A23C9A-A253-4444-95FC-39BD54EA3F8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F36D52-A9E2-464C-A5F3-882522A71EE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C0A91E-18AD-4618-8C39-073A942E5CB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DDD55F-3A69-49FF-BE67-11B7EDEEDF5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D48683-E89F-49ED-AA26-93D5F3E7EE1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29603D-BB28-4AD8-B7AB-73B3EA2DE0F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0D562A-5E52-46B3-8D2F-733136A6D2F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F65E1F-26CF-4DC0-9F0F-9E7F7ACBAB5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A10682-A279-4F9A-811A-64880649EB4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14627B-C576-4078-92FA-AB56BC8B4C9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E1F841-CF91-4731-A76A-D337C6D0021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650136-6D95-4FB6-8434-A4198606CD8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7BFFFA-4735-4DA7-8DD4-83F41AF8C14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830362-9B15-49C2-9BD8-E6762657217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CD2772-7356-4007-99F3-F199158A670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911B52-6DFF-4DC3-A4A0-B310321EFB4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D397A0-4A1E-4C17-8E59-1147200A91E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86BAE1-9F18-47F3-BAB2-1154525CDF0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0A8DAC-19C3-4DAA-BCAD-8C757E32614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96580B-824A-4079-B93C-73D15A068C3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2FC335-0F63-4E67-9C6A-9999C50EA29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B81230-5626-4849-A2BC-83D18433A4F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9FDE27-6CAA-4139-81E2-EF677D77002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FDF5EC-4408-4D5E-BF31-829715EDBEC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2B3547-C63A-44AB-A982-B33DC693CDB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A51917-B056-4445-A3AF-ECA9ADEA0D9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0BDBC0-E035-4D95-91A9-1D4E804E4C8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AC6F25-BD76-4F28-A9C0-917BF6E9659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823615-A533-41C4-B942-A624D3BD98B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AEA607-22B9-4D76-B71B-E70F6A98EC9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F703AF-AFCF-438B-AC3C-1ED16AA59AF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BE193E-BDAF-415B-AE8A-1A8149319BA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068548-5B48-45D5-B5D1-CA2437179F7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34E92A-0D93-4A46-8D1C-AFB5BE1156F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32C89A-4158-4FE8-96CF-DC70176A01E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D27545-9D2D-41F6-A920-DEE36F74A5E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C5CB88-364C-44CD-A433-D8326A46C2D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D9D766-521B-4493-B363-45E7BB848BA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799D93-2B94-41FE-B255-4B0C151E812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E04E23-16AB-4F3C-A198-1C0F21342D7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0D9238-228A-45B3-8586-B5A3F4E2D4C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41BA19-9AB4-4663-B8E0-EE9D33D2F78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F333E4-0389-4EAC-85EC-B556C5888D4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20C863-8B2D-4CAC-8796-45C5618F896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C2DE84-8956-4022-8EFE-1F70761B228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23F472-2E39-4987-9686-4CDC522D888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78FCE8-8C30-4CAD-A027-BAC59D87A39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1F1F58-59D1-44ED-B383-60AC4B9DB62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853098-7798-4458-9A8D-5184ADFD5DA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6B3C00-5869-4944-96FA-2840AF2A1A5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E9B65B-9763-4135-9C64-C9251C8EEC0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189761-ECD6-49DE-BEB2-7BAB3ADD965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C7D747-C0F1-4CFD-BB1A-DB3C40B16FD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E5CA2E-C9D1-41B2-AFA2-76C9F12EB25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E3B879-A73C-4242-8951-5E7AC6C95E4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F1D1F2-3DA0-4B45-A2A9-4931B4E610A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46284A-C48C-4304-AEF6-12ED2E9FEFB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A4C638-1FAD-4668-84CC-A1E55B97BCB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FC5DFD-FBC2-4DC0-AECF-3BA08C8025D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A038E2-BA66-4B8D-BCA3-24B7C906E4F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7A6361-1574-4C97-B3F0-AD00D5B6401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DEEBF3-A3AC-4336-95C5-C5BB350537A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FDCF8A-F9EA-43E9-A2E4-565AF32D12B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1D8606-5F4A-41F2-9105-78F5EBEC4BD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F16880-2851-4C67-A5BA-9FBB6B9DFA8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3DECF3-C6EE-4F20-A45F-A22587E8946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3F95D6-D11A-4EE1-960D-E63B660F267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2BE209-B63D-4384-896B-A61393DBC36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7C19A5-DC55-4042-9EBA-1A73AE2AE02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B23220-6EED-419E-BE2A-2763A1C97F5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62BA1A-3F0E-4A93-80E5-18AF25E5FA6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BE2630-DC57-4612-B679-0F2DA191A49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2FEC18-77E0-4A69-A68D-2B326770A3E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0EA1C8-D62E-4543-B27D-67E6DE9F181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400926-D869-4FFD-AB4D-411D2B640FB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DE8AB7-C9A2-478F-93B7-853B7E7BEEB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D6D17B-4F3A-4A36-8D01-09608C562C2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464875-1981-4994-81A7-4BA5F85588C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1B01D8-C248-4402-9F79-420EE4F4791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154193-D38B-453D-B3EE-DCD9048ED89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1018E9-3619-476D-814F-9B476222C9E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5408B8-64BD-46FF-A18C-11267E5E0C4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5BB2C1-031E-477C-98E6-C7694982EB2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3A1850-C56A-4111-A3FC-24D5545D823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CB4F5B-4A0A-4DD7-9A6E-AD7716EFDFE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98ED82-8B3D-493C-915F-6EECBAD7825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D75CA6-BF59-4259-A18F-45521B11232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3CCA4F-6A82-49A3-8D47-5B8AD4E9F6B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890564-518C-4765-A2DD-862D06CE9B7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169A1C-DAD3-4E27-B17D-4B1D8AC4A88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C8913C-8B81-4BBC-B0E3-DF18BBD2A60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3B1E8F-541E-44ED-9D49-32065AB8BA5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49C459-7DC1-4472-88F3-F389416774A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5BC07C-21AF-40A8-96C7-0CB6CC15CDA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5217BB-977D-4031-96CB-635F19FAFD1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6E5AF4-910C-4287-B5C8-E6D6CC1FF93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9E9995-45AB-486C-B989-15B4C24F342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6E22CC-B982-43E5-B99E-C346F7ACD83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B344BB-8D5A-41FE-AD01-71FA407ED4D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76814B-635D-4134-8B6F-570823D3EC4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DD6449-AD03-4B57-9964-49C99774A31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CFC895-0C75-4793-B1E8-574FD794105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68EC18-85A1-4105-BF6D-FDAED14085A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E51D51-8663-4BAA-BB97-BBE2BAA1351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A87AD4-CF25-4AAE-8F5C-1578AB05B43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B5D7D6-21E1-4919-9F0C-4F11F35B306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D4D800-0BD4-46D5-A610-F182BFCD114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A866AE-3513-4EEB-BDE7-A15C25712F1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055AA6-970C-4AFE-90FB-7F09CAF8323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1ED1FB-BAFD-4375-97FC-BDBA4D79B8C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CF992F-2E16-4B1B-858B-DEB753C0BA7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69651E-2134-44AD-8329-C43EFF6BA78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72C1EC-6BEC-4ED6-8574-CC14EDF8B8D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3A9A13-713D-4ADC-AE30-63C028351AF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50FC42-FBFC-4809-AA18-65A064C0771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7C769B-6C3E-4990-879E-3A9CE5289EE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C5A85A-F83E-4D1C-913D-7CBF1B1A39A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CC2FAE-B4B6-49A2-88B8-86EAEDA6A7C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ABC936-4DAB-43C8-A9B5-48A8ABAC28C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D14E61-4A29-4CF3-AC74-1525C2703D1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B61BFB-6A84-4A7B-8A25-F75B4C6ADB8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36D0BD-1631-451B-A190-85B1C051BA8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46B30A-6F83-4A81-8E7E-25FC9342404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4DBDDE-F544-49BC-A247-4B02A328236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4CCEB6-4357-4DD8-B9D4-F0F061786D9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0A8A9A-1766-4ADB-B2BB-5C00E95EEDA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BB1043-EF7E-4485-B5DB-8F3CE451321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F98EB0-5BAD-4711-B083-3939645D7BE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7A0164-C56D-4653-883E-CE3BA91F093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123209-7FBA-4107-93FE-0D76E1BCE22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8589B4-BFA5-443D-80EE-5E875AA5EFB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264012-C995-459C-BD60-B88FC877B4E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88EA29-43E7-4396-AC69-0E8FDA88C51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3CF442-B758-42DA-9BF2-0308F3244D5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28EA01-157E-45CA-A42F-DED2A41B3B8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118B20-661C-49BA-8BD2-A5BDCD603B4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B41869-3625-4696-AF02-3E1D44D52EE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6C403F-1884-4017-9984-7BBCAE6764D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61F327-DC3F-4484-B85E-127850B8C98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426586-4D76-4A07-98A6-5F5DEF44ECB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597732-7C21-4B1D-9532-B685C53AE4E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C9F2A1-C80B-4075-912C-4D7AEB822A0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993A5D-2DB7-448E-9EE5-9C82483D050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9DEAA2-C9B8-4B7D-921F-E4A00848209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94E00E-6454-4425-84B0-04B7512A1B0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AB1BE8-3530-4A24-A3AE-53F0C18482E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79A088-C214-473C-BA3B-4367D2C9D34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BAE2D2-647B-413D-9DB3-5DE5EF7D4E3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87449A-A5D3-4554-BD3B-423C88BF369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3830FD-19FC-4275-BE57-B7D3112C754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F94EBE-AB80-4E2B-B3EB-851FABA46D7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0D3898-D19A-4091-850D-B58B94DCC23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896653-A5D4-4C1C-92B1-B6450AEA2E8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4A350D-532B-421F-818D-2D9EC0EE6EF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986EFD-2B84-4F2B-BA28-736217D0FD2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F30F44-2DB0-4311-9222-19D30C038BF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964704-D502-4125-BC50-28EE0C5F1A7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7B8F31-554E-4B40-9EE2-CABE40B52DE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141B9B-4300-4C8F-82A2-007703229B0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3DFAC8-AB36-4120-B644-C7CA062F763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EEF9B2-C340-4F09-A0E2-590D99C02C6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904286-8A47-40D4-93A7-AAA0EAE29CC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2141CE-E26C-4254-9551-4B621628987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020D9E-9BC1-4911-AF23-F748ED32AEE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BB762B-E4AF-41FF-81DE-2368D006953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B4ACC5-F5E4-4078-9D2E-762733BEC8B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172065-3847-4469-A996-4043FEFE295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A448C4-1033-4C6A-9461-5798269F27B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1CFBD1-5735-4EE5-ACAB-A0D57A791A5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A10201-B733-47CE-B843-6CBEC5D5101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073226-6475-4A70-9B88-78B48360BEA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5F483F-0E49-40D5-9CCD-443A37AE090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340FDE-A4DA-46F6-955A-16D719CBF3F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5F8486-D370-4134-9F2F-185AA707086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C26BF5-081B-4169-A7D6-D3F7BFD717F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B637D4-6385-4521-BB71-28123779F19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C4CB82-F319-48B7-AAFA-9968DACB8E0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CBE571-771A-443F-8CCB-1E47ED9B021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B29823-52AD-4A84-83CE-D50158CEDD1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58A064-2566-49D3-95A2-F4DACD36F02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C0F96D-35CC-44AD-B274-D289650E407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ECF631-5CDF-4338-ABEE-6AB6A8E4817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2CE8AA-F23E-458D-94A7-9BC64E3EE5D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1D8D87-1A0A-42D3-A554-76BF4BBE884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1A3B1B-D9BF-409C-BEED-547A2E3D312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4EE50A-59EE-4E0D-8579-F70F6A86239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D39748-1184-4593-8E60-0054ED42071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E723E2-CA37-4153-9E21-B90DC3A01EC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3A3D37-D0EB-48A2-AA9C-FBC86001414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81D857-EE71-49F0-9653-CC253AAED0D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2A4990-8BFF-4D6D-A271-BC3BF1AF8B1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C2E720-7CB0-48A2-AF84-FC58326F826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3AF6C6-A497-4821-A965-AE178803031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521D09-D53F-4E37-A70E-454DF999E0C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32E392-C06D-4FCE-B1F1-B7D3E331721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6394E0-AFDD-49E6-B311-20A6D56A5F1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92D554-29AD-4F64-B063-6E04ACF8CEE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1B58BC-CBD2-4013-8A44-5C6383196E6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050419-696B-4752-AAA3-E4A83BAD032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737EE9-A2A9-4291-9015-A55034F11DA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FF83C9-6709-451A-B64C-A86377787BC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CCFB92-560A-4929-A6EB-A2759940160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C994D7-FB4A-44A1-9F11-DEDD56B03C8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47164E-0F2E-45FD-BF59-8343DD968A7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C96E14-35E3-452F-83D2-CFBAF58DECA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37AE99-3EDA-4C93-85E1-2B7794347BF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4E351F-D7B3-43F9-B9DD-E1B847BF0D0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39B472-6F7F-4705-B0EB-63E08143665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5D7F39-5C3B-4C1B-AF91-01268CFDB9E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78430A-92A4-4B30-B3A1-175E546062E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1F62D3-1102-42E3-8F8D-EDB878B330E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0827D4-D729-4BD2-A50C-9E60A3F8DE5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401CD0-286D-401A-8E03-F0C4AC8F9AD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C5D8F0-780D-4C7F-8F23-F7703A4F877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189035-003D-4837-888A-287DCFF5933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68A765-F3F5-4448-BCA0-E5DB5A93DE4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BA3233-5E73-4155-8927-1921D74B61A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315E6B-5019-4C64-82F1-CDE4E203116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4BF732-E3F4-4ECD-ADB0-456C62D132F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C370C2-944A-4C9A-8A0A-BF2BD717DB5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90C146-F705-4C44-BD56-73519E963A3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2C44C9-8539-4C84-A010-F7DD859B2F3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301BC8-D8F9-4BE0-AD07-9CBC1EAEE2A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BDE82E-6988-467A-A1F3-69CA34975AB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58EBB1-ED96-4327-9221-D80C75D6D91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AC58A0-C37F-4026-B5FD-876AD743280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616AE1-77E6-4513-A602-F604870773F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8972C3-7032-4D86-99B2-0312B7BA64D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BFE420-E962-4F9B-B104-DDA533D2706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4E9092-DBEF-467F-9CC4-FCC857DE9B7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63F50A-78FC-40BB-8E44-6FB38C1CB1F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0238EE-C934-4D65-894A-D2BF78ED8F7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236A06-403A-4CA9-BFD7-2ECD5FDF7DE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8ADBED-C384-4BB0-85DA-9A7C949FDFC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BB7734-BC90-4E62-B002-CEA190BC3A4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BD6CFE-3773-4562-9121-6B29A66E3F5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1358D6-1D6E-4D6B-82B8-26E6396BEA4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694E11-D765-4C39-92ED-3C881A6AC46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C5F820-C7FF-4093-8762-30FF30997E4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580A14-CE8D-4D69-B5C8-5BC88C33E00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31A898-444E-4F2B-A336-F372A0545F5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2C2110-7554-489D-8BC5-BABCDA1801B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6F781D-23A5-41C7-A228-82FCA8D501A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87AA27-795E-457B-9944-FBACC7337A1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957883-F6DF-434A-96D6-726C9542C59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8F6B7A-3FD7-4602-9650-00488F06482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D07540-DA6F-4E95-9207-9D366D21998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6BA3D4-FF47-43B5-9FB1-ABE6AF7EBAC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4E9C72-1372-43CE-86A0-82A62B80A35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80C80D-C771-4FAB-A280-DEA3FF2D995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0D18C6-3187-4CB4-A1AE-6090E99E0A1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C1A720-BE97-46D3-82E7-71956E605E3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2FFDBB-FF07-4535-A07C-B9DB0609BF4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76315E-C6AC-4247-807D-FE43C4A580A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71CC28-4FB9-4F5C-9733-F90AADFB45C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33E523-E12C-4261-9183-A8E34ABC749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CA5A47-564D-4E4C-B8FA-36D44A05F93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27F276-E4F8-4576-A6D8-60F0EC86ED8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D93D3E-239F-4524-A77E-D8990309A3A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6581FD-7E5F-4EC1-81F3-1949D27162F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8A4EAC-8600-46EC-A7DA-E6F8C9309F6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3627B0-FF8B-4BDD-8427-3D4F74BA381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FFAD3F-6ADA-4672-A28F-7CB5F320E2A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B1E048-0491-4F50-BF2A-E77311528F3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CB4578-D2CC-4253-A71C-6C885600498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752068-0C66-434A-9404-AEB8421507B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7D9261-1918-4F72-806C-083A68D1311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64C6A8-4451-4D9A-988C-B151CC5E127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7C69BC-4D04-4AB9-8649-083D4DF9C20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2B9D60-5DD5-45C0-BAE8-719456033C1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E753D1-C2B6-4CA6-85E3-8EE9CEC6B5C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509BC5-FA84-4BD9-9BE9-042A318CDBB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0DA4A3-A519-448D-841F-29FC096D3D2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815057-AB0D-44D3-A4BB-1BE2D95D83D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7611C3-1E94-4949-BFA2-99B31C3093A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943C08-3E5A-4531-BFF7-A4D87E4A4B2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39F038-C0AE-4965-BC88-EB6AF96DF10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320A2A-D0F8-4676-BB6E-9BCBDA08041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AEA710-5539-42BA-B130-99444F05D88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7410D7-7628-4514-926C-3E647821955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D46D10-5D29-4220-A263-CFA76A17956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E3C43E-949A-473D-82AB-77A025C2076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C3980B-636A-4FE0-AD8D-EE14B2B7B81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A929A1-56BF-4309-AC99-0B429DD1073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9D4CB9-F0AD-477B-BD10-F9475683C4A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CE60AA-A2B5-4767-B866-D11E7F3D8BA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45F8EE-7258-4E7F-AA19-C486D2F02C8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EB7584-CDBB-4CCD-99F4-D0B5FEFBAFF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C3D679-FE68-4C74-8E20-56772505E8E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7DB163-C72D-420A-B7FF-7178BBE59CC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5824B4-5AB6-4B22-B15B-C27E64BD1B0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6D808F-491E-4F7A-B766-263ECFD7E95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75B57E-6A76-46A4-9DA8-41BA26FCC35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BEF42A-146C-4BF3-9698-B96813561CF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B59571-640A-4CC0-865D-EC1F8C163A5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789CEA-ED53-4E31-B542-E4454DE2F8A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901EE7-4DC2-4FC6-9C3F-E0EF9E2DFA4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0044E2-93A7-4501-9E21-DE4A1D6598A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5F525F-E50D-41BC-9998-5C99B5A6C4E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415877-2DAE-4727-AFC8-E0835A7735C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4108AB-04A8-4917-A33C-C3F6980F3FC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E8590D-CB20-4FAD-AEBA-0DC7F0AA945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6E0237-2150-43D5-879E-A04E627343C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17356D-8330-4F7A-AEC0-6D9A0F37813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9A0A30-7869-4006-A7EE-9A920844F93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174A1D-B1CA-44C6-A64E-C7B28C8AB2E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92F255-EFBC-4DF1-94D6-C93BCD3BE85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D82B48-9DBA-4B1A-BFE3-AC1DC8BED4F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687498-D26A-4723-9354-13CCE8A92ED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DE63DA-82E3-4D25-951B-6461B65E158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A5345E-4ABD-44E9-B29B-79A4BE29A8B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399CB4-152B-4130-AFDA-26E2CEE7036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FFD4BD-0046-4202-8991-0F22A20740E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5FB5EF-3C74-4C8C-8E72-167CF24596D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05CE3F-7C6A-454E-B802-B4B3D53E529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4D0BA5-5B09-42E4-AA25-B072A1AC762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3029FC-02D9-4BEA-9B63-A038C5FD51A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6E852F-712A-401A-A6FF-67F69C53D3C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47E1AD-069F-4FF3-9E70-C42B74B9716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8F77D1-9D4A-46B7-9B7C-A9A52A0466D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3FABD1-94AD-409A-93F7-EA0F014E903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472B54-AE31-45D2-A608-04E594AF92B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36D93C-468C-4812-AC5D-85CA898F7D9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873632-0BB8-4016-BA28-3E3FE42A66F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D809D3-E427-40CD-AF2C-8C52E05669E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C743BC-F39A-44C6-BF7E-BB14F13C19F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A29B93-F57A-4061-93A9-AC59A534253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7F2F14-4EF4-4093-B7F6-F1EDB58E84C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6380C2-4221-47F1-8983-2EA5F9281DB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1E8441-6383-4A23-A3A9-8AF90A248A0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95225A-31FA-457A-85F4-9762227B0C0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61029B-88C4-4390-8ADF-F58926E7F8B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86044B-F88D-41BE-95CE-D85268654CF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110165-D0D8-40DA-9F41-084229619E4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DE987A-FC91-4081-B3D5-83C64CBF595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FF756D-19EE-42DF-AB49-743DF5EE0CF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EDFCD2-0E36-46BB-A2CA-4C0470730AA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DD5E65-BB4E-43EC-B049-63FA8E3C399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145D7B-5278-4F82-B8CF-AC2EF35640E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6BE804-8A24-462C-A10A-10EFC9E3474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293F0E-BF22-407B-97CF-C6AF16BFA1D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9E2826-D140-469D-8398-34E0C09B0AB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1F9EE9-8B80-4447-A727-81BB9CD9D82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7BD2C3-D719-45B9-95C5-F1E3E278B89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DDA5C2-F40A-4A62-B6D8-6DA0EB3F888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597841-C181-43C3-8378-B46883F016F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6FF609-0CB6-4A4B-BD06-8124A63C75C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338337-4817-4A52-8A4D-C53AC225CFA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0F211C-3C87-48CD-B680-77AF347DFBF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4051FE-3BD2-4D53-9BFB-16F7C85D6BF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B0CC4E-531F-4F7D-8EC1-DE071EC6673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93B026-D667-474B-8FFF-A14E9D3C64F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5A679E-5944-477A-BE7F-F31D32C954F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ADAAC6-D18F-4C04-98BA-C4EF5F20CD0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4FA968-3A0A-4834-BDA0-8DBB0FC7E66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269CE6-3A9D-4E3D-B907-D8C7D29B1ED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DDDEC8-871F-4E2D-BB21-1220673B49B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B71AAB-E9D2-40C0-874F-02E53FE0CEA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CC64D2-0B01-42D7-A6C6-E53B42B286F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57FFA5-0FF7-4EC6-990F-E617711C9A6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36D3A7-9AD4-44B8-9BAB-823C6963410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22B18D-C6E4-48CA-9227-AE933784F1C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C97CC7-48A7-43FD-A201-8EC6A921BAA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28B706-614F-4AC1-B52F-32339C25D8F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E4067E-A57D-4172-8AD7-72481D06F39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DC304C-98ED-4962-B6A3-A08002C6FCE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67669C-BB56-4FC0-9DA0-E0B887BEB7F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FA9A1D-AAD5-4855-B501-32733BF0828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770B5C-3AB7-46C4-8B67-0E3CD57B411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B87869-99F6-442B-B28A-54F8DA1EAA0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9CE46C-2E6E-47A9-A515-486C2E7A6B4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63BC98-F154-4544-AD3B-8412FC280F1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5B4A88-44DD-4314-AF41-B29C0203C7D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57AECF-3E50-428D-BC3C-EFCA578431F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756838-5E03-4087-863D-6D253DAD56B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0AFD23-4C87-4674-AD51-08616B43011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19A578-7308-4AF3-8ADA-0F1D74376B7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80588A-2023-4F50-8664-B15662EADAA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4B565D-4788-47A2-B463-79E523C0FF8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0418CD-E6D3-4B00-99C6-D46F79E76C7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3C6E98-FC1B-4410-AAB8-462882D0897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56F137-1C2D-48C1-8622-79E57718C75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4D11E4-DD45-4122-9443-9E6D883FB91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07A061-7CF1-4E2C-925D-1BFFB52A799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26E3C2-97B4-47AF-86F5-4E64E065C89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C67D78-0126-4623-952D-E05EAB6EAE9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2E04AF-F92F-45CA-9E83-B3EC3BD4D76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71D7B6-04D8-4D17-872F-616A8BD8D91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6A2B4B-5B42-48A5-B050-68C9D2D1E82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52DBE7-1B5E-45D9-AD19-43663ACDE44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E309FA-2750-44C6-B581-971AD46F17F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731B3E-ADD6-47EF-B611-47D4C940BE3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9BB88D-77BF-4AE4-8635-84EBDF70850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B31C9B-0103-4318-A3F8-4FB91680F16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18D925-9021-49BB-9C2D-7C9763B7728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56ECF6-FF89-4D97-BA14-57E6730FFC5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B7C7EA-287A-42AA-A7A9-25E97BC53C6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C366F7-1444-42AD-8C65-4FCFC8B8944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3E217D-27E8-410A-8B26-56A364AC164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DC7C5E-9F1B-4D13-BFC8-B6C3E603D46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0E2834-1E69-4E24-BC39-B14752F961C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7AD97A-7476-4C11-9F4A-C72A87E02A9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FC524B-AA7A-4A5F-BAB1-6B7C02EC9DA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6087E4-D05F-4C93-84A0-CF6115AFC7B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FA2ACB-3167-47E0-811B-0684F75C3FE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01AD1D-B79C-4DD0-A0C3-69CF5B6B8DF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AE274C-4E17-4D36-BD22-FA5317F70A5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5DFF90-36EC-4D8D-AB99-D98902FA838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63A807-CFF9-4D43-B14F-07A1D628138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C2BDCF-8466-4AD6-BEE1-E1AD0C8E2B3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C7ECE8-DA20-4182-8E57-F33B9244233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A10BD0-E7BE-43B5-9ED7-D4A140ED53E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E9B5B1-7761-4190-B6E2-C7835DCFD42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A2A8CB-D575-42F6-95B3-69913AEEF9A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604C59-2866-4299-9BAA-0780A1A9E2F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00558C-F8A5-4474-9DB9-270FBAD6560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0CA89B-208A-47BF-A147-A4072AC13D8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AC6340-ECD2-45D7-9022-4E5B7602A5D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213C14-0B1E-4D6E-A6E6-ABE69A4C676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106A4C-2181-4165-BA2E-AE03FB21DBA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5C77DF-66F4-4681-A47F-38C77F57F07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3B8333-D604-4BD6-A71E-78CF04DD8D2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A40C4D-B617-4F93-B48F-F68F823BAE1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5BB799-F72B-44C7-8042-2DCD4611FC6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0BDC58-EECD-4E5C-8187-44693A305A7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A380E8-C9D2-4CCD-A66A-1BCEE82991C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CC6383-B0C1-4617-94DB-9B837362A9F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ADBD1F-5BBA-4F2C-92F6-F95F72F08CF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279EC1-11BD-46A3-8AED-F72D1894496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234780-FF4A-412B-9E7D-0419B3A0505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08BA75-2C2F-4655-9371-58BA56D2CE2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67B9A2-A609-453A-AFEA-4F005EF9C2C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1F149C-07BB-406A-97CB-3CD4D2BEB2F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992DEA-DC73-4EAC-9F01-425613B780E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D3C9FE-156C-49A8-B8A5-C52ED74F0FC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7280D2-82B7-4CBE-87CC-21FECD38597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FA400A-C137-4449-B454-304B5B62715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256C31-7185-43CB-B2E6-2B5AB9344C3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695531-1C02-4F69-BA19-A467656A566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984CF5-53DC-442C-947C-2FE6A4E150D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B35511-C6EC-46C2-9179-EACAB4F59A1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6EFEE7-333B-4CAE-863E-E90DE42BC77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CB6058-9080-497F-99A4-CBBDECFB397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A12635-A67E-460B-B544-CFF74E5155A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EEBDB3-65EF-459D-8AAA-27508925BF7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0BE01F-357E-4312-91B8-02968B0BF40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C92ADC-A609-47D6-B271-62E7E716DD7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A5438F-FBD9-48A1-8985-94D45217139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AAA248-A3FF-40A1-878B-D93C434E036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9A08DF-3F01-40A9-A462-497CDF99230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4B0D2E-E1BD-4758-BF06-B6BB305C3CA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90BA06-1624-486A-90BD-F1E5D85D8B8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4DC362-86BF-4495-888C-BE98B3201FF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1E68A5-9E11-4FB6-8057-7E200B887A2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2876E8-ED8D-4DB1-B868-B0AEF40E6DF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F67AB6-1E06-43BC-8E3F-53435200DD6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B4E6A6-5505-4A37-B6EE-3B30B7E579A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7FD639-4D82-4CDD-84A8-F8C2C59BF10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5A885A-C4B6-4DCA-A130-7297C01CCDA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54EE4D-1744-42CB-A368-C762BF39764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714CC2-4645-49E7-A142-8FD6CE02F21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1E690A-03FF-46B6-8218-8A78EB54298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8E9764-0392-4943-91EA-F1DD0540B2A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3875F9-BC0E-4C11-999A-D119673EED6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7B77B7-E63E-45EC-B52E-FBFF29A92FE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538A3B-8F7A-49FA-8404-18F2A19D8C9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47F303-449B-424D-AF5C-703B079F9C7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912845-DE83-41B5-9606-049B44EB21B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9DA503-AA10-4421-9D1D-6FD0BB0D302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376DEE-5A5C-4BCB-9DE2-17793887A43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57A789-7976-4386-BD89-3DD990C025C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66FB12-E60B-4E71-99FB-255194AF80F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843D17-E0AB-4E2D-87CD-B07905AFA27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212530-900D-49CC-8F92-DD821B87CD4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C7A55F-1C04-4635-AB63-7EC6023F78D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D7DF33-28A2-4671-8433-805959E533B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6C5424-A032-4CB9-93B6-665BEC9E467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548DC0-7F81-493D-8D68-58D669B1B9B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ED8F05-5174-4A8B-8AE0-785830D3865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A1EB12-34B8-4340-A805-9F0B6C937E8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CC848A-47B0-466A-983E-4F2222C6AED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3CBF7E-02B2-46CC-86EC-F5E87390196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68E31D-10E1-4E3D-AB10-D9FCB7DCBAE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7DC2C2-C958-4556-A5C0-E4C8AA24E6A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E4D334-AACF-426F-A5B5-3568A57349E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467C73-F964-4815-98F0-14AC1E7734E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F17C74-F97D-47F9-BF7A-E1E895A70F7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1FF05C-B729-4BDF-8F11-2DF5D2A211F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49A1D1-7927-4683-AAC9-348679C4884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20F3D7-D8A2-48E1-A54C-60D825D7DC9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1E8A94-410F-43FE-BF08-8B4F05D9E4E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AD26D8-CD82-4CED-9147-EC6491A982B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335557-60B1-4035-920A-A2EA138D42C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C28079-9112-4B6B-8FFF-0E46248FDBD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9F9C35-E27A-4CAF-89DD-35A2923A12C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E46D62-6EAD-4C28-A551-3407DEEED45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660897-538A-41B9-B835-846B0CEE2B9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75816A-8455-416C-920B-309026584F6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081446-A3D4-41C9-8884-05635CF17CB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43BA5C-CDE8-4EDB-8BB1-3867333A06F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FB2C8F-1342-4AB4-81B5-1B5F7E965E5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EDA2E4-9245-4458-BAD5-F3963AC5F5E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0F229B-0A91-489A-BE21-23C539DF190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FED5A9-AF0E-43F0-B81F-8C410276DB1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BD6D37-605E-4D0C-8FE9-F7D4BD9C662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BB24B8-F830-464A-8DD7-2AD2FF1C9D2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734A56-E060-4573-9549-E80C06B0CA9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CC5668-F74D-4FDB-AFF1-CB665BD2C49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610479-15E6-4703-8F27-5A4B3C6D2F7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2D39EF-65F8-411F-9595-E0445251E6C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AA5E6E-5DF7-4D74-AD8F-EF4926ED478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B6BEB0-BC05-464B-ABDE-DE5B48F41F9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9D4C04-CACD-4F24-8323-F39C3679490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E27E95-FE61-4239-A298-955C929D342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BB224C-CB52-42E5-A719-0281BB2B2B9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5E3D06-C01B-43BB-B4B0-A0B4CE62AF4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0A7917-3DA7-4F3E-A2A2-AE45CED508B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FD5B14-112E-42E3-A300-F29493E1DEA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760F8E-F873-4900-8A04-744944C4FB7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2F8050-3376-4D85-95E5-801199CE9B4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9EAA55-3EA7-4A8F-A92B-7F2E73AE172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9F9817-7B8E-434B-8694-FBE40DBDBDE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A12818-0F88-4764-9A20-942FCD2C3F9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6DBB3C-466A-4A1D-8DC9-1577F5CF730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F4FFF3-6518-4A1E-BAAF-09E810E3777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C9A683-1F7C-4DB6-A784-2502A1F118D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3D20AA-408C-41E5-B272-EEF6A54EE6C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799E9F-D876-4330-83DD-C03E845C591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253417-4F7F-4481-837B-A092B3D6F0E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FA5A0D-ED55-4186-A0EB-49D55D65B30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C3945D-D49D-42B0-850C-B97CC328D4D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0A9009-2CF6-4FEB-BEAA-1C05E18DB2F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C95079-BA7B-4A0D-B238-5AB97488CE7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9735A1-1514-48A8-99D1-8CD9C8CC510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66787D-7B3E-474C-B906-348D5A05C5B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B71AA4-9208-4659-81AF-AA45CC3FC29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2C1312-576A-4BF8-8FEC-F548D9DD3F5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6B9539-50F1-4FDA-BAC9-EA68A460E3E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C3C0D2-D0D9-40BF-84D8-AA8560DCBE0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68F448-3AD9-46C9-8CAC-F4765E8FF27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36E5FB-5175-4769-A050-6426E005A63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20EF5F-EBA3-47D9-930B-F94165D8169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935DA1-DCF8-476E-801B-BB68AF34612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D032F9-9314-405C-9954-6AA58035718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BE854B-0646-4047-AD32-08E45B8D1E5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53A944-A083-460E-8FAF-F466EFC5EF2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2B109B-82B0-4D95-BA26-A3116BF40A1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E37328-1512-478E-8327-D26EEE010E5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4E0069-F50B-4616-A909-B757E15D4C3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DCBCD2-6B1D-483A-A1D5-A49CD039CD0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E709DD-4800-4523-AB90-4B0377613F9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4E6422-22D0-42EF-B31A-D9A214BC4F0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602CD4-BE91-4344-A47D-D6B00C8BF22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E80B3C-26DE-408A-A518-875B831744F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D033A4-380F-4A86-96E6-1BC74B6D00F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68E61F-578B-4BB6-A4FF-7361FDD4BE0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544961-B7A7-45E8-BE6C-63A526F1136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AC15BC-5AF4-4B5A-BF62-96188098958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8A7359-B3E1-44F2-9023-487BA4E9429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A61D8E-5B5F-483E-8356-794480BD577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188177-7BE3-4801-91ED-AEA77C309BC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A03BB1-6DFD-41D9-A700-21A30AFD520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F75839-BE51-44CD-82C0-4842B2C3C6D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C313A3-8037-4DD5-B728-B308E43F637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3EC7D7-EF61-44B5-8077-4B82A49B649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A05EFE-7D4F-4131-A95B-24E4608314B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0BDCF2-774B-4C96-A499-A2067B71D4A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B24A32-7AEE-4A97-A34C-D0326F70B68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691DD2-C544-4B56-91A7-4AE1B8A45B4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3331C9-F729-4784-A875-E3D7F38ECF0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957EB3-08A7-4859-95D4-8744C02D333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05928B-E7EF-4B45-B690-4AD0AA35907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A6F29A-89BB-464A-BC60-10E54A202B4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066433-405F-4CAD-8BD3-41B409E0470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66C1B0-B5A1-4B47-8F78-C214AD93526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60BA3C-D95C-44D5-8747-41BB9469B21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546959-EEC6-43A7-A740-C483CFF3A9F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2A6C27-C563-4BE6-A458-BD1B9F85DB6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89DFF9-6769-4D6E-8C1B-A7ED2D26D71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B87006-6C9F-46FB-AE29-2DDDE93A6E7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408613-A971-4F7E-B78B-53DF3D0B73C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69E35F-A8D1-4F90-B0BB-0F2499A48B1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34FA9B-F1FD-4082-A94C-B223B70A864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1368BB-B027-4AD3-8D8F-00FD2E715CC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3CD3B3-E613-4DB3-960E-CC92DC0FCF4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474D11-C2FF-4085-8814-341B7CB58C8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5EC2E7-4404-4179-8575-6E99834C2DF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CF6732-31A2-435C-8E9F-E1E0C14A548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47AF2F-827D-4127-AE01-879D7050B9D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83E16E-3953-4570-AEBC-293373848D7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91FC36-E62B-48FD-9B3E-370E2D28A79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7598C1-3B98-48BB-965F-32F5FF0F19F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453E75-0B98-4A51-8078-0F1316B28F9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7CE170-F507-471A-AB3C-F62EC05491F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C2F1A0-6970-4E36-90E2-9929C286581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ECBA0B-C070-4C14-9F74-9494AB78527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76D658-5885-418E-8978-AD0CE09B63A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5A1829-F1B9-454D-A781-8B935206613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14A4D7-F1C3-412F-A423-A72D3D9662C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8E43A3-DE7A-4071-B00D-1740A7805C6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243292-721F-4643-85DB-A3E2DE8E33B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6C5638-002D-4FEB-8B22-F3930A34874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565854-7D71-46C8-81FA-F7C67387DFF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B685F6-B295-42FE-B200-207EB33F7D2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CFFEA6-D850-4158-B616-90C00C8AF53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40796A-21D1-431D-82E2-88E189E53CC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4754A8-DD54-4031-99E1-5D2A41B9399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9F81D5-0C88-47B5-AEF0-2395C3C3526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8F0CA1-B660-4936-9673-E2E3AA8C926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8422E7-03C2-499F-8473-0A4731EDAF1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3DB6B0-FFD4-4AB7-8E0B-DABD4D1BF80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BB1FA9-B36D-4F18-8124-8209ECF93AD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E3D9BA-D71C-407D-B883-0D4E7CCEA9E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9557D4-7EB3-45D3-BC1A-A664DDFEE2B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122E23-57E0-4299-A470-0834CD01180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4C8055-7233-46A2-A66C-335F51CA3AD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E16A03-4962-4B04-B89B-2C7EA8632DC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B2222F-2CD3-41FD-ADAC-D6852ACA446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F145FD-D084-46D3-BC29-15DA856FD02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4E7057-40EA-425E-9524-A225D05E3E3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CC204B-0AC0-459D-B40E-F689EC9AD3E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C462FF-05C9-4496-9843-85E14CCF3A3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EE3C12-3738-4515-AF16-F2E3B379E6B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121253-7106-45BE-BE67-59EB5B4E710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2793EC-D913-49E9-B932-A7E72F39AA0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915832-8D8B-4262-8DBD-A8E5BCB1CA5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F69233-2888-44CA-83D2-CE352D0C339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EC2784-C5F2-447F-8DA0-8A2F5A1860E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BC3961-7E4B-4692-98EC-4EBEE3F2901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6C7DD0-EB77-4D84-BAD7-154EEEFB914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F8C457-A13D-4F61-A563-65207436258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4F83D9-1367-43EB-A4B7-AD730A6BF8C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0F8D96-6FD3-4202-AE63-5BD84F0D14F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4B5422-D3A7-46F0-9006-9D35C2B08D1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E6C26A-2676-4ED1-9ED3-D07C0FFE23A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64A31B-8CCB-461F-84E2-352A2F0FFE4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22F24A-1CB2-4621-A168-30CCFE79C6A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74DA92-7E5B-46B9-974E-DC9243538A4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DEB5C9-8BFF-478B-840F-712310B1D09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467194-9FCA-4521-B4BA-477022D1491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E763E0-8C7E-4A8E-B720-6254FF3442C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5BC198-FF86-4F77-BCBB-997504C90C0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9AB25B-2486-4A76-A16F-83F1F53C71C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CED1A7-95DC-4C65-9123-6D94F95462B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90D781-8B0F-4C39-983A-73ABC60813F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457F65-D580-4CEB-822E-E9BD3A901EF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21EE99-03D6-4D99-9A59-844817861E4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2A56C8-EE75-4C9C-A93B-ECB85B3A5FE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F02F71-3BE2-43F7-9559-C961A41C206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7D550A-117E-4B09-9596-BB0D7DA1F1D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EC155E-801F-4230-B087-C34D2ACEB4B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F33AED-C116-4DC5-9C7F-082EFC5BEBD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3C3402-09DC-4479-B3B9-0714B41EBA9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6D5E65-1EB4-45BA-96B3-7843F070BD7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B1868A-9369-4505-A7FA-3C5FF8F4AF1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9E64C1-8338-4885-BEF8-B1F2F6DE04E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E2F0E3-D172-4ECB-946C-DC7B3BF6789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398292-BD5C-4982-8933-2386F7D7B97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3B7FF4-C197-4F63-A9C2-F598CE85D19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2ED8F3-FB26-41FD-B1A3-D9B90A21948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36AE0C-BBB3-4C05-82B6-253AC433581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F2DE56-183F-4345-B519-F7A88F2EF74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042BEF-CD50-4EA3-9C62-D1CDEC947C5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219995-83EB-4A3B-8285-25C03EBA950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CD04F5-CD61-4CAE-930E-5C27D91C4FC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1D0A18-DCA8-476E-AC0F-C9CA87AF92E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7FA6A9-82B5-42FC-8221-90110170BB3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5621BA-1BE5-47A4-8439-9538BE37B3C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8538E9-718F-483D-9C6F-DA680C93A2A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B07830-DBFE-46EF-917B-9887FEED1AC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140CD1-F5A9-42F8-ACA5-569B4C79B5B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303ED8-4CA5-4E28-A096-4395599E9D1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4EFAFE-61E7-495E-B6BC-0617C108056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331243-82DD-49C2-A6E3-456BCBDA890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DCE726-CD11-49B3-8DA5-3524D739B6F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625E61-B479-4692-967F-4342152A5F5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B08F46-74A4-4BB6-A364-515CEBADFB2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AAE760-AF53-480C-AC6E-0C0F42BE1C6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C1E3CF-41AE-4A1B-B164-326C10C5494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707A47-BB50-4ECA-8489-6927DD3275A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0DE4CA-6C28-4D01-AD22-4555D49F036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CB75AF-8C35-4654-AADF-5FA8575238A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796771-A02B-4108-8CB7-D09F18E0061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C8F4CC-6988-40A9-91CB-C5A356E0E69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68DA41-E711-41E5-9868-72C424638A6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19E4CC-8A7C-4126-A814-BAE4D694C88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813006-2221-486C-8892-E63D52C8CF3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80BCE3-FD80-4E24-8406-CC4EF74049A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56D100-27FC-4D5D-BEE0-5714ABD4606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F4E989-7FCC-4143-A2B3-325C3F4A439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E978A0-5EFD-42DF-A9A2-F22CB69D5B0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D398AC-0F6D-49AE-9F0E-06DB5456870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72C493-D47E-4BC0-9841-4D91D413995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E8986F-52B2-4D86-8092-D7D49F310F9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AAC521-ABB9-4AA8-9E2D-FB5DCFE0D4C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71898D-8704-4070-A4B4-839E13216F8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939E15-DF9C-4C86-898B-67C29C94B74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F3CED5-05CA-4336-9697-E72D965D014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A768FB-897C-4EF4-8C2A-380DF48AE33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AD60ED-2677-446B-AD03-6B5785A7D28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16EF56-F204-4EA5-B116-02B2CF60218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001A6D-6787-4FF5-A853-1ED157F1D79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D5F67E-D8E1-4239-9304-72F9790E145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AF98B6-4EEC-4F2F-850A-24B6ED94CC8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DE6103-321D-4A9D-B6AF-76D85F67927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4BDD07-22A8-4E72-B04F-E24BCDAE95B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454027-5FDD-422E-963E-268808BFEEC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04EE99-784D-4532-8416-CBB2A98B1F6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7944E3-2599-4CA9-9028-9442DB298AE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2948CF-8463-4E8E-AF95-337EC997C90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E47AD5-E6C0-444D-AB3F-0E48DB5E274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AF09CC-1900-483F-BACF-4C19E4CA9E6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D178D7-ED0B-40F5-ADC1-FB793FEBF3E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77E05B-1774-4F79-A1FB-BF1D9B51A70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0A3294-ADD0-4094-B7C5-570B34DC4B0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901ECF-AC92-4495-8274-3835520940F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58383B-3358-4FAE-B95F-8C71F40FBD3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553342-B243-49F5-8765-3102E90B6B8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F76AB1-6CC2-43FF-A0B4-5D9331FD964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E972DA-08B3-46B4-82D5-EE301FE398F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AE2A94-2303-4B70-B6F3-DEA127FA2D7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A89BED-AED1-4049-BDF0-FFF8AEA54C4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B2EE0E-1C94-4F72-8C5A-5B2844737D7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2305FD-E5E7-4585-B463-67AE0C71B14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E8808D-A98D-4271-8568-BD6FCB0922D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7BAA3B-6D4B-4C3E-89F2-1C10B7B199A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AE5AE3-C73A-42D3-95D3-21E84EA70EC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FB4949-8C09-46CC-A484-F5E9358E02E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A6DA2E-6218-4B12-A0D9-5458E9F462A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A90294-EDAC-43E7-8A25-200856E7B87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AB2B5B-CA86-4FC7-827C-9E2E47E1968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A515AB-65B0-4FA0-BB56-BA6A75BA134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E015CD-22E6-4D45-8E69-96B5E132FC2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21BEB0-6510-4382-87F1-D9DBF862807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EA70CA-CA29-4518-BFBE-0B0C781A264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A167E0-A3B2-44E3-AA54-1CB3A673A20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B0222F-4999-4AE8-B785-0AA15032D20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81A32C-82C3-4633-AE17-576CAEB5931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F1EDF9-733A-4CE0-8DE0-FDCAE983A9F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B18349-B9D4-446C-9875-6BC81ED1DFE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4E8BE7-003D-41B5-9468-C3B18842B35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AEEAE7-A470-4C7E-A118-F9F3DCD7A45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A19387-F098-47FA-A5A1-B072DDF373C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ACD122-2290-40E9-B079-815B2629B2A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590EEB-6827-4A33-8714-E9677F1BCB1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854949-5C2B-4291-9C74-9FD5EB254F4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45DA10-D229-4295-9EB7-11FEAE635C5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7C670C-D96E-44BB-8724-39F5D28F9F8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F670FF-48DC-4771-BFC9-D2942259443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FEDEE6-2819-432C-B1A2-A14718C618D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1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170F9E-1EEC-4DC7-9444-AE34C3001DE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69082B-55EB-4DD1-AD4A-1044D9D8C2F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E50D4F-E997-445B-8F42-924AA06E56C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AD6129-9DC2-416A-8798-AEC8EBB11F1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F02054-F3CA-4C0B-84F5-2B72AF5BFE5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4B39A7-66A4-48A2-8112-B924C918013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8E702A-2C1C-4237-AC06-78EEE8C0750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4AE13C-F018-472E-9391-E83FBE1BAF4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ECF33C-9F4F-4B7F-9BDC-DDEF8264B14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8396A7-58D4-4415-B6E3-16BABA832BE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FEE796-F8B9-42D8-B0A9-8717CB9FAD4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24F650-18FD-4682-B475-B5CDF02892A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8A4CBF-10BD-416A-BB3E-EF77AC21283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0E8EDD-0497-4FE8-B76B-788CEA1F163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864F2E-DFAE-4B5A-AC5C-D4F44E630D1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995802-0334-40E3-9678-C889B9F4159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5193BD-9BAF-47E2-87F3-D34E6EF4D55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0265F2-521C-48EE-AAB1-D2DB4C50E20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E1E210-3BC8-4C5A-AE72-34F04FC6C99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91A039-3C67-4625-A6ED-F54F0752DE1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BE26F5-EFAF-4D73-A06E-FEA63D398AC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E698AF-5856-416C-A6B0-2274D2FD0E3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6058F4-FB5E-413D-BF6F-C3934327FCC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796D4C-9163-487B-943C-D0CC8E30310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683687-C3EE-4A98-93F6-F4F3FB56009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CB5AC3-BC98-4851-9FB6-DE3E97F3974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3643B6-CC7F-4734-BD07-C5D6FF6CD5A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DD2D73-73CA-4433-918A-9632630A65B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51B5D6-D06C-49AD-B237-D8AB2EB8381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58F631-2687-44F9-80FA-A8F5B55BFFD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9B4189-6E70-462C-9928-38EF409814A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D585F9-C9B0-4520-A755-03FC3C31230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7519B8-EA09-45D1-9D9F-00EAA9DBD7F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48AF62-0BB1-45EE-BDDA-74B5B175540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CACC8E-858D-4659-8F19-8DC4E7CC545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AB6ABA-49AC-4518-A000-27FC0E27E3B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40DEB4-F397-4DE2-A0BC-7D097FEF8AC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9BBC6D-DD57-4397-A71C-966E74A7635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14DC37-9E31-4633-AB06-45480B7139D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9B0774-F9EE-4D88-B26D-2B5C69AF502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43B1DE-337B-4EAA-9BB5-3BD7B023DDD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7EA765-C384-45A1-9445-270655C4B68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650CE9-B73D-4A6C-856A-AC8663F83AA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AD906E-A1F1-463D-BBF9-32E4662629C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5A1F07-AC74-4383-BDA0-91955D72202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49CCB7-3CBD-4BD2-9931-898F6B88837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86A8DD-2793-493F-B7DE-1672B341EB3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36C106-6EA0-491F-A458-481A16E0881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0273CF-14EF-49D0-963B-0ECEF2869E5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FC9B0A-0A9E-4BBB-94F9-6CC44D43520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12C90B-2924-44C9-B312-5CA630D4922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AB9817-E654-45E7-B2AC-0523E080CA3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F5FC34-ECD2-4708-B714-81241E19455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D44388-A61C-4A4A-899A-DEF999B6ED3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F3E62D-2E77-4CA3-8223-45C190C44B4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4226CC-2590-499B-83C7-B557E2713A2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AB0448-58C0-44D9-97FC-061BDBC252D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9D8B73-B8C8-49AB-A99F-9D80C53AB07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140626-71B9-4843-A0F6-B79B8730035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8869F3-2BF9-4EC0-8A41-4FF6A66F061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FE514F-00A5-479C-843A-655CF1CB89A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443FE4-F49E-40B0-A115-8F31F8EF384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0C2656-66EE-4A28-9253-B3D637C149C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54ECCF-EF9B-44D6-A145-0BE8CB84895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3C854B-02DF-41B9-90FB-43298356B72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DEBCFF-F487-4AA1-8850-8547A6C71A5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527B64-9EC0-4CB0-90AE-1AE5B89ED38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CBD53C-3709-444A-9E26-10CFD3317C6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032E0A-131B-4CE4-96F9-F1B3691904A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E74E82-E89D-42BB-AF7A-8C6B8CB8112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3D7206-D71C-4DD8-BA24-E8EDAEFC72A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29FB35-CC96-4FED-8149-6A211932EB4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61ADD2-6C96-491C-945C-8C6330893DE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D86C39-A0B7-417B-824E-AA89DD750A6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14CA69-E78D-4788-A216-8765F5DFD2D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E09E48-8969-4EEA-B6EE-167102821E6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E3F119-2B76-4EE3-942F-74E39C55AE7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32EAD5-4D9A-4C76-AB3F-6B8F3FCC973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389AB3-3A55-4E85-B6FC-150F0AD3A83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E69E2E-660E-4F79-BC0C-086821EE432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FED7DD-A0DD-456E-B388-BDDEA84930E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C79383-A31F-4558-82B7-B65AB3F7BFE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C030B7-77E3-4062-BFCC-6B9ECAD5DF6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E139A7-1166-4260-B633-3CB4C980076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E2812B-FF57-45D8-AFCA-3A8B1877299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ADD19C-5625-4EB2-A2EF-530AA65502B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A0A373-E1D5-4AA3-AAA1-9D50106E297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5728A2-2FD7-408E-A3FC-23CFAA540C8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E5AFFE-12EE-449E-AC4E-3653DA3566E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95A9CE-19B8-406C-A8A1-305005508B9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577E8C-FB05-40A5-BC46-9A9EAE9BDC8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39AAA6-26DC-4170-856E-3ABF188F2DD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B095A5-2BE9-42F1-9F75-CCA6F8F7EC9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711CCA-17A5-4485-A375-3D75EDA1655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BDF17B-B01F-484F-9D27-197B98FF007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5C425F-40A8-48CC-B322-7A209231408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72943E-B521-423D-AE9D-D21E249A157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D09384-AD58-48E4-9F9C-3DB285FEC05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A42BD2-E12F-4E40-9211-856761A3326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270DCD-4EE2-4A9C-90B9-81A9BB5CB36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A69D6C-8FC4-4280-AC95-31BF2A25300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E3856A-9439-4553-8C0B-8284BC39136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8C9135-F6AE-489E-B5C8-CCCA1D38780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AEC0D3-E15A-4188-95B0-F718643DB73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B0D7D4-54EC-4559-A915-EE4F01ECDEC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F10BC2-0242-46EC-AF58-0533D32321F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6B8058-0C88-4ECD-A8F8-021AF7E452D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3DC762-0BB2-45C3-9FCA-4FE96CA5173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F1D0C7-03AA-4A29-905D-3C030B910F1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BB8D27-7304-4565-B23B-27AA96856C4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3F2F06-2525-417A-ACF2-292EA79E86A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7D0BBD-AE0E-4BB1-BB18-689232816DB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B7E0EA-572C-4C8F-AF0D-FEFDC4DD7F6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BBBA13-8704-4003-B10E-55FBCC57919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75DD6A-AD77-4A5B-BDA3-D8DBEAE5939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884ED2-36CA-4EEF-9A2F-1773C300DB0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B1A3ED-A54A-44C7-B85A-31DF7E82A56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84A529-9123-4EE4-A6DF-2D5761A2ECC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2A6AB0-C5E1-4547-A7E2-F41A0E4FC0B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B0F973-D64C-4AEC-AE21-6DF5ED53F54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1077A7-19B0-4B8D-8B32-6C36B1A341C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5478D9-269E-4DD0-B722-E953569491C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C3BA4B-FA57-4765-8F47-D230B503721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D9533B-6C0F-4A95-AEB5-6CE242FE8FD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000D12-7CB0-4887-BA53-3C5F214AE77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EC9948-2DEE-4AA0-8274-F42BE9D627C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7B32B8-2F82-4A5A-98F0-797AAAAB991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5B05E0-703A-4431-B310-A7D5F7B11D7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554126-9BE7-47AA-9042-C037A84904A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887612-7827-4FB2-A25E-9A990845AAE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C59767-FCED-45CF-81C3-CE9C7E0A964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CA650A-78C1-4F55-A188-FC16801AB6D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40596B-E3C9-4C61-A744-3855560473A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1C278F-8D06-466A-8BB9-BA90856C80F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5657AC-BC6B-407F-8A2D-673B038B86B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B86186-899A-4E0B-B2C9-469661962A2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6B5B31-53C4-4DE1-BD1B-BB8B92040A7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806522-13A0-40BC-986E-0C658F44C18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BCF208-E295-496F-8237-CA3C5601CF5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0B0EC2-FBBC-48C8-ACEB-418C733D666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1EF100-6F94-482B-AC32-0F82A5C01BF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16ECF9-46D6-4BD2-A57C-484647227A6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120343-AB25-427D-9BD3-FE8705CE507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5ED1F1-2EDC-425A-A755-F1F692D5DE8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69E5AD-968B-4E84-815A-CB0F089B34D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77E186-39A8-4536-B9CF-BCCAC856B74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009334-2762-4B62-BF51-E361ADC2FCA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3BB149-E73A-4591-B050-51F52524069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84398E-3CB5-4067-B802-DC53818CD58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793BC1-9D97-4BB3-8E45-D889DB4BF77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23C022-219B-4BAB-A948-CB18AC29196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DED63C-32C2-4370-A5EE-4AF679D7193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57B0D7-9BA8-4FE5-9224-FAE5AD1CDFE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6F7354-850F-4080-B932-0FF67EB7915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1DE463-7488-4B43-9B55-DBB7FFDA26F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183C77-7E15-4315-9EBD-567CC5B6AC0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6B44E5-8A3F-40D7-AAB8-F1BAE840797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698333-A92B-4F98-AC56-FD61406BF7D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A8C46D-92BB-49CA-B9B4-DF1B9408593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1F7907-854A-4BB7-B1E7-960C59228B6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3A809A-D5A4-47E1-AFC3-B5D8F9C273A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43BB0F-CAEA-47A6-9D75-145DC60C4BB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15BC4A-2981-4AD6-B588-DCFDE819993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DBDF32-DBD1-4278-A75B-26745AEEB94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68AC45-249D-423B-80F2-E9F6050CD63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15F9D2-EAFC-4B1A-B2C2-820625889C9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7D9B8A-D9B7-4B86-A9C7-CE8E8FDAED4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2FB28F-26B5-45CD-98C7-C4A1F671307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B81D5B-EB85-433C-9DC4-3B14A89DC31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CB16DA-F2A1-4D2F-938B-112165F7FE3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CCBC22-314F-4E2C-9F94-16C6CFA2094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18D2B0-20C4-404E-982A-922F7EC131E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B97652-4C73-4AFF-A304-E90C7D3EE20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1A0749-D74A-431F-9CB1-B024F3CA945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92C5F2-9E8B-4538-8C15-1847E185054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FAF27F-1710-414A-B93F-7EB6D58ED49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AB2279-DAED-4E0A-8DA3-B1C848AFA34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ACC5F5-4887-4C76-B09D-F17C17D7ECC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B27C58-6695-47B9-B031-32CCE56FF8B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1882D2-87C8-4B20-ABD7-EFFF4C01542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70C5DB-3C71-483F-87B9-5192FC5CE17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669577-0142-474B-9DF1-6FA69C021A0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57651A-9AB4-410E-B8E7-02B0D6E94E6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B67CB4-5147-4CD3-887A-272993B2097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C7DF41-E814-4B6B-A15A-DDE2C2C68E2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0D57DE-2B4A-4C41-96BA-9095B76C4BC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4C3CCA-DF34-4539-AB00-47F46DCAF04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E31FEF-954F-40F5-BCF6-5B6B0D92184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6A8C17-646E-4EDE-A51E-F2F80267EE2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D6C218-32C1-4D86-B76F-02AE235486A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016FB7-7147-4F82-BD79-15441D99E47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51C7BB-CCB3-41DE-8003-D58EAA7FDEB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974069-A4CF-4484-BFB2-FD75F1F8B43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342BC0-68CB-45DB-85EE-CB133C88A94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A49CFE-10F8-4E1D-869E-021B0D81E5B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B4B0EC-DFA6-49F7-A15A-65281F623A2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173528-540C-4C5E-9071-EE03BBD2D68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F14DD9-6C88-4635-A460-A9E382E16B5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F5F5DD-D2B5-41C3-BCA1-B8C9A1DAE41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BD3D84-DBC0-4247-8DFB-C753B1D4CBC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F4033E-4E18-4796-AD41-6E7856421DE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107</xdr:row>
      <xdr:rowOff>0</xdr:rowOff>
    </xdr:from>
    <xdr:ext cx="304800" cy="304800"/>
    <xdr:sp macro="" textlink="">
      <xdr:nvSpPr>
        <xdr:cNvPr id="2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5B89D0-2569-4FE0-8817-42BA94A3D7A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FECEEB-A0BA-4BDA-AC12-94000529663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D08A69-79B9-4901-993D-AEFDB8410C7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47C67B-BDDF-42B3-A075-308967F7AC0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87D6B9-9848-44B8-8132-EB05A2AEDE5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BFE036-1B11-4B12-9726-31C415135BE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4A75C1-42AE-46B9-A27D-253BF4AD6B3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D504A1-7EE3-4FC7-8BB4-967072AC542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67DDE0-8D34-448D-8E8F-7BD4B15999C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B88AC7-F805-42A5-9B1D-E7F6BB78F26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E71B4C-79B7-4162-8296-5928DECC2A7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78CF36-D3EC-4C23-A14C-4ACDC4CA2D8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04F4C4-7FED-410D-8AF9-5F49935EF58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CFC18C-9AB3-426A-B7A4-B1B894D1950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FB3A00-8A01-4A81-AC85-30DB7FDD9CB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9CB90B-7809-4C74-AE9E-9A16CE20602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14D9FD-50AA-4E43-A97E-F0068BD4F5F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DDD252-C982-4E7D-B6E8-BD7DFD7BA44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293205-C47A-4B38-B707-E8226F9F57C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9E57F1-A17D-4455-A22E-C2F8CF10D9E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AEF669-2C4C-4575-A2C3-498B6ACF96D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7F7D58-8D89-40A5-95D8-9D0BA931B40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0B49C6-B949-4E11-B1B1-8842B220A08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346050-ACAE-4D6B-97A7-DCE3E3ADA1E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66080C-942C-4350-B1C2-B356A2BF3B7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00450A-198F-40EF-B225-2AB5218CA02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1B05D1-1F86-4BC5-A1B3-2F70DD1DC84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2A2CAF-EF66-4D64-9C1E-7393BD8EC88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F8154D-69DD-46FD-939E-A4FE387CD20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74BA8F-3738-4D85-81CA-D36BD5EC273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3E6CD8-32D9-476B-8F36-6FCCFCAB7026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8F04E2-3CEB-4A99-A0AC-ADAE7395D9B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20E4B7-E81D-4156-9B58-94E88446C33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F8E83B-776B-431E-BD7C-E204DCACEEE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F01661-BA3D-44A1-A3BC-2C54B4A8D10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839B05-6709-42D7-A758-AFCACF4C038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695A99-4F20-4826-8FE8-E4CBE92F492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887473-7BCC-49EF-9827-81484EDC7C5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6AC7AD-9DFD-40F8-95D3-D45FCD94D47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A2A20C-995B-48B8-897E-52918E2ADAA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0EF9B4-1469-4DA1-92B0-350CBFC4FC2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30A067-4974-4005-A9D2-4D550494E98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722EE0-21A4-4D7E-8E36-D4E68F2CD2F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D1FBFD-4818-4490-89A4-FCBCB169F57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C83049-D701-45FB-9E5D-D8B208FFA61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F93DF6-D491-48CA-9146-C4021A41527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ECE2E1-AF82-4FAA-A9A8-73F64A07ECA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42ED4D-6238-4521-BABB-71B6DF3D4F6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ADFE41-8E4B-479E-9A20-4DC6ADBD0E92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329828-5FE2-4BC7-8243-89378D3132A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48FB3B-AE72-4DE3-9204-4F8F9ECA300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6B9C28-7E0F-4553-902A-B9E05A586EA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88F0FA-DEF1-4B17-A403-44F638D4224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A3FCA3-F39C-4289-AE48-710F8FAD6CF0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6EAE34-0A35-48C6-B861-BDFC8083EF0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502091-58A6-4D99-A214-E7AFC70341E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9FC510-6D20-400E-B88C-28D0AEE3AB3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F20C9F-B1B2-45FC-8826-CB8803673CE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88D401-10FC-4D01-B07D-B532C3AC1E6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936DF7-DE53-4464-904C-250DB4664B2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CBE3FB-515F-4198-A447-80E58DC004C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EA27F8-C9CC-49F5-A860-CB11E12A5BEF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0F6027-39E4-40F6-B374-096F46001435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7AACE7-CDF2-4EF1-A975-06A5727B57F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8073E2-372E-44B8-99CD-433644235438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F01B1E-BB85-4AB0-AF8B-BBBAE16B914D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070292-9BEB-488B-A45E-97FD97E9885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A01DCF-3B62-4A49-8FC4-5CCDE5F5170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D325F1-1769-4398-923E-5B1B9B1BF8E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81BAC0-CD21-469E-9319-8499EC4622A3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995D1B-4C49-43CD-8C37-03B951AA8C1C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604FE0-F8DC-4773-A326-7F9B99B82651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26D0BC-8874-4945-A56B-178438CCC81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F0303B-6F5F-4AE8-817D-097CC2BF231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C6708D-17FF-4819-85E0-806A24A74509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AB1B97-9B34-4FC3-8A7E-D9AC410E9424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009177-B1CE-456C-B21B-CCDDC3460A1A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4B5E95-2AAB-4F30-A3F6-C6E0F2624DB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883E44-8A20-45EA-B580-E9A3B3F119F7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5DF72A-B311-4391-9C17-AEC5CB3AF63E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10</xdr:row>
      <xdr:rowOff>0</xdr:rowOff>
    </xdr:from>
    <xdr:ext cx="304800" cy="304800"/>
    <xdr:sp macro="" textlink="">
      <xdr:nvSpPr>
        <xdr:cNvPr id="2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9B29E3-6979-42C5-853A-C31424FE876B}"/>
            </a:ext>
          </a:extLst>
        </xdr:cNvPr>
        <xdr:cNvSpPr>
          <a:spLocks noChangeAspect="1" noChangeArrowheads="1"/>
        </xdr:cNvSpPr>
      </xdr:nvSpPr>
      <xdr:spPr bwMode="auto">
        <a:xfrm>
          <a:off x="192214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9732C1-FA8B-42EC-BFEA-ACDA308D853C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A8BA72-EB72-4503-B522-F3729FE3805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A99981-0ED6-4275-B6A0-54AC748E0A34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4B267E-1889-41B7-8613-983E4BF8AAF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A56C55-F48E-48FD-B389-60A0E15994B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267B0B-3BEC-4FA7-82AC-9CF4D252A5B7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7E0372-EDF0-48DF-BD58-7F01888CD18C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2B98C3-400E-4429-B552-2A7952EDF97B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AE8E84-5842-488C-BA64-C40EFE47E2EC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F5B47E-8BD9-484E-9AFC-F66B7CED80C3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DC30F9-6A25-48E0-82A0-3D035F0B3FDC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09D269-8CE5-4D31-BA4D-83A5880A24AC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479454-3617-4B62-A1BB-8E679BF0F012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4DE3E3-7C67-4414-A5BA-CC7036C586A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7928DA-CE9E-44D4-8456-5C9E1E50B070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8CA597-31EC-4771-815E-25BED896AA5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447896-F1F3-4CAD-A9FE-9FEC84C0A013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EE5EFC-A0AA-46B0-9745-A558BFF63FD6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547AEE-C481-41A5-B967-E7DB5214F30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15F48C-D18A-458D-B15D-CC7330EB473F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935AE0-5C5C-40FC-84B7-462F55EB574A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C85627-198B-4B1B-88F2-4B5170D2C5AE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131A55-DB98-4EFE-92FA-D3D443120B4D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3EDD33-577D-4ECC-9EB4-7428B677EA2F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A350C7-F9EF-4FCE-803A-277F203DC345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A120FA-523B-434B-98B6-EA5B8C0B5FEE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2D01C0-47A4-4BE8-9E29-C53397653D0C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24F89F-92E9-4819-947E-4BE909E9D88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79561E-9C2C-4187-AAD3-2F8C127C82DE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36773C-B712-4D70-9362-6D1A7F64C487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EB37FC-4160-4E14-8242-02BD28AB4995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D11CE4-FB38-4C6B-BAC1-CF0EDC2D074A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86A634-EFFB-449F-B057-DAA63A6AFD9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672EBD-8CE5-46DF-9CF8-402BCFAE21DF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1DF1E8-23EE-4618-A244-363FB25D46D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714375" cy="304800"/>
    <xdr:sp macro="" textlink="">
      <xdr:nvSpPr>
        <xdr:cNvPr id="2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584509-4565-4E21-B1D1-80301BFEB589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6B5113-3F5D-46E7-B585-0058FFE53A3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570519-96A1-4EB4-A790-2C2790899DA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7E4672-E554-412F-B4BA-2D41164D80EF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A9EE17-BA0E-4779-8C2D-D1A23415A00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6B8068-4C52-4271-BD59-0E2E904A3245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714375" cy="304800"/>
    <xdr:sp macro="" textlink="">
      <xdr:nvSpPr>
        <xdr:cNvPr id="2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78A488-7A47-40F8-9DCE-24A2C2559404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77D7A8-63E2-4866-83A1-66132366893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93F082-033E-4A30-8D7D-98C3148D4137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004A6F-EFF8-4FCE-A4B6-6F0B5311A469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B7C515-9912-4D8D-84CF-50DC9B7934F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7C0A7E-3F76-4E47-A143-0D5ECBF27F09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1C6948-193B-42F4-B001-E55D3C100AE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DCCADA-09E9-45A5-8472-00692DFF4369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B30F1A-C020-4AF3-9E19-DE63816657C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FDD514-F906-481D-8BFB-00B76C62164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614B49-5672-4233-8C75-F7D781959534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714375" cy="304800"/>
    <xdr:sp macro="" textlink="">
      <xdr:nvSpPr>
        <xdr:cNvPr id="2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C75620-F04E-46CF-856A-F132C98A8CE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4CC60B-691E-4939-A12F-E9E631B80D1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D10674-4790-4100-9700-523CC1D57D7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5CDE6C-5716-40DF-B812-18E6D1320E6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DEABBD-2E4A-4492-8477-C5A0663E33F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BEEA71-0019-430A-886F-D97F25E32022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165F6D-3C70-40A6-9843-EB3A1955F61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C0C6BF-132D-44BB-8506-EEE341CF0835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ABC743-ADFB-4764-8CE2-374B5C672BF7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B8D361-1FD8-492E-ABFB-E2D014339E75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6396CA-C197-478A-BA24-4F3E1C1F9737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E83F90-5BB9-4004-A41A-15A8F4097F4B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59F64A-5BB4-4A07-A3DA-3097741F4F54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9BD7C0-3B6D-4B80-8035-62E5208753F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E79C93-5E95-4940-B1FB-9E9EDFA3E95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28A014-3422-47C5-AB29-28EBB66075A9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642900-2B50-48C4-AE92-23561512A88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376BAF-A06A-4430-9F86-8F9A93109F19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807584-5C24-464C-9770-6D97C366DBEE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277F48-80CF-4147-AC83-7CE9DC11C2DB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03FCA4-0C01-46B5-8D70-6758DCDA5444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C09A72-A083-4C7A-8C85-5B91124B1CCA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4A4BDC-8877-4D0B-BA7F-D52AE42DA9C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211998-9AE3-4801-B86F-4BAD22DCE022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FE4069-3AA2-4E42-948C-ACE880ADD796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A09A08-4486-461C-99BC-0F29D5777F1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866CC5-56A5-4D42-9CB3-ED9BE51BB420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98CA78-533F-4E16-8117-A29739C43CA6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E20939-0799-4D76-85C5-CA0E3D55FA6E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28C421-CDF9-45F2-A584-8608FD16AFC3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C061BB-A8C5-49BC-900A-1E5991E0DFD0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B0DB42-564F-4173-85CC-0597F669A3B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D2EFCB-4163-415E-A52B-EE367A9313AB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95DE44-B485-4073-8566-1C543EE07A14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386360-F1B2-4937-A767-9C3F5E644ACA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9361F0-C601-4761-8E4E-357B2C6F37C0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6151B2-B876-48A7-B114-D5087AD963E3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F771E1-42DA-47C1-87F6-608FF4F5AAF4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3A3209-B0C1-463E-8634-18BD3614193A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CCEA4A-44E2-4000-A662-B29C91ABF61D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F08723-DF4C-459D-B5E2-5A9FB67B5780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B16C0A-D5A9-4EA6-A893-439FF79E928F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99AEF1-A678-4CFD-B862-A69CE0406CBD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14A124-13A8-4C94-AC02-8BD78923543F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22F5BB-3210-44BD-BBF2-70C86E332B0D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714375" cy="304800"/>
    <xdr:sp macro="" textlink="">
      <xdr:nvSpPr>
        <xdr:cNvPr id="2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7E99B6-84FF-443C-9CF7-813D8EBD95F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6E63C8-9CFF-411C-BD7A-F6E933F903F5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3A69B4-4319-444D-843E-FB10B46F079C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7A613F-83F9-4342-BF05-83AC0081228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748374-139D-4254-8739-C608EFD67A3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3AC67F-629E-4783-9645-C5A062FB86D9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714375" cy="304800"/>
    <xdr:sp macro="" textlink="">
      <xdr:nvSpPr>
        <xdr:cNvPr id="2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995209-72E4-4FF6-8AE9-5386C3085C0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6F6118-868A-4EE8-958A-7F5517DE849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9A0FB2-0495-454E-9A52-E89EF63EC022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27C81A-CDAE-4236-85F1-86234085632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F63647-29BF-4982-BAEE-775591EB0E2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8534D7-2F01-4B20-8FD0-F3B018CE284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DCF32B-69B0-4EE7-A30C-F8A09D62615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877808-3B08-4B16-A529-40FE1475AB7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3EEA97-22B3-46ED-93C6-FD94CA0C85BB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299EEE-8A68-4635-BD24-8E6E1C948D9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30C69E-6256-48D8-8A16-2BD4206ABBE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714375" cy="304800"/>
    <xdr:sp macro="" textlink="">
      <xdr:nvSpPr>
        <xdr:cNvPr id="2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134D40-7C98-4909-A65F-6DBCE00794F4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01E9F1-463A-4FAB-BACC-930F46AD40D2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3A79B0-25D5-4A0D-B97C-B60337F9373E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CBCEEE-B8CF-4C8F-995D-419257B7B4B9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7FD342-635D-4CE4-99FE-146BEC5CF025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65E109-870D-48D3-AF50-58C2D841778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BAED16-4773-463D-B8E6-B341E8462BA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F472B6-2056-4EDD-9443-DD5D9B1C935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C6CB73-A19E-4818-8148-E0F3F8388047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6055AA-080F-4B88-BA2A-5258C51070E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5F80A1-F069-4BDE-A8BD-7525C792729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9DC649-8175-4336-B8BF-B703C11DD0E4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AFD6E4-72E7-4531-B001-62E7282EEFC7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25F7F7-DD32-48FD-9133-AA2F1FEB7232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C4768F-A36D-4C85-944A-1B9BB4B2EF0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78ABD7-DFC0-49B4-B3A5-3386C34B58BF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12677C-B78D-49B4-B223-B805EB32577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72A3B4-769C-4183-8F9E-E1AAF11FDBEB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871D97-8FCA-4A53-9886-3092D438A27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E7A427-972C-41C8-BE2E-2C98FA59991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80F9AB-3579-42FD-9BD7-7219E3B03257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F9ABE0-8810-41DA-A92D-8B7FFA7B7607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8FE7A3-74DD-46E8-B42C-48A68CA58CA4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2013B5-3A09-4226-9C06-4A8366CE4D4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AADE76-C122-4C61-92F1-97CB8EF964EF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D8B996-4D11-416B-B6F1-93AA9F96005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06B653-C3A5-4533-A3E7-5BFBFFAE6F8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BFF6D9-088B-4A37-8A1F-3D414257F459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63D843-51BA-43D7-8678-859831C9106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25DFE8-7D95-472E-9E49-1B99476CD2A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C6EF23-6B12-4C40-A777-F0CFE8F23E0E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8ABE70-0253-4804-93D4-8D38DCB59F4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F36A4A-69B3-4B76-B35F-91FD5816E30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489549-294F-4AD2-B26E-FB26ACCBD44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9C737B-253F-4A6C-B8BE-161CEB6EC91E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852133-5CAF-4F64-871D-BB78ED10B59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4B4E2D-531D-4E5A-875E-CCA5C578366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8B39B8-413C-4C80-98F3-5E189B4E782E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8BD7C1-0EB3-4CEC-A582-F0B3E00187FC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1DFB34-DF9D-47D6-B43B-E90F2E20C2A2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9E0FA0-38A6-4F1E-A69C-2037539E0AB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3DEE54-C80A-4DB2-AE71-EF2BFE5AE29F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C86A76-B734-44B7-9A41-91469CB0E9EF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7FFA60-DBCE-4670-9169-881D7120EE7B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FF69A2-D291-449B-AD3D-E4B145B394D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DEF648-2235-4FE8-9140-CB8A656C95B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C42328-2512-4245-AB10-0254A5A4900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30785F-FB08-4A2B-9B58-7469F4590124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F95D8B-444F-4742-9698-D3B85C8EA10B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3E056A-CE14-4784-B9D7-87FB821BC4F5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D00BFB-5FC5-45F3-8C5F-C27766565C3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9FA5B5-B100-4CE0-A369-A1E2E25433C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B4D09B-DB6A-452E-9715-0D017CF2FB7C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750A19-3163-40DC-9571-F9FEB8A5F55F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0497B4-D8EF-44CF-946E-2656DD1E970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64D6FE-7CDB-4E40-905A-9218BF47E10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FCF6F7-06DA-4ED6-A653-C5749E7C6F35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90BB89-734E-440C-B426-1D32718761F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FE0F36-4764-4846-893E-E3DBCD61554B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D772E3-6725-49E2-A79C-099B903781B7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9D54F2-5E04-4BA9-ADAC-D87721DF9B65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668E33-47E8-4C7E-8525-360193D10E27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A0E264-F90E-4A4F-948F-FD2EADE72CF2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FB5176-6588-43BA-BAAF-5EE5595518C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9FFC42-9B24-474C-A90C-07EA2B5E7AA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7EF749-58A3-4856-B901-4E2159604BBE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A7774B-47AC-4CD9-832A-B55A2D150A2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B8040F-7236-4ED4-844D-56E5200A3E52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D2E5F6-28D9-4FA2-9A0C-B8D0D95F349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9F6A8E-5B0F-4F01-869D-9DB1A7A3FB5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C9EC4E-582C-4B7A-B503-5EB3CDAFC47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6AA9E0-D5F9-4A16-AC9B-10B2D80B893C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EDD6B6-51C3-44D5-A8B1-661D8D5A29F5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8143B3-EDAB-4E2A-B036-918290F674B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9FBCE1-C955-4A8B-B751-4CFA3A574F9B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5A443B-6209-4725-9BCB-A218855AB3E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D89F2A-BE2F-4190-8ACD-CAA5D9B2FEA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1CB696-202E-4086-B5BA-20059774940C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7B87FD-880F-475E-81FF-51A37B1FE05B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318C46-E71C-49F5-911B-A3E9AB1C7F52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8C2FC5-B801-4DCD-878B-6AE2E779399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39FBB3-AC39-48D0-AB24-6642F8B62B9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1BA0DE-FEF6-46BF-B283-8BAAD163565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AE2D51-B541-4B19-8184-E7E67F6C49B9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4AB7B3-4397-458D-BE33-4C2FA74B6D22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8FF1C2-AE91-4910-A9FD-FC8B7A3A38DB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27E043-6DF9-45F9-8362-F7166AAEA6E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A027EE-F8FE-4655-BF71-518CF4FB56CE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4EE882-416F-4FD0-8FC3-4A728F3002C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96FFD3-C9FE-4D8C-9B37-3FFB7CB9748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07DF11-18A2-4009-9B20-C30288357102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09EE47-6614-4702-A67D-1EB5F32EDCC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615482-371B-48F2-B9ED-F90B0E656B5F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2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28925D-9FAF-438D-85B5-E6CE90AC523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714375" cy="304800"/>
    <xdr:sp macro="" textlink="">
      <xdr:nvSpPr>
        <xdr:cNvPr id="2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FD43D7-C113-42A6-B6FB-7DFACA0F5479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15F5EC-A30E-4C0D-82EB-5A2942262455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083D28-ACFF-40A4-AEF4-99020D4C358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F71A85-93D2-4B6C-9354-A1879481EC62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97A660-DFA2-4BEE-BC48-CEAD54DC9DB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B7CB66-4AEE-4E19-8617-1955A8A289AC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714375" cy="304800"/>
    <xdr:sp macro="" textlink="">
      <xdr:nvSpPr>
        <xdr:cNvPr id="2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95B5CA-F954-40AD-8CB6-39109D785549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F85C8D-D390-4225-B64B-4BFDD9D80E8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161058-D052-4E40-81C5-D4CF66C4B8C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946AC5-C010-4FA2-8A4D-6B0815CEE269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6C25A3-CB7E-47D7-9EE5-3ACF7BDAAFF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8812EF-F497-4713-BB13-C6101D37F78B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EFED41-227B-42F5-9A22-149CA9BDAFA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7F6D2F-8F58-4B02-9A22-5C571B9E3D29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0D2CEB-A738-4F6E-B42A-8EDB5E022B7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0C53BF-817A-42A3-905A-7A9E6B50EA4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12B103-EEA6-4028-87FE-F9B0EFBB095F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D09D0C-29AF-4F5F-ABAE-898C29C8342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9740B5-A1B1-4097-A95D-CC0533425C25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49A360-9E17-4924-B743-59FFE16616A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6C7CBE-6F3F-4FB4-BCBE-F895EEE50E29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68B2A4-5BCD-43F1-86B2-125FE969DA7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841380-52B5-4816-BAF3-CD8E325415F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A34AF8-2F70-4D12-9AAF-FDE74A39BA6F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9830E8-D388-408C-BB8E-10EA9AD402BB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4B7E46-8AF9-4CD5-9807-1A9E27015529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D7DF39-AC54-48A7-A82F-D360D27385C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714375" cy="304800"/>
    <xdr:sp macro="" textlink="">
      <xdr:nvSpPr>
        <xdr:cNvPr id="2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71894B-FFDE-489C-9F1F-CBD44775068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FB162C-AEB6-4D2D-B04F-1D26F60AA37F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515D41-48E4-4E18-BFB6-E42291322BF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1D02A9-2C4C-4BA6-BCD2-EDBE998A850E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1383E3-1344-4790-8448-9C17070C7E1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2556E4-90AF-4B8A-9D7F-55ABB8775ED5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714375" cy="304800"/>
    <xdr:sp macro="" textlink="">
      <xdr:nvSpPr>
        <xdr:cNvPr id="2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D71EAD-4FFD-41E4-82C3-80CFFA5EAD5B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1D4BB1-47CD-4E47-8F8A-F5F1F05B1E3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5C9CEC-54DE-4F0D-A9A4-3C95467E19F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B06A5C-8ADB-45F8-843B-217B918D952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8CE090-7644-4ECB-9672-CE2E4BE91247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FC8910-4B4C-44F9-8915-88FB7C12127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A33180-1161-4050-9A4B-31DA8E38088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94E135-089E-41A7-99ED-8B7B56FBE01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388A99-BD82-41A3-A38F-E4F6C34EBA1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0A16F0-AEC7-4A35-B723-E392544041C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37434C-F13A-455F-87E4-882F4BC2CF8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FFF321-22EB-4B3F-BE19-311A814FA61F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D6CACD-7CC4-482F-854E-4F421776E12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BE74F1-9F18-44CC-92C8-D9782016F96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DCD931-3ECF-41B2-A999-AEB3EA425ACB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5D5E57-2B5F-45B4-9F20-16DD04E30FF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D29506-CE5A-4EDF-9CC9-EDE296908532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945D2C-E365-447F-85F6-DD5BFE4310A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A0D581-BE7E-4E6C-B0CB-F4202661750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1F2AE2-D7E2-4E69-A874-A86EC2B0673C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2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FD259A-1F35-433F-B5FC-C9731388A6F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13A23B-C87A-4847-B6D4-5C1AFA6DE530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6E4657-6846-4A73-8811-84FF478EB381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343658-9F8F-49BE-A2E9-68CD4BF954E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586BA3-691C-41DE-A3A9-EDB01D19EF9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F98AC8-8CED-4F79-A1D5-3754CD75D833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6B71C7-25DC-41B7-A8B0-EA512A0B04F5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0B89F6-820C-4397-8E82-AE4682D6F9A3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061FE7-67E5-42BC-B152-FA46869FB939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99A236-1639-4643-816B-8D8A1C87D8A7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6E0930-5CCF-4D1B-B16B-679C62C1DC8F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97D81B-607C-4877-A2FE-758916F9A15B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1258C4-B0E9-48E5-9B03-955EF164E18C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F9B13B-59AB-4C63-B939-3B90D6C27CD1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9AF6A9-D882-4DA9-8986-0DB798CB0D6A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DB9475-42F1-49BE-BE90-107FE0BD41C3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E4B8A4-5D25-4124-825B-500B0FC4775E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AC5EE2-709E-47F1-B2FA-2C86C11F48AC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827CAF-77BD-48B3-914B-32FFC41B8CFF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19A56C-8002-4D5B-A384-4AEF277A8FE5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2CDB45-7069-481C-8F79-073B47958A55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3DFCFC-A011-4102-958A-5EC0A1B02769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903B47-1679-4DEB-B9D5-0280A825F31A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65DE38-9D60-4B4C-AC5B-3DCDFA86DE7E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6A2799-DFC2-40F7-8ECE-33830A2A0AAE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9B7BBC-DB52-4AFC-AB26-46180B00391E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46E5A9-5744-4CFC-93C5-8556C0F636FA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B14095-76DD-4066-A668-8368C31D39B6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B07D44-9710-46A1-85EB-81E809BBC07B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5E9FD7-99CC-4A30-B1F1-D7F311FB0E60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161081-01C3-4F0A-9A75-1D78B7F3DC21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B22698-9365-479B-A479-C39F6E2D017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8C2A5A-E0CE-4A15-A997-F7C84C15D25C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8DE174-BF64-4561-A0B4-C1A804C5E61E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C74CDB-0A20-4DBF-B318-57F943C24390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FB10F9-154E-4EAF-B72A-206FFAF4B367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B2AD57-6520-4686-B497-D1D0A5F8F6C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F8B7A6-2748-4621-890E-FF49B5587A3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50BE9D-6D64-4F87-916F-C8A28C07951E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A59191-240E-424B-98C4-171FA5B89434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5C27AD-977C-4BDC-BD33-8BAC94FBDA4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37B4F2-CB41-4BF5-AC1D-BC76AED0E88A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550D15-C028-4826-AB25-0F445A510DEE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BD869E-8BE6-4CA8-85E4-C2899AADA81C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901848-2D8A-47BE-BDFD-459E7FBDB629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95DCCC-2A90-4E4A-A3CA-530A09EE331F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8B6877-80AA-4FA6-8D9B-D4B95E2CE50D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795E12-DC1C-4A06-AB91-83D5D328A9B5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FECD6B-C942-4AB1-A1FD-21CC1C0759B3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1E802E-ECB1-422A-8E4F-063A7CC4BEFD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6528B7-684E-4464-824F-9614DB82A60A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2D1B8B-6EB1-44EC-B10F-6CCAB6B27C3F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F9A0F0-4136-42AA-B466-19059F52617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7AE68B-C23D-41DA-8589-BAB84D2328BA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9F2D08-6B18-4785-99E1-1C398CCB6E56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4ACEEC-B502-4E9A-AA9C-10762A7A33F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B5F65E-C44C-40F6-9CE1-F015C595F03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9F5D53-50F2-4A25-9EEA-615C6033BD9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0FF79C-923A-4042-BA8B-3F60C94151B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8C577C-E538-49F5-BE58-9829C9380C5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6F0E82-0539-46C0-85DE-FEE8A64234A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A0EEE8-B2CA-48D7-9BF8-6A28A090220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8619FD-78A3-4189-AA9D-B086302DB18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0B041B-3023-437B-B135-D613FE36937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331802-8575-4788-9472-48BD19F3259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BC5919-14C6-4E84-BA71-0EE1BF3B7BC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FC45D2-EFA4-49CC-A441-D146F7CBF24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1C75D2-AEBF-4C9E-8E4B-D88D04DE157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C01987-FDDD-4418-A440-AC1674B6169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CAF5F7-41B7-4833-86D4-7E5ED7A6056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E0027A-00A5-4622-B9FA-A6B7EDB36DB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7FD741-CAEE-4871-9E85-0D7EDEF8E68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9BC28D-25AA-4A29-9548-89929D694BB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4B801E-C162-4C05-A74C-5D052690BE2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AF0AFF-46CA-4F6A-9498-81D08686A53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FCFACB-48CD-4D4E-8958-A14538E033F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9F5C6D-2D22-4775-81C1-4D58D5DC08F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3DB3F6-5918-426A-B96F-397DEC05D14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DE8FD7-13A6-4658-9747-5AE07C03814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CCA9FA-AF78-4CB3-A895-FB2FACF8431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DECD4C-B547-4513-B9BA-5BC5135BA94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308A73-CCD8-4459-BE9F-E9AD5D5B82E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E7C0D5-A7DF-4B1B-97D7-CEAE4AEBDCF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F0C71F-C307-41B3-9566-9142EBC3421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E6CF1A-EF29-4BED-94BE-4E028DEC316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55FC9B-3463-49DC-A14E-59018A48B66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18FBC0-5602-4577-9DBA-3153BF4BC19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CAA4E7-A495-457B-A371-D1AC5FE5EF5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5CE917-22C5-4C00-A4FF-6D46A02F9B2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E588CF-72FA-44B9-9D1B-1AD0E725D3C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823195-FB2C-4126-A9A7-989903B3FD2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830626-0540-4E3B-9FAD-8CC12EF9E56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2D8D47-2A98-4581-857A-8AAF49417B6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9CAEFB-DE5A-4C14-A976-FB28BFE348C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8B56FB-1D9D-4990-8B0D-44621B04D94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A4F6ED-6650-4836-98F4-46BD79673BD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D2E68A-6915-4540-9487-67B9B482754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D16F79-556F-4FD1-86AE-EC1C9EDCC7E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1DFEC9-F70A-4085-A749-E23499EC3F3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8FAF53-533E-4260-A938-5CB666F343C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8177D4-F04D-442B-B05C-148408D3F00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6A8F44-B5B3-4D90-8B73-27969ECAA16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35A19E-F54F-4900-AA24-F0A917B06F1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48D828-A66E-40A2-9692-FEBCAF07B37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8B3A9B-73DA-4091-BB3C-41F6F9B2C29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1D7379-D470-47AD-B6A5-FDE183E3AC0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C94D0E-A48F-4048-939D-B413A022F16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F6AF8E-C8FB-48BB-8F07-997E96610A1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C31864-02D9-4B42-A78D-0C6395737EF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FE7BDB-9758-452B-B0C9-0DBA62745C1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4ACA59-A726-44C5-B6F5-90B6F689103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A117DD-9E18-4DFB-B02D-7B38395E4DD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C631B8-9287-4EAE-9688-55AECDDC473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A676B7-D1FD-461C-887F-4EEFB62D038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B4232E-B174-4401-B8FD-7A8B6526E10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8E6B52-540E-48E6-930A-07469FDEF5A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E46A32-9E10-4A8E-BBE2-BF5C95DE12E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60F6D5-FFFC-4F54-AA0A-3D29ED1B4EC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560502-8839-48B7-9500-A5C814A9638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F4D800-1477-4979-9F05-3EFB123E6B6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E892F1-F414-4743-B141-59F389EF85F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DE1FF4-6201-4A14-8C79-55A26FAB5A2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3B6EB7-AE19-4274-BCD2-A346161BBB3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9946C3-A96A-4AF8-8D92-76344BEF85C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E09CCE-1AED-4974-9ED2-6A2E1A6DDC7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7A48B0-F20A-41A9-A84D-E1C0C8E6E04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32A5C8-6772-4817-8431-8CF22AF3BF1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C6ABA7-FD69-480B-86A8-1D8524A2D60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13BF03-4222-4C79-90CE-2C916E98F3F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D118BA-BC14-44B5-9566-4E3443161A2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08C56E-9393-4A1A-8B68-CB762A4153C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BD0555-CF54-4091-B098-68796D16014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A448C2-4C62-4ACB-825F-2E22296D2D4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C45D0E-9AB9-49B6-9C40-701EFFBBE32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21FAC6-E184-46AA-A533-397F2B034A3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474F40-3681-4CCF-A1CE-50FBFDA4E3D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E28725-83DA-4524-870B-721ED56BD9B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A487F0-7437-48AD-B6C6-140138D7E94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716158-CC3F-405C-B6BD-3D0AA439EEA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602B70-7DA3-4618-9A63-B007500B689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6D1938-A4C8-45B6-A362-BC0E11D14DF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0EDBC5-5028-4F7E-9FDD-B363F507F8B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41BA5A-1C70-45F4-B9D8-BF94B616641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DEE1C7-DF33-40FE-A8EC-FF598AF8AAA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96FC00-52EB-413F-BF32-245F0E3995D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E8A08C-E428-457B-AEF4-0BC33313233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5BB9F2-15F9-4D87-882C-224639810A7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9812C7-419C-4FE7-A94A-0238A7BFBBA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F925CC-D46A-4E81-B235-ED12D8B9473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20809B-2AA4-447B-8513-6784D566E00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DA6D2E-D93A-481D-805A-38018BFCA60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48FA69-8BF6-4205-B50C-4C434295767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4BDA79-88FA-4613-B61E-A94C2A20701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EC1E9A-015E-4CDA-9983-8D1C858B935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028736-936C-4F49-A8CD-930DC3A5AF0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636956-3BFA-4B67-BD68-56BBC4AA917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80202F-FBF8-4186-A492-F204D023EEA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215967-E20C-433F-9EDB-8F9B7EFBA34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46F44B-7D4E-4440-A4E0-B0CCFEB58BD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1204F9-017F-4F86-A5DF-A81A9A212E8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6FC427-FA79-4AEB-A9F6-99451BC4EAF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961E3E-B718-4A4E-A671-F8410289F3B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DCE160-15D6-4255-8BAF-769BA1B48FC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1CF48F-8BD3-4523-ABF0-162235668B3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24DF58-D06E-40D1-A084-B6AEF736BA2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808BE5-FEB3-4397-BE7B-158BEB330B4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428993-2650-4194-928E-A66CA2879E5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1F61AB-7C45-4C57-9CAF-AC338230F41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F22B34-FCC9-4737-B78A-99322D915E3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D43404-960C-4AB3-9AE3-76791A062C8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D8B0DF-A662-4B33-9335-0C15B076C63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FF0AB0-06DC-44AA-A7FF-3E784F159FF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AC2E31-C00D-4199-BB83-D5870D65AF5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CE9F2B-2D2D-4EE4-99B4-48E55798916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DEB341-C073-45E7-94AC-16446A2541B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1A547A-8D17-4670-A858-1F74B30D644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30BE5E-3D9B-418B-88EE-00C3BA7C01F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FEB701-A4F2-4ADA-AD34-C4A19012F73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D664B0-8D9A-43A1-AC0C-B989E56341F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D6D8C8-7C60-41AB-9E02-144196D4AA3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DE95D5-37EB-4E19-8E5B-3040CC94A51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DB34DE-FDFB-4058-98C1-BFDA2982200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4F46F5-1926-41A7-9BDA-4803C9868E6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671AF4-2C29-4711-B71A-559857A96D6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8634E8-29C7-43FC-BB1A-6F3E108F187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2E634F-5B26-4B55-A29F-141AB92ACA1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1FAB8C-C6FE-4F28-A34A-67F1334F4D8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AECFBD-0738-44DF-8A4E-97B1ED44959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0B5103-8E09-49B1-AF64-DE8088B0EF8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264505-336B-4792-9BB8-D97BF5C3482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5E0F31-FFEC-4307-B348-6751E394263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58E903-073B-424D-8701-38C3330A365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C89003-F957-41BA-B87F-A7C0DE5555D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2182C5-B12F-4E3E-B117-5852F9DEA8C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CA832B-2A42-4AC0-BB45-C5B639B478C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22B3E8-A719-4AAE-A49B-475F17348F7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892FF1-0D04-4F03-8154-B4511B18020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D13D6F-73C0-4558-B489-33C86CFF6A0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41BE6D-A51B-4774-ADC8-040CD29C549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D8232B-E76A-40B7-B99D-351B3C80D2D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FDDCEA-BD17-47F0-B6B5-AD0FABD42DE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6B1092-63E9-4C46-B69C-EF2500BDCDC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A3B761-C182-4960-A49D-FEF564B6642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DFF8B7-E970-4829-8312-EFE1A389B79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D1B359-C572-4854-B568-EFC54A1CE13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8036B1-D862-42E1-BFA6-F8887662331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C11B65-D052-43CC-BB28-BB8ADC037D5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C8434C-199A-498F-8476-8475E93B7E5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F2CA72-E664-43D0-A4CF-1FABC25DCBB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FC0546-3D38-4AB8-BE47-7D1CCCF7070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A97AC4-10D7-4511-8F72-E8E3B96629C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A4B3C7-B632-4311-8D14-1A89F3EFFFC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C96D31-36D3-4612-97C2-7D6AD994D2C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340A3C-6BAE-4ACE-8CF2-23A24FADCB0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07CD8E-9A97-4314-B4F3-230D8D828A0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1B2484-F253-4232-8BA3-C83E1378FD8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7897A7-3423-4F03-8D4B-66E83607442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941254-2072-48B7-9553-1FDFC2688CF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290AD7-FEAA-42CC-98F0-3BC68EA244A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B7DA47-5F28-4964-97F7-6E88853618D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012ADB-77F7-4308-905C-EDE532AE5E5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7EDD4D-18BA-4C11-9F31-A5F7BD0B405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3B52F4-391F-4211-A841-85876F117D0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BCD6BC-1B22-4839-A832-13B3E2BCDA2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67319B-0287-4C12-AC03-AB7DC37DED7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436275-6D4A-4B96-8CEF-40F0B51F582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8BCBA5-081F-456B-BFEF-75B51A58926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922A73-3F0E-4943-B5BD-A705251E932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B4C646-2A57-4BCE-8FE8-659B0B1D918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77CBE1-0552-4310-BB8B-AADC821FF07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AEB09E-D01E-43C9-854E-EA960FAAE7B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E17F61-ABF9-4E3F-B943-8A15F87C664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E7DB9B-F5D8-4FEC-976B-A12E9692601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970331-8271-45ED-A524-1F4A39E729F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40B8D2-1BB7-4EEA-8EDE-1B66143E63B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D8E130-E808-4145-97E0-A39B82B97B2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D0B997-55E8-4F84-8E87-33709FB44AF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63DE1B-76AF-4D3E-B3C0-E1F33519BF5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824EA6-9BE0-4181-AFDF-860A897D0DE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83982F-0207-4153-BE0F-54C3A9247BC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337E9B-AB0D-43F5-A0B1-B9AD9B9B9A0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5E1F71-6569-42DD-A683-5A8B19E12B5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917052-8638-4485-99C8-3E5CE2A79FA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385903-74E2-4175-890C-F46338DE8DA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754C24-E63E-41D1-AE98-7A5729D6567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EEBD54-5516-4FC0-B0EE-0A4A8F12030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CDD34C-1F94-4AA1-99F9-01257826FE7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18F1F0-CBE8-44F3-ABCC-EA98410A7BB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9996AB-33E8-42CE-AF4C-4A653BA377C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461443-908C-4C1B-9792-73968C4344D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55A884-14C4-4A93-B46F-F30CFE4A627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682EBF-9B67-4A2A-8A6A-09D5B468F2F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B70B06-A2A6-434F-99D8-155D7A86B33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DCA776-B8F0-433A-869A-F141FF4C8C7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5B1683-4F00-44AD-B6CF-4D316E7D53C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9C6DEF-05C2-4644-BD5E-20E6E7DB034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26B1C7-E851-4509-80D5-9B4B992EF8C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7F749F-078C-4C7A-92D6-D8760630E27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F7991D-0BCD-4DB1-944A-7374D2D3872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6D98C5-0B6C-454B-99A8-DD2044185EB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2F053B-BD60-43C5-9F40-E694366AF8C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A142FA-7ACB-4570-816C-57C5FD1171E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17CE8F-6C0F-42E4-B001-34DB212B97D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BA269C-3919-401B-96DE-699C6B8B22A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714375" cy="304800"/>
    <xdr:sp macro="" textlink="">
      <xdr:nvSpPr>
        <xdr:cNvPr id="2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D4B0F4-9DAB-4D96-B7FC-3398808B9E2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E5F4DE-6DB2-4987-B3C5-BB56449112C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599657-F270-4673-8BD8-331A638EE34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0C035E-4315-4E55-9FE4-33A2896D47CB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01C20A-FBFC-44B8-92EB-18B77567D91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ECF36B-9D9F-4370-8E36-6C03C88A692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714375" cy="304800"/>
    <xdr:sp macro="" textlink="">
      <xdr:nvSpPr>
        <xdr:cNvPr id="2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DA5250-598E-4254-8229-7DB5CFDBF26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6DFF25-C870-4C66-9392-EF6CAF6232F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E29A9B-72C0-41A6-B8F8-54352A2BC1C9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F3EEF6-C592-41FF-BAFD-3E45DEAAFE7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30A11B-6466-44DD-B914-B2E0AA7A0FD7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EF206E-B9C5-443E-BA62-7E5C66BE687F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C939A8-D5AC-478F-8688-9F6C13CC762A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EBED8D-474D-4256-9B5E-45FA02DA3958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CC96F0-10BB-48C3-A392-BCC0169A5A72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DED04A-2217-40F7-94A2-197C2704FC25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A8B0A9-5662-444C-AA51-A6FA4172F0A8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B0D693-DEF4-4103-82AA-15A413969E46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6C46F4-17D2-4F40-9591-459F0B0C95DA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0FB3DE-9BD6-4420-AE22-22163911F86D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A03D7E-BF63-4849-A9C2-E3DEDA8F151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F87408-D35C-4383-A9B5-872EA97F32B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34A6FF-2667-44A5-9C22-ECE9C80A341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0C8966-6968-40E9-B23E-275AF189791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D42C89-543E-4D39-B870-322C88DBAA07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CC74AC-8F83-48D1-A92D-6C4E3CCC0B46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8F6000-4976-4A3D-8711-54405EC2D2AA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714375" cy="304800"/>
    <xdr:sp macro="" textlink="">
      <xdr:nvSpPr>
        <xdr:cNvPr id="2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D13202-6EBD-471B-B552-D10F70696B17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66F689-39BD-400C-AA2A-31CA4654FA7F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467537-DA07-4709-8F32-FCF835438C02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7D204E-8785-42C2-857F-6EE29D758E0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8D3727-B9E5-41CE-B422-BA62A4B85DC8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367BB9-E440-4CEC-A3C7-B288E2AF607D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A7E166-9A1E-42B6-9101-EB5177CC76F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9E7650-10E2-43CD-9257-4AD8C1CA0E0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B7D2AB-6163-480D-A546-0FBEDC13D725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1E0C88-53A0-48D4-8585-53F4F19E918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1327E8-603A-4607-8DA8-072C89D183FB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0FBF71-CE15-45FE-859B-3FB669DFC90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7BEFC5-0FE7-4235-8A43-9B32666AEB99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1BBE48-23F4-4E4B-8707-99977E4FD51D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164BFE-3830-414D-9403-7B40E3C6DC0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07DAA4-D23B-47EC-B2AB-F3D800CD38F9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B5658C-7096-4D80-8DDC-2B96AA9172B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0ABA6A-9C24-4E71-A254-656569490A4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8E63E9-9989-4C58-BD6B-290235ADB5DD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486C93-1074-4581-A2B6-83F86D7A5B5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450966-8E31-4AE1-8EC9-B49251FCC0C8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1A5D4E-852D-4E2D-BC50-0AEE8CB69C7F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3C9BD4-D4A7-4B8A-A846-2898A5A5DDC8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6F6E56-1582-4DA1-B8A8-CB59B173594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A3C1A2-6CE2-4680-BD07-17017C71DC99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42B9B7-B2F0-4D38-996F-5253CE7B27E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470B21-6D37-40B2-AFD0-9ECE8E024E0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6E2AE9-FEB3-4544-98B1-776F873A6EB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897ECC-224B-4B0C-8A47-56AD5A9B6D7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3F6B27-D31A-4A0C-94BA-D6F9867594B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55B092-77A3-463C-BAA3-90E1BE0A599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454CB0-C956-492A-B2F1-11AE6179AC4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907037-ECFE-4213-BE52-D37F0499BA8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2DDFCE-EC82-4AA8-BEED-A16324D68F2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F91201-4089-470C-A6E2-0163E311B6C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4C7B4E-521C-41D3-B4F0-F1B3216E060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A36AF4-DD3B-498C-81EF-8B3A5616B4A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94EB16-E41D-4813-B1DA-C0DC8DF9D53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E1D670-C918-433E-BD4D-491FA760CB8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278A32-72AD-45F1-BC99-84A1C18BE8D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3BCAFC-78E8-493B-898F-8311A0E4181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A66574-D5E3-4872-86E5-6E2CBB49D5F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DA4528-F22F-4C5C-A511-74C4F4AA39C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A153A4-F685-4621-AFD3-5F3C89AEE54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78556C-4A23-494F-9A7C-AD1363E205C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D16BB2-1FA1-4281-A7DD-68F689E5D41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CD06E1-5C61-406A-8608-DC014244431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FF66DE-B146-4884-B959-B967FAC5EC6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7FFD56-6161-469F-BA1E-ED41CE4C195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A73A56-B4F5-4D69-ACFE-BEDA6514033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AF354E-AC55-4BD9-8976-B25B7F6A05D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2E6078-4D54-4CB1-9108-EC1EB2AB9CC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7304CE-AB4A-4F37-BE6D-701B20A0DC9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DE3B77-B397-4CBB-9F53-7F47AD66A6B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BB441A-07A0-4AD5-B283-5C9F3559674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4B71C6-B3D4-4928-AA2C-598EC4C05A2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A41247-6ED9-428F-AF9C-BCBC3A03C69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6F4C0A-6386-461F-B084-D48CA913BB0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9454AE-916C-4865-B230-9E11D28E9BE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333027-11BB-410A-A379-A6FF9E3CD6D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AE0361-4D94-4F67-AF97-F0AB8FC99C5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9C75B7-1112-4421-ABC5-80B65CD87BF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A676CD-84B0-4347-BFC0-C97F5236C41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1E9257-D3F3-47D5-AE35-9CE14F5399D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A8036B-D680-494E-B068-1E9580D02B8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27F4FB-A7DC-43B7-9CD7-853BB01D1C4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7CF219-02C1-4152-8AD0-8AB21B9DFF0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89B75C-B1C6-47A2-83F7-A2CE02B024F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F87DE8-8782-48A6-9F82-983923B8382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3A1AE8-66B7-4B43-B81F-5653D824F2E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F57CFC-07DC-459B-A355-B63179A3F67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272448-05A9-48DD-81F6-C75A132F5B1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982FDB-5D46-499D-B922-647130C2E0B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EA60AC-65C5-476F-B4D5-B970FCC87B3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B516DA-E7AC-4762-AAD9-173E4A21CDB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A8BD32-FDA9-45DC-A53F-E4BC158CB01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505FB4-C347-4624-A894-868541B954D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F6EFF5-F8B7-4819-A4C0-4C915D87366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EBB1B7-CCCE-41BE-BD4A-6E99CB4FF89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4CA4CC-0670-413E-BF53-21B2E3C52F3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BF91F2-9786-40EF-A96E-E297743644C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4BBF33-84A2-424A-8E6B-634728F912A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9542B6-475F-45D4-876E-A683A95154B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5D6EBF-8363-46D0-9AA3-16E685593C7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20E9AC-F519-4019-8813-47A4877F36E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F51956-0B5D-4F55-991A-B4A1AEF1CC0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C628A0-F6C7-47EB-8329-E0D13F25070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BDF621-ABDA-43CD-9185-8B995F83D6B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6400E7-C577-42BF-BEFE-ED36FC4A9B9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A0AF6C-CD70-4300-9DC3-809F68C9D2C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1FB0E1-01F3-45A2-9D69-E24CC4656C2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929450-23A3-4189-95A4-7549A9B3B78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A4216C-1D1E-41C1-A65E-0223BBBE0E1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5269CC-39F7-4784-A555-30B230E015D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3FE653-C2EE-4C6B-8839-335C2519B05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A38F4D-543C-4CFA-81BC-4C3B079E6F9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579230-E690-49E0-879D-C9C4F815E79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1E829D-5067-4694-BFAB-CA36D0460C1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672357-D683-4BB6-B058-E53585EF15A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617C9B-5BA3-468F-AECA-F23411E1E2A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933C8E-92B8-463F-9F82-9F8C238A28D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CEAA83-0E4B-44AA-8D3E-D17781E0D36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434944-6B19-4E1A-9A01-C49B64F006A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6E458D-575D-4A17-A434-CEC27D71A38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759D44-2EB7-42AA-8BD1-3E03894D64C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5C203A-C099-43A8-A208-D773F9854E2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BF5C72-EAF4-44E6-98C7-FA4D5C6E5D4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3B567D-17F1-4FFA-805A-71D38C3BEEA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5A233E-F57E-4546-8149-43C54BC5438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871AAC-2CE3-42EB-BE91-9BC7F06FE21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D40ED0-145E-4397-AA70-CA1BBB78202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CE7D43-EAFD-40EA-8C44-B12B78CB331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065765-D54A-41AB-A7F3-C5C0BCC6CDC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2E9D63-8BD7-4356-8D56-14C8E9D729A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6CDED7-5952-4D11-92A1-C062D5D27ED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CEE97B-9B2A-4311-B4B7-7204916E212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12F248-FD18-4499-BC02-52E8CB4B79C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BB42FA-D995-4E31-A7E0-7EB08420D5B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0145C3-28CE-4322-BD11-CB38451D563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CB9AE2-5EE5-4B77-AF72-4FFC16CEE63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38E38A-9E18-42A1-A5DF-B48DCE0F3AF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7B9D02-5446-4A83-8654-3E3D9FD7D9A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5153B8-7B11-466F-B81D-AC9C133DD94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753E2F-26FE-4AC1-A676-6325F17B147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F39CA1-837B-4D3D-902D-C67E4CA5287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37852C-BD99-43C0-AB9E-69B7113B5B8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EFD94B-99BE-41F2-9566-2FF3E0327A5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5CA077-9B99-40D8-8C9B-6D204008F04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11FA8B-12BF-40AB-BD74-6880FCCE676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BC46BC-5869-4A9A-9512-B3C5D1F1111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C747D6-537D-40A3-BA33-4CFB069895C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F89557-4A58-453D-B9A8-6BDFD713DDB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24745C-C48F-4C6E-98DA-0254882C430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1B878D-DAA5-4A78-B21E-504ACA862A0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759D50-CA54-4F47-83DC-600F9C3AE02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160F46-F116-43DD-B6B0-00B5565C8F8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DBE7DB-3166-4DFA-A9B8-38C9E4E01F6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8E6572-1652-42B0-BBAD-563F7E3CB11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479C8E-0F73-43AF-9DE4-AE467E3BA39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FFF1A6-3C96-4C8C-80F7-E45A1A85A16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63B537-1AC0-428D-9CCE-F725A9C7804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DF5D0F-E1CB-4B23-88AA-EB080B77C49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DD595D-FB45-467A-9AA7-AA64D525FCD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F978CC-00BA-4B4C-8C51-A4615A8ABBB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0470E9-05AE-4233-BA49-DCD97213F6F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A266C2-142E-4DE8-8057-3BF29F5EF6B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094302-9247-4073-BBDB-6AA29F2545F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546BFC-E2DF-44C0-BCC1-6E89937CAE0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18889B-D8B7-4067-9159-07C55725B5C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452696-8E49-441C-B504-31E6E5951BD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479D98-2223-4466-9CC7-074FE94614D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58F19A-BEAD-45A0-9102-DB2F52BF42F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05DF34-1FBC-474B-94B3-E71C1965B59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A9B6D9-5AF1-41FB-BEDC-F2638145ABC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39B09D-4654-4D4C-9C5B-13E971BA583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733228-32B7-45DE-AD63-25692D66267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AF0E26-C299-40C3-95D3-2544E6E1EC3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1C7EB0-D679-4519-A640-FB0D8408A91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D3D855-B5CA-4453-9189-4C3DE883827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A55F61-5E21-48DD-B7AD-E0AC695EB4F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5D7367-C097-4834-BA4B-0422B87DA2D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B91DC5-D5CF-4699-ADC8-B4C01A77F4F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A977E7-B5F1-416F-B7A5-9489B6F512E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EF5FFE-86FF-40C0-ACCC-F38489E6BFE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9D2187-7A39-4A71-A94A-D822B4E9079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E25893-CB93-491A-9FA1-342C043236F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DD0164-2F6B-42A7-884A-11C30D7728E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63383A-C49B-402D-8F06-CDC78A9468B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D6CA28-3521-48D8-AE11-8B955295120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A12222-B2E4-4F00-83ED-7897EAA426B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A43755-5125-42FC-B709-D57E8593813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951E8E-F546-43AB-AA2B-20D62EA531D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2087DF-7C1E-4DFD-BCF9-7AED9ECB053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513BFD-2BE4-45BC-A18C-AE1C808D95C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8EE0A7-A5E6-476A-82E3-4FC7C445769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72756E-F467-4ECD-8FE4-5E7D51E6284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8C1953-CC12-4A16-AA04-F1AD71BEEEF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3C58AA-B37B-40C9-B814-7A482B7529B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CD88A3-55AE-4869-9098-A43D26C8D07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F8A676-3DCB-4D86-820F-2B17E1C446A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714375" cy="304800"/>
    <xdr:sp macro="" textlink="">
      <xdr:nvSpPr>
        <xdr:cNvPr id="3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5B2FC4-5669-4747-AFD8-47A109F2222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C2CBAD-4C58-4F0D-BDAE-730F1A79D69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5A821D-E110-445A-9F5E-DF6635EBE32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C0D3E5-5CCE-4E62-8DF3-1DDE51D2B1E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2193D0-FC3C-46D9-8961-3D8EC862088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2AB3A4-C975-41C3-B718-0B4D3949010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714375" cy="304800"/>
    <xdr:sp macro="" textlink="">
      <xdr:nvSpPr>
        <xdr:cNvPr id="3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D58477-9E47-43C6-BAAA-A35F8E22BB6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F768A2-1202-43CB-AD27-092199351BD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63D25D-1B95-41F3-B885-CA930D958B0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C90732-8C11-48B6-A69F-09425E57A36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7E7ADF-AFC0-4232-A790-852C253DB7B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5DF058-42CE-4855-813F-1F1372AA1CF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A5399D-6209-4C60-AADA-C9680DCC42C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953302-B74D-49DE-AA3B-7ECAE618905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0DD15D-F20D-4B93-B32A-181AABD2F6A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CBB29E-1115-458D-A221-1184378E6A7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FFACFB-0A73-433A-9E07-0734EEE9D53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EC5B09-512F-4FCE-929C-9A823F80702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B06C3D-171A-43FA-BE26-D9238E42E45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64897A-5C35-40DE-B12D-ACAB321C7D2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FFEFAA-05C9-4882-89E1-152F9280EA5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2BFD1D-564C-4808-84DD-B82912AE1C6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B86310-0838-4A6D-8301-9A1C694EEA2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0EEF9E-4BBB-4890-8449-EC100F87DA8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8C4356-87BB-4CF0-BDCA-C257575D923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449B6A-AC6D-458C-AC18-8CCA1947B52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20601F-3AD3-4EE6-8247-0043D545CDE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714375" cy="304800"/>
    <xdr:sp macro="" textlink="">
      <xdr:nvSpPr>
        <xdr:cNvPr id="3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B9C5F4-D890-4677-B1C2-7E61633BC60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9CFEA3-4DF2-4D25-AA80-8CE68B758B8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A2E81B-E855-4D6B-8746-6AA4D413159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1904F0-FBDB-424D-BBE4-0F123D27E3A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EED8BF-C13C-4782-BA4B-E3AB1C9D7DA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B68A3A-9F82-4462-9901-D1A38FAE7B7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1B2B27-95AC-4830-B065-81BDED91677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BCC4DF-0A7E-453F-A83F-3DD82256786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9BC526-A1A0-4F28-B16F-1638D5D30FA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0F10A4-D7DD-4034-88BF-C9AA75817F5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575E5E-96FA-4F80-8F48-22DFD1447EC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5E8707-F0A4-46C4-95E2-C856DFDAE14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C8AEAE-CA23-469F-807D-A9B7D598D41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A61425-90AE-48C7-A19B-A642A90DACA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C056C1-D201-4418-A6DA-8B00E0CE706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8FC92A-8422-4708-B133-F1F9A26B85B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76E85D-2AC9-43D5-BF07-A4DD9A1B1F1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6E1BB9-09E6-4AA9-91D8-CC107C6FC6C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9EA4F5-ED45-4E44-A10B-20E43DC724F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78E76E-B44F-4819-82E3-BB3DFA991A7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093E57-DC39-400C-A139-55080EA5EDC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EF52BA-CF8D-46AE-B217-0A67B9168C2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50DE1F-F715-4FC2-B7A4-C315DD198FF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7EF264-5C7A-4715-8F27-1F32DB038B6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AA0E2B-DB01-4435-B8B1-76DFC54C51A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8C1F7B-9398-4A29-8EF8-5AD668924C7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CDBA41-D9AA-4450-B497-ED701117F19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EBD997-7A35-40E4-898D-E596D847A7B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A38A2B-8671-4F12-BC00-FC049C8EF95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E5A163-A148-4772-B43A-C47607F5129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E5B164-A300-4AFF-90F7-F10CBAC27B2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D7349A-6E77-4411-AA4F-34750E7D007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997AE2-7153-4ACB-BD2C-9747EC1359E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21E563-A3C7-4FE9-90E1-998E91929AF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EEF90A-174B-4B89-9A50-1483667F5E4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451D20-3DA6-4E14-8B7E-E38D1BCB756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02AA38-A1F4-42A2-9F7A-393F13AA127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802149-3C3A-4C75-BA6F-4E9EB0EEA89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AAE942-0685-4E1D-9143-FE576822B04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2C883B-F8FE-4B7B-9E54-49A8EBEF3FD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B977B7-E83B-4CA4-B7BA-59637667B16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A7B67B-5685-4662-AEEB-940BF35A9DB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A2630B-559F-46F8-BFC9-BAD2A3F0C12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C42535-6074-471B-8BAB-4EF7C704A22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FC920B-21D6-43D0-B399-A95F906D444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E6C6AA-5CA2-4542-8896-C18B084CFCC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5522C0-A985-4AE9-B23B-B53295898E5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D62390-1D9D-4BE7-B114-6411CDFD16A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1577FE-9B8D-41D8-A909-D2FF1C4FB00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DFD204-811B-4031-A3B6-F44D0C07AC4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54F8D8-4ED8-47E7-B712-41F311EAFB6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0D3951-46C1-4C2B-94EF-8065591DA6C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31C194-39C9-4E70-8681-F3C28CB139B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626576-97E4-4611-87DA-E5CEE96DBDD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D269E8-DB36-44CA-84A1-F1B6C8907D6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DC85B1-EE56-491B-8A47-7EB504966AC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CD6C5F-3BC2-4023-8966-7E3B9490AA9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2C8C45-BB0A-4B3D-83A9-77036B7C9DC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5A3311-E3E3-41F7-B964-E61A7359C3C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055B64-8401-4360-BD20-C1AB4F5707B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B14FE2-6B87-4C2C-80D3-58CA468FAC8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DC9FDA-861E-4749-8AD5-1A5E9A89686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DD8B3A-8BB3-4A61-875D-9420E7C1710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B997AA-0ED4-41B5-A034-6E4882A19A3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1C7746-D56D-4168-BE15-787C26FC0DE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9F4404-079E-43DF-8005-B7FB2BA14F2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60717B-E3DB-41DC-B10D-EB2974300B0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B17DA6-7B94-434B-A4D1-529FE3974EA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21F603-6822-4FB3-9CA6-266970BFC80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6C1023-8F9B-43D2-B154-7B389D643C7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EC9CC8-0265-4B2C-BE91-41B1A2A531A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5A5DF6-161D-40B3-9FEC-C93357A287A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5C1930-2AAD-441A-992C-3104D5C359B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152D94-C94E-44E9-982A-08A5A9332A7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5C79C5-30E9-4988-8DEB-4588DF7C2DE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6DF93A-3BBD-4A72-B2E3-B2EEE205F23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522FA4-A847-4B45-A30B-4720E512C3C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2BB4EA-243D-4C17-B47F-79404B6D7E5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0E5A36-A36D-482A-A83F-FC474AA853A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A9B051-7EFB-4383-8DE5-CF9B3DF82EA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0B9E78-BA35-4DC8-A387-C8795393390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D8C03E-1F08-4DD2-911B-9D0DD1690EC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6558D6-3D5A-4139-8D01-C81F280F40D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1BB9A5-E627-47F7-A42C-DFD5423D3DB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69190D-B551-4A62-B51E-3838CE3E0D5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9C2088-F768-4D66-9A32-5D115D3C2B9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13D3AE-C263-461D-A511-0AC1770AC6F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835E73-8BA9-41E0-B0CA-2C0D17BC580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6A3D83-FD51-4AA5-87F0-E402F88E4C4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2BF19F-92EE-4ACE-B38A-CAB7C2AC9D2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4A681A-D3F3-4CAE-8A7C-1848C0DCB2D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C0E3FD-B955-44E1-A0B0-CA80D3618EB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9A0838-0911-4CF8-A7E7-F3317C1021A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9CF548-1C87-4FE8-AAFC-DBFD0072503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E8B5C5-A4A5-431E-8765-ECFC547E7B9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89CA13-EBC5-4833-BECA-3C939A1C748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8FFED7-0916-4BC9-A855-BDAAA3E80BC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3F1C68-178D-4F14-98D7-681DDAB27D6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BD4B3A-DE99-49BB-A255-DB7D5DF89E4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4A2BD5-C946-4202-999E-B9977B3D73C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82264E-9FF3-4822-94C1-2902502485A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158AAC-E4A7-42F9-8576-5E015D3845D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B8A41A-EE62-4210-8FF1-848952F8ADF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E2F370-FB65-4D10-B842-7EFCA84BF78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9398C8-CA51-4120-9F7B-05B68ADC5E5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103417-0A60-4A22-9022-030EF0B4545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7D41C6-5675-4590-A38A-BE88A8DA9AD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1694DD-E65E-49B7-BF60-A0A760E8E53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9A09F5-B76C-486E-A547-633DB101255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E19DA4-CF6F-40CA-9173-AB94C71B95F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B627B3-D5E7-45CD-BE6F-1B4B73F2B32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08E861-D526-4D84-A6C7-3BB93C82B25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0748AF-C077-49FF-BAF6-0FBB47A4DC2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8C9143-23A7-45DC-BF97-244520A9ABA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A8AAFC-507D-4847-ABA3-5E02E7009E7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0593BB-59F2-4962-926D-3651D3A466D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2AD077-5E08-46AF-B801-BB9969ADA80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BF2E6C-7600-4AE6-B8E4-F163BED4965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A52D33-98C8-4DFC-959B-8329C096A61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74EC9A-FDF5-4306-82EA-6D0560674A4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68FFD5-538F-42A6-8AA1-3B35093F428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FF1109-9F97-43FA-8FE3-BEAED6D5861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B89584-60BA-4B64-A37C-E1DA118C339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61CCA1-C6B7-443B-B584-FB759336AEB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8024D3-0BE1-4848-AF59-E6E79061F39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4E24D5-D24A-455A-9BC6-41C5FCF1CA4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570DDF-37CD-4553-88B5-1D035907B03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3E64E7-4149-47D0-BADD-22D4E8D5187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B8A6E9-718F-4BD6-9E3B-4378C112F5B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BB760B-2D42-4951-BF7F-7F72E1FDC65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8B55EF-AEB2-4F4B-9DE3-BA4A579E4AE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D11183-7AB8-47C0-B71F-671CA136494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C6C045-F09A-4A3B-82FD-83EEABBE308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980B4C-B973-47C4-8AA2-0EAD47452F1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69EFA7-A854-4B7C-A036-409D47E5D01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10F4F4-91B0-415E-8293-9285245F9B4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D613FA-5A08-4C90-B0ED-37B789D2A6D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A649E5-E61A-4733-822C-5CCF53D0743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EE7047-DFB1-485E-88BC-A11F39F35C2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0C1531-393E-4285-AF5E-C14555C5A05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D7C583-750C-4C93-B7F5-FC328B49B7C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836CEC-C2BC-44E8-8941-AA9BE1A8DD5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8EBC91-5AF3-4B18-9C1F-ED0FCA59232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A49346-B815-487A-AB8E-726FB269583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AC6D17-A80D-4A47-9389-385D0B2793C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41E802-1D90-48C0-B0E3-51C85D075F1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3B13A4-E995-4098-9535-AB538081DFC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024055-D9AE-409A-9E8C-DA4A6CF557E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261E68-F2B1-4EF6-BFA1-9A8B98D8642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D5F489-C87C-4D79-BB44-14505116A15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29FEBB-7649-46C7-8E46-F842F3D2242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D4BD31-F57D-4438-9BE1-FA5178B4F57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39128B-B41C-42D0-B7AE-12F5F8147D9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A6C1A6-5DA4-4A7E-BA8A-81326A569F1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0B3F3F-442A-4F94-9C89-45050F37088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283B61-F101-43ED-9375-A0C4553383A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16B842-C93B-451F-BA20-6E87C5AD8D7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C1BF58-5DF2-4EB4-A7C5-B8CDEEE15CA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22CBC7-5013-4BBA-AC21-D9D68E4765D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D5BAD2-879B-4082-A4B9-5A94EA16019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FE8F20-76A6-412B-9209-A47CE67ED37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E08C6C-FF02-4EDA-AF8F-1E4CB6A32C7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1229CC-85D9-4B1B-93F1-07F0A57BEC6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5A2E1A-957B-4A62-BF98-979D6223128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2FE93A-F87C-4B96-B486-4168EBF3199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FADCD3-8D0F-429F-8D51-160FE2B66D2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4C20BE-F4B9-418F-BDDC-E1406B54C3F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EB55CD-30DE-45C3-B284-2292E53CE57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33D5FF-4677-47AE-98BD-1E4051365A4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552D25-66E3-4410-A420-916D5E4B977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9DB291-7D8D-459A-9E33-1FE073CC5E5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58CB9C-CB93-42AA-B1C4-CEF9B37C1CF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7018F7-B6CE-44D8-AD38-E48F326ED6A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E6A867-65DD-4F82-A32F-5B344B63B02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BE38FE-637F-4C33-B4E7-A4B7B41648E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F0A152-09B6-4123-9F4C-E5866E41C43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35F2FC-3FE6-43B6-B399-B952353DCA8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25BDDF-F54C-4687-BD96-1C4D4A500D5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1A16E0-4EA9-4635-894F-3D8DAE9BCA1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6E8792-7B83-4354-865E-32C6FA81B2E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99DA0B-17B7-4ED8-A6FF-CE6D56537A4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924183-967C-41B7-9F35-6188BBE12C5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34D5E4-610B-4937-9176-099B1D18B6A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063DA5-9264-4B95-888B-B1AE28117D5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516102-620F-437E-BDBE-1CF0A146228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D0FAAC-838F-4552-A6DF-562F1C71094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B09A53-B183-4C4B-BC13-01699AAE3F1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6F1034-83F8-4866-8A79-1B20B3EA8E3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964ADC-ABDA-4C79-85CD-891C49C1059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97AB82-515E-4DAC-A70E-2731890D50F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6226AD-8A9F-45C2-A81F-414DD778E94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0C31C5-24EB-4561-AB7F-82AE2816E8D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F34E8F-8271-4BFB-B4F7-340BBCB810D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8C268A-F46E-4777-8DF0-F624CFBA79B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063256-EED9-4DBE-9453-75295A2274F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3EA42B-BED3-47A5-9482-6B2F912D022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D91EED-D131-4E82-9D45-1E647550C96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BD8A1B-41F5-4518-A519-5E43CACF67E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2AADC8-08C4-40DF-9DD7-5CBABE4A0F1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32C03A-2761-4937-B3E4-94107E205FF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82363F-4558-4B59-AA0F-924C3E43FC0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66762B-5090-4F96-A67E-0CB83C8B91A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3094D4-5F93-4054-B327-5C8F9341680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34A52B-A4B0-4CFA-AA8B-C65BE852DE7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1565A7-7622-4CB8-AF26-D0E92BE6686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9B5937-7BFA-4CFE-BC3C-B2B6FF2CADF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275E55-5552-4F3B-97AC-18AB54CCEFC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6186C5-D412-4E17-AA60-FC8ED4E0D19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A484DD-9095-4120-A265-0A8E485D26B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DAC14D-3466-4B46-93D3-489B91937D0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75247A-F5AB-4C8A-A768-E8326B93192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CD90A7-AC2F-4AFB-A821-700F647FBC6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9C0335-E015-44EC-93CA-6FB58471762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1A960E-C839-4328-BC5A-A7E3BBA3EBB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03875D-72BE-4945-B2B1-6BC1CE5143D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76B4EC-9D4B-4652-8E4C-F8158597562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BA8046-157F-4662-B6B0-68759838E66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1CB41D-0F15-459F-8D5B-9429FB358C5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199D4D-D83E-4504-B8AE-2DE6287B7B1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8B27FB-D68E-4605-B452-7A482913F8B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AB078A-B8FB-446F-996E-12F063EC41E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08733B-F9B6-4A15-80DA-3689F957EB7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0DFE1B-6FB2-4C56-B116-5857CED2EA2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3C6382-AD1F-4586-828F-1A2AC45194D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5FC2B9-12DF-43E3-80CF-E25DD77FF7E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E0700D-995A-4A7E-83AA-294405D0BBD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555A19-4DEC-4F47-BFAC-A4825E39340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5B5323-4650-4CBB-9417-D75BC094711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2E749D-6DA9-43E5-A894-06F48911303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5D46BB-2C83-4605-A9D0-654E6B4D077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E1482B-6770-4B18-8847-F1CE43F3FF9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1428B2-AD9D-46FF-9460-4D7B148601F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4B1B03-EE11-451F-A92B-766D341EC93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7CC624-BDB9-457E-A7F9-4B5E3BC76A4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C4A3F6-F81A-4CA6-8DA8-52F36C19809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553F06-7E04-41C0-82F0-25BF04630C1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EEB0F6-397B-4CA6-B941-733E5B4C1D7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718A06-BCEF-44FE-9A9C-518BF14BAA8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BBEA23-44DC-4AEA-8837-867A87D213E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008C81-057E-4C32-AEAF-3D03895691A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57E503-73BE-40FB-A0B4-645D7384FCA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032662-2877-4E6F-A8C1-8A4C4CE4077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B69283-97F6-492F-B99D-BF0DFC48F0D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60D033-1265-4FC2-BC4B-C567856C740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4B955B-B264-4951-86C8-1996FB5F9DF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4003F0-F6E8-4584-8440-191D8E10C1C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A2B60E-AADD-4650-854F-28CCA973C6A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549770-CB63-442E-8933-A128EC8D034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142333-6563-4E49-B303-23920A3A0B6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EDA019-9073-43C8-BD61-C6A186B6488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39957D-0513-48A9-A165-4A752F655E1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FADF76-FCEF-4867-B70A-C9AEEFC1B00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168475-3199-4CF5-9DFE-EF354412809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33D5A1-98C0-4440-B14F-2BCA1C7B2F9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593CE0-FD0B-4381-AC13-FD6EDAB698E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556B13-70D2-4C21-9F92-E5B9B025E50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967C3F-1AE0-454F-B75F-42A50F78FE1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B66639-1A6D-412A-BD71-B6B2CAC2C1F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E96CD4-D917-47DD-A472-7AFB89B0CB8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33C995-BCE6-412A-9B06-C1A067F2794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A7E3EB-E033-4284-8E5B-82C919DE3F9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0241C0-E892-4066-BDA9-DAC83148E80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811734-29F5-49BB-BC0B-31EC56A18E3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7F6ACB-A492-44DB-B80C-4DB123B7C01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F30E7B-9A8A-4AF4-BB18-F89AB1E8B68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96F3B0-F147-43D1-96A8-F053EE33884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F7CAB9-BDF9-4782-8044-814E18E4B13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B8E15E-F6C7-4C04-934E-3878DA58FA1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1CC201-BBE5-4487-A5D2-A56B1F4CFC2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74F237-42DA-4CB9-B190-01A63152B95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695F54-954C-4E6A-9A5A-5682226E922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576FE4-8DE2-4DF1-A929-B266FB43E7B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641C9A-8967-4C20-B03A-3EA6D42B02E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FFA6A8-9429-4FBA-BAF2-15C6F1F2E20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4D0ADB-E437-4731-90A3-6BCC3E0C238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DE863D-9C44-411B-8EDC-A4415EDB4BE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AA279C-06A3-4406-BFBC-A657716D61F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F3AC8D-0C15-48FE-A7B1-E35DFF8A0C1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F78E4C-1101-44FB-9084-E1ED096CADD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F903F8-6561-4127-912C-E7C4424A1CF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AD311A-15BE-4FF8-AAC6-2FF9571254D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BE4BED-447C-4C73-A1D2-A819E0DCFC1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9B6B62-5E33-4317-A1BF-002C4323688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D23B6B-C450-42C6-9279-8EF2502B78D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DC82D2-EA16-4B18-9368-84611E35485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58C928-7406-4247-BB72-E1C3BFB9BBB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527299-9C1C-4665-8451-18D816F5449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B12E35-2617-4098-B5CD-96EF21333E1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29C097-C5C8-47CA-A4DB-42B8A77A7F3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CD69F7-8D12-4E0F-99A4-E76F95C4505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9323C0-5F7E-4496-B870-C5D206DE971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007CC7-B3E4-434A-84AF-E802521491C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81EF0B-FFEE-430B-ADBB-94E043132CD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697405-3B75-4118-B438-EA8C8A2CDB6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7B18C8-77C0-4066-98DB-3C9C39F51A6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3CCCE0-F4F0-4F76-9E8D-A6C85804D8B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7892D0-3513-48A2-B3DF-D895B097E0C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7F60E8-9D41-404C-B6DF-FF1B7FE4F86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791E37-8D49-40A0-B9C1-596CB0277F3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6F639F-9A5C-4CC6-9DDF-3F48B38A9AE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04A1DB-E09D-4527-A71B-862C04E74F8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DA87B2-14B2-4948-BD9E-47BAA82EBA0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945614-06E3-462F-A47A-99475D68530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168D8A-4B98-471A-BEA7-690F2577AA1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1B3AC7-9739-46EC-9206-4CC0DD0DE94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DF46D2-69A1-4210-91C2-EDE6F4DF471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2920CC-07B7-44C8-AC91-86D0B1B59CA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80B81A-466C-4B3F-B292-FF330487034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7983C6-D5AF-461E-8932-5B3EAB4029A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411FBC-224E-4223-AA4F-27E6FD60276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23729E-6D77-4DFA-A44C-ABACB514B32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AE9B34-8E4F-41A5-A5B3-7D8FB635976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36398A-669F-4AF1-B373-19F728A75BF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D78FF7-E031-43A3-8BAF-743473C2C28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37B204-5C2D-407E-AD05-B19BC57EA4B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E84DEC-9A49-461A-8AD0-F5B295DA1FA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EC7E4D-596F-47B5-A164-3E9092FFE88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EFA727-67CA-4653-B089-C238618C74E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DC7895-1D73-4420-B233-11CA434EC11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33DE43-D331-47A5-A410-C50CEE853D2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AABFCF-4C27-4EDF-86F1-5EAEB88D05F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A299CD-865E-437E-A654-2C667EA1E0B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2D748F-8129-4971-8BC1-CEE0C20F25F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663932-0C3C-4AAE-A6A0-A76E71D414F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1FE48F-D146-41A9-B8C2-8158DF5A406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AE925C-F6F8-4731-BA90-158193D269B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80803A-AFD7-4C7E-89B6-1607C792CFD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0987D0-6C17-474F-B609-8EB5AED4375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F4A8F4-9244-4417-A0E6-4B1C8303A91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DC6B2A-CDA7-4D31-B829-B24E94DAE5B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99D89B-1D99-47A3-BCFA-3FEF857554E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F32629-26ED-4032-AEFC-F670BBA1BDE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31FF27-D610-469B-A22D-D5FF317CBFC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810F79-60DE-4817-A764-28C4BD3179D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A8225E-8FDA-48A8-9511-17220CB99DA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109BA1-3C8B-407D-B804-EC8D3C946CD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290C02-C9A0-48E9-9DFD-829AA28FDB5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BA9F1C-396A-46B5-A1F7-06EE088C079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4C645B-12D3-4496-8D65-29AB9C28BE2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5B1926-09F5-47DF-99E1-3AF5DFCBE06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6C22AC-7B62-4D59-9AAC-1FAD7EB693D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20348A-391A-4700-A480-AC485F6572A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DC0459-A895-432F-9F7E-26935D12362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D06C13-123F-4AA2-AB21-1FD34DE4B98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E862ED-9240-4697-A493-808473FBE7D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5D4521-8299-4695-815A-9F2A004D92B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947F41-3D65-462F-A5A4-A2BF929D004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D8429B-29DF-40F5-9AFF-3369C7BE629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4DC30A-C623-496A-92CE-5E0B1B89BC4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35CF69-3349-439E-8E82-2EB8904B514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2C005F-5282-442A-BA01-BC1487BF847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E612DE-F9B6-4390-B169-5E90A3D171F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A4A40E-0B45-4AB8-BF97-F860461BFDD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C80D78-0588-423E-85BA-55193DEB78F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6FED1D-44CE-4A1E-B3BF-EAA91F3A825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E2D16C-559D-4A8D-88C0-BE8530CC54D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196A35-B153-487F-A2E1-CBB8515279F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2E6DE8-A9C9-46CE-88A8-2CFAB6ABE22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EE85DC-1DDC-41B1-BD23-C1415F2F018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B9F252-4E39-473C-86B8-7BAC022AF74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052858-2FEC-4A1E-BB47-9E966A6DCAA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7C8D30-6DE1-457F-8C90-235D64F8594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00EE1E-CF7F-4F8B-8C81-E3E4B8752A8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82C75B-4BDA-40A2-8EB0-9DEB5CA18F9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BDAA92-2D86-4ABF-BE30-FC2684508E2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1C6F96-7161-44E1-85BD-0490AE5BFC5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AC4B78-87F2-4AF0-8E1D-B6C45FA2AED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479753-C99D-402E-A85A-B029FBCAE84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51F0E1-A6B7-44DF-A5D3-094564A1C73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4AEF82-1CFA-44D6-8F51-3E6CAB99B40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C04BBA-2C51-4147-8F10-839C1E0327E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0E49E5-6ED2-4CDE-8F4A-69BD02E8591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E992CA-131D-4944-8525-A5AF17AEC9F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1DDCEC-6B22-4155-A245-EA31D06C6FD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AD821E-1905-4106-92F4-4A1B500019C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2FE13A-1EB6-42FE-86A2-C0E1A739EDB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0E37CE-037E-475E-84E2-4B10055F2EE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DB3886-E716-4E3B-BE55-6EFC82C06C6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E9C7C8-5990-4543-83B7-13791DE194C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E23C26-4159-4523-A932-9E43848AC18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DC3A6A-DC34-40CC-82A0-835D38D5597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4C6B5C-E792-43E0-A0E3-94922B7E478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B055E3-B789-40BA-8560-22DE0EC1097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8A34B9-7ED9-4700-89D9-9E610F4BC7F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C087DC-EDA8-40CD-AEEE-11992EB3100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E146CE-B357-40BB-A9FA-61ADD959E3B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5A5881-9F5D-4AF4-B18F-D88DAF80AF9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522B09-FDD3-4406-9973-475FA13336D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733302-7C01-4EB2-AA48-6593AD15E00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437152-71A6-48F4-88AE-A2E572F3787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5704DF-1E0C-4CCF-9166-D6F9FA5A882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908251-079A-4E05-93D8-8800E8977A4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9F4CFE-DD33-468C-981A-96F52BE5B62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4A649D-0373-4084-918F-45CEAA80F85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498C07-BB91-44A1-A90A-10F3098E986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197792-1185-4827-9428-96E8D5E5A9E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E1E9BC-71E4-4740-AD39-E54927704C5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3206D3-6E1D-474E-A4C9-4F74F21507E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F63B39-480D-41E1-B3DF-C207AE2CBA1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8E109C-5C70-4C4D-8DA6-1962B7D8B3B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3C1205-60DD-47C1-BDC4-2F6AA777FE9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9BAA59-1EC2-4ED2-9EAA-E82C9F9C98F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2F8143-4B02-47E0-A6EE-9DBC87637CA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E4DB9F-A251-4110-A120-3524007D68C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2BAA65-2464-41D4-B8C0-CD4F4D2946A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362C06-C51A-4A97-B078-8FDB1B7D504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F6ADB5-DA07-4913-BF58-19168C26053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4BDB43-33E1-48CE-9F86-E5726318B59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CAC50A-28F6-45B1-8C97-8FBD42849A7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CE7B0F-37A0-44B8-8AB5-3F8B3F18858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9C9EB6-5A48-4B7F-BEC9-DBBD75D5A01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8A694E-4A60-45D7-98A4-9FE44901715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1BA445-A3F5-4F5B-B493-45D75E8BA12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922F66-43D9-4BA2-90A1-D1E5C06EA7D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693603-F406-4F4B-9762-B8903E624E9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BDC900-D79B-4E28-8B75-FA163FD44EC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92C326-B25F-4C5B-ACF2-A46B7474E8D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3C41F8-25E2-4930-BC76-C9350ADE829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47ACF2-1440-4695-AE89-CEA9F3A103B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080B48-4C78-4034-9EB7-15773B9B89F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7A9BD2-7BB3-49CE-BE17-FB513D726CE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D410C5-5AFA-4F78-8829-596DC71AFB6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065A5F-5B57-4755-8891-2AE29D22B04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9E8B68-326F-416E-B73E-40EA7157A8F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37AC30-A6D5-4400-8C01-0FAC7149CDD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4ADB25-66C3-445C-8756-5773ADCCC1A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1658C5-62DE-4C95-BC51-3995401FA55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0EF5EB-258B-403E-A85A-B61550258DF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EC567D-CCED-4E95-9670-12EE094F09A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F790B4-0821-4A77-A12C-90A49EA02BB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FD8507-AFB0-4F72-9090-0BC2ADE1B06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3026C3-A7C0-4FEE-8DF2-10CF522FAB2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3AA95C-4A1C-418C-A6FE-0DCC538699A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3879EF-CB99-4025-84BB-5BCC7687A17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60B559-7224-4942-8D4A-95DDBCE2B82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EFF14D-D12B-4D3B-9556-3FAA8078B3A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6A8278-4771-4943-B314-9EE89248A81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0FD023-600D-4DE7-8C06-7C0A735C2A2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1696C8-FE34-4976-BD97-1D83535B170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8A70BC-8347-436D-BC8E-FC1AC105018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8408BA-C7A8-44A5-B44F-66937FCAE09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11B66D-7283-4E0E-9546-2A40DA0921B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489ADE-BC26-43C5-A04F-02045DC01E2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EAB754-036E-4B79-8C66-042C9DE1F06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79FF78-04E5-4835-8B0C-53447B1FFA8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A99375-F6F8-458E-9859-34DBAB18AE3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88B43F-D4A5-48CA-93DD-EE0CFE6A335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3ABBC4-8164-4F55-BA04-1B290C07038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518588-119B-4D98-BBBD-15934ECBE01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77ED94-3B0E-4954-841C-B0F35463254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9DB59C-2721-4EBD-869B-3A2D29A608A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B7BB9E-7242-4980-903E-F498BFE2242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B844BD-9606-475E-A5AB-0E23D281016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3EDAC0-F106-40CB-BF70-8DFF59770AE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1CE141-5F51-4EF1-9CFD-553369DA22F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CB93A3-1EC8-4EC0-B3B3-60CA95C48AB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8785BE-84DA-4C23-B05A-C4EE89B7ABE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FB16E2-0154-4DC4-AB72-E328C3A90B7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44715E-0B14-40AE-B6D0-68901B9C3D4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AF40B3-2F1F-454C-AB9E-F00E6508FF2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3C9CCF-E693-4893-BC94-4A4A6D82E00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94C30F-A47B-41F2-BE8D-51F97B7BC19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6F9C74-9221-4BEF-8E87-0FE47B7FD84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F62E19-06B5-45C4-81EA-E0851E2DB59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434A9A-319D-406E-B112-3007064A7A2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B88025-DBFF-489B-A21D-55FE7B4DEB4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C017E4-E058-4395-A039-9A382F9FCA2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7412F5-8225-4DF8-9FB9-232829EAF25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0CA0BF-ADE4-4E55-9013-9CA41288967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11C208-D93C-47C2-A509-EF936C9238A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96BD38-78B5-47BF-A9C4-BE3F9F6BE04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4BC76C-313D-44C2-AA55-B8A71615E94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C98D68-BBFD-45F3-8AC8-8E0463C6236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695DE2-83C9-4A2E-8A4B-16CF8F4002F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CFDDEC-9D8E-40D5-AA2C-268DD77BBDA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39AEE9-24D1-4D56-B1E1-6F214A07F1B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EA8FEA-5171-4890-A27F-C9D946F6A3A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BC3229-3558-4FD8-92B2-D4E940B6F57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669024-1212-4F75-93A0-F4CCD3357A2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405034-8DA8-4EEA-9AA3-5D1D29B229E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1F94DF-0753-41EF-997B-0DA87B4A7CA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6710ED-E2FF-4E05-B89C-2E848C0827B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1411A4-770D-48F4-AA5F-661AA2B3AEC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32C3EC-4E62-467D-9290-23A4E082F04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6DD1AA-F566-4460-A3FE-F153137FA19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C54106-9103-42A3-97B2-0E64FBDE06E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3B9478-2804-4F50-8BDB-A4F1C1F06EA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250254-4810-4515-AB9A-D27430F37F8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859A9B-E40B-48A8-B3B5-CAF37BF7A01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54A412-EE83-4BD1-87F0-857B1DA91A7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DDB758-C752-41E9-9C82-BB4BB38A73F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B3B76D-77B0-4432-ADCB-322BD9A082B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EDC157-6EE8-401F-B6CE-0C2762A0502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D79F27-7A06-4174-9C2A-1F1CF2C6646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E7E605-2A2B-4324-98EF-B977E31B866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75E8CC-70C2-4645-A8B7-F97CF37958C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C4DC0D-C7B7-4712-B47A-074D5D921B9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7C9F46-9572-469E-9AD8-3D61C21A1DB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DE2947-3624-46A7-BAF0-4CE6E671853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FD5508-3BF7-4377-8E7C-E2ABDED8C43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F658DA-33CD-4316-B61E-A42B035611A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55205F-3E5A-4703-B049-9EA1CB03C68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AEB4FF-5BB6-45D8-8E86-84618B831E3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4CBB0E-4F34-46B4-A42D-A3BAB3AFEB8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581704-70E2-4B0B-9657-A7043EC313E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D92797-100F-41C6-80FD-7E5895BE8D0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F4DAAC-F778-45D8-8E6E-0ED30FC025F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59AF1D-2950-4663-BA6F-BD8A343FD6B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7EAC84-3F55-462D-BA6C-01B0D18D005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B5B0EA-9C2B-403E-BBC6-9655FFE64A2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5CEB9D-4C4E-43A4-B337-2C8C2246247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88F796-EABA-415C-95D5-AACB656D682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247FD6-002B-4505-B055-EAFD58368EB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AFE3D8-331C-40C2-81BF-81649AFB39B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A9CDA3-0CEC-40F8-9289-48AD2736E7F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9A958C-7151-4758-8F05-3ECA2157356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A7E2F7-F0B4-4BB4-88B8-CFB47F7DFB0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5389BE-3CE0-43E5-AFE0-6E5B6EFF3F8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463F41-4B39-4802-9F24-B0137146EFA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9B0218-9863-44FF-99EA-4F2E2CE878A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790E80-A008-45EE-8B72-15604D6092F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E2F301-A4BE-46DF-9D5F-36E09584EDC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4B38E3-E5C1-483F-BE8F-2580450DA0E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272950-5262-4AAD-8A2E-545B1D43901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D5615E-1D79-4EFD-A0BD-8AF15F60E9C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C0BFD8-7CA0-4268-9EC3-B036D526E5E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F393B9-C6A6-4D2C-AE25-68B66EA19FD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2C0518-DE6F-49AE-99E0-9419442A7A0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EDB23E-FBB5-46B4-B5F0-51E53DB888A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E8F7F8-F801-48B3-8030-8E4494F27CE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C1073C-F985-4804-939A-87DB7A83F43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886F58-B7BD-4C0B-8322-FC2C08F90EC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6A63E0-92B3-4E44-BDA2-D96150092FD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F97090-141F-44AC-9D81-FB7F3F8F826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1D37A4-FAAB-4F98-9357-90545D77571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D42360-2218-42C0-9B2F-15CAA39225C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47C6D2-ABDA-4470-B974-EB020BE9EB6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5C85E9-537D-41C3-95C4-35CD8D47C14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FD45E4-6500-4EC9-93F3-51373843F15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251D07-84D7-4EF6-A7D2-36D2F5E7178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0A61D0-298D-4AFB-A079-E555510DA0C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67A808-6861-469C-829D-EC63CB5E392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95A0D3-CDAA-488C-97A7-D223875CBB4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44BB11-3FBE-441F-A6AC-E02E6E1A7AE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A5A028-409E-4338-93B1-9E500E8FE3D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026DF4-05FF-4D23-9302-789DDF92173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F63AD5-00C6-44AC-A849-869AD1A79EF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DCAB4B-EEFB-4B27-9761-57A6D9D7B2F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D0FD2C-22E2-4246-B91B-9E16D05021C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3AEE0E-E72F-476A-9EA4-1A9FFDC9356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734355-38C6-44EA-A9C6-353239263C5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305DDD-9E74-4C50-AABE-FCFF0764EBE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EE7A95-E863-4849-8056-E52E893B4D3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244D95-0AE1-479B-973F-67CA9A39C8A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010070-E336-4C04-8E30-501AB3FA58C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FAFC84-5EAC-4555-AF13-C5C14F9C3AF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593F9F-E1B4-462A-8052-22CBBC1692F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CAB507-BFD3-4390-B570-10E7BA6972B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113454-7726-4DF5-B5D8-C511A9EED55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602815-C505-4DE2-A28E-551B4177037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1147A7-637A-4676-BFEC-BBB7EB0E4F8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7B9EF0-4646-4FAC-8E57-E227F4C0CBB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BB3CA4-9899-409E-AA8B-683393B794E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ED5FDE-F045-4F41-8186-CFB0ADD8230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B22D5A-48A9-4140-9629-DF0B610A66A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CADB99-4DA7-49DA-8FD1-BA127FDDF92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629FEB-ACD2-4811-82E0-83ACE8B087A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F01E8E-2FA1-477F-8E36-6A007FB5E2D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95E326-CE26-44AA-BDE8-78C03286591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0DF2BB-8E9C-488B-A631-677962A4CCE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28EE0A-AE5E-4361-9B63-071C455CF1B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2B6C1E-1865-46D3-B515-47A6B1E4051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92E6C8-FBEE-42FA-86E2-BCFA5A9C8E0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F91FF8-E51B-4B70-BE60-7DAA89DEC31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A85A40-01E2-4C3E-A22C-B216BEF3EB2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5EF5E0-21DC-4C49-9636-6E3B04EC3A9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5FF0B8-B0A2-4420-9D3B-9CC99B6C6E3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394970-B91F-40B1-B3C1-9F32CB470D9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840753-C3FD-4ED7-837D-06551298289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92AD53-5BCD-435F-94DF-61A07AAC911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B8CD91-78E2-4595-A0EB-470DA871C9E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88CAD5-2758-4CF0-A081-8E8AFCD0C0D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D2BE7C-8587-44E4-BFB1-90260DFF298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021EBE-EE0F-4565-A721-A25CD346F32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CC7E5F-5484-4DC2-964E-5F573E4819D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908DD1-5D47-40C5-8A59-63657DA0823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60ADA9-5897-458A-ADE3-C42D357713D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52F4DA-8F86-4D8E-9091-4A377DF86F0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6E6F79-A1E4-43E7-A895-08D075E7EF8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16387F-1D14-489E-BB5D-59F708A2227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EF8965-F9CE-4798-9997-2B013F769B6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A5388B-90B8-4263-BD8F-77D03612E25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B0DB2A-9EE2-446F-9B60-E12FC1374FA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0B4CDD-C2B7-4DBA-A334-40DCFDEBA72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10BECE-8978-42A6-AB03-16C07E97AB5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A5653C-1580-4742-A911-8C42C613646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6C37DB-FCCC-4926-BD21-EE711C04ACB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61AEE3-A868-4DDF-AF6B-DB6C65B6756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B72DC9-70E2-4EDD-86A3-B108A236BA3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8C34A4-0948-41CB-B6D7-DD11D1B3FEA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393BB6-6CF2-48F5-85B7-10391C9E63A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D8A0DF-7A99-42A6-99D5-799745B2F68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D98BA1-1B45-479A-8C25-9D0F9745742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38B106-603B-4791-BA98-9C1BD387B45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AFA740-F266-4124-9090-07CC9869192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0C9622-E4C0-4551-87A9-359C1665439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01FEFF-DE5A-4C54-B668-158D151E75A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C16423-8F8E-474A-8889-4BCCAD3127C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890AAF-4B7D-4ED8-9EC3-B15767E0A15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9BB250-A2A5-4739-8E16-0A9FE1C37A8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8358C2-6B0B-42EC-915B-083EEAB746C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DD0C08-4846-459E-B8C5-C259603296D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640A33-FC61-4C75-B963-43AD1E5D2D8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F88C14-91F9-4F31-8935-9BEC426184E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51BBD9-B640-4F30-9D60-120D8180E8C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94FE69-63DA-4479-8057-DCE8075CC9F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FA0EFC-4174-4CA1-AF08-C66C97AB355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3B0275-89D2-4508-AAEF-8AB791DD6A4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78ED73-7B28-4392-AD89-D261C6991AE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0CBFC0-3C34-48FC-9E47-65B487FF0AF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4157CA-08C1-4637-B488-31C424C0DCC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79E61E-6278-4405-ABCE-128D56B1C1C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3D1052-CE21-4487-93E4-8263A2BCCF4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95AFA1-D2D7-4B8E-BBD6-B408CB2FF71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6FF671-C845-4E5B-9D68-1A8A541744A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B78939-0ED7-4711-B97C-5192880E98E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55D2B8-05E4-44FE-A6BF-A076DC888DE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FB59E4-61E1-4D96-9EED-C1787BCEC93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7DE024-3414-47C9-BEE7-E05CF01E4B6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99E9FF-20CF-4307-8A9B-99CFFA5B60B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977B3E-2CF3-46A2-A5B4-10004EE1756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065560-701F-48DB-ADEA-C133C03C33D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CA1E3F-7C01-4C08-9476-993A9E5D52A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ED1B15-CEE9-435D-ACAA-37FBDDD4997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6602EF-3319-4681-8C02-45DCB99238E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2AF17B-8D61-4A58-88C0-430C2DC4AF2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43ADD7-CD2B-4390-B7DA-66F3EDCE6B0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686D7A-2528-473F-A8CF-1DD9F952037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E43BAF-A3D9-49A7-9713-0D249A3875A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0050CD-8C5F-44B1-AA78-EEE1C105341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FD44B9-5690-48F5-BD7F-311C3BC5942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87650B-E98B-4C08-AC47-92C4776F1B0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074792-4E4F-40BD-8FF6-D3D111B5247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28CE1A-1E4B-4A2B-A8D4-163D5AD1A24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BD9878-DCC8-46E5-B5E8-FC466C413B4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ED68D5-91FD-4EBE-8293-4AF033E4580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CF1400-42F0-4E02-BBB8-B7089256C87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D56171-DE1B-46A6-8065-8A3D0CF27C0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3D25FA-4768-43F8-A0AA-221238FC19E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862FBA-C5D2-4CE9-BA37-F070CDF7DAF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9387CC-49BF-4F9A-B129-FBECD3F9ED3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7306C3-DBDB-44A3-B1CA-729ABFB4009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96A2F2-B5CC-4F1E-82D3-8319FE0DFD0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E06A81-C4B6-4903-98B4-8F1E225932A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2B56AD-1C0C-4AE0-913C-3B92443420E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F5695A-37DA-49B8-8701-EDDEC09BAFA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3C5A21-61A5-4DA9-AD11-F4FEA103ECF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544D05-483B-4481-946B-238AFC03EE3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E2C8E7-1EA4-46ED-965B-A66E60C4EB6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D10D5C-55C6-4BA3-B4C2-3EE9F1D2859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F3C3B2-BF24-4F8D-B237-928716BDD26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C6B278-A30D-43D2-B3AE-49696010085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54A45B-7F3D-437A-88B3-F94F1495F4D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F2494E-69A8-4B21-82D4-2B0999C0416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8073AD-3ADA-49CD-B165-FA67F63C34D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65C6DA-FBE9-4A19-A1E1-2D3256C1A85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281E79-20C1-42CD-8FAC-133B6AAFDE7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A0D447-3B70-4E15-9FD9-6200B954557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985AD4-FEF0-476D-B047-B4FF64F5BDC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6917D8-64C5-4FFD-B500-1C7AEBAED3A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F3B7E6-1450-4A1D-B073-16E750DDAA7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B062C9-72B2-4570-97DB-92A38510955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AE6DD8-53B5-4A81-AA4D-C53E2776CA3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9B361D-0A91-4CD8-8A8E-46DC1B2188C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372BE1-BDD5-4200-AEEA-8157AFC6672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678868-E461-4ABA-BE61-C2D68F9F952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29EA30-AFAD-4C7B-8B62-2976EB0187C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2A4986-5C56-4BA0-A2E2-ED2900B9346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43C303-C818-444F-B4BB-23D42678F1C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26CAF1-DE34-493C-B7C4-F05CC430243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4097E1-5B02-493F-B0E2-DFAE197095B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A72FEE-BC4A-4A6E-B7BC-A9505977917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F8F9CA-5613-43D2-BF4A-793064F856B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6286B0-C337-40C5-A3F1-9187E942C05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87EDA5-A215-448F-B5C1-F59F5DE644E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69DD47-CC8B-4036-9FDC-A10C2AC4282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B3A242-6756-4672-A0BB-DFBFB52B316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BC3ED9-B41B-4164-BB41-2C50538B02B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A1290F-8294-46BA-8486-D085F969490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2DEAD4-1B15-4A4D-87B1-CBC2A35FB1F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3B02E7-E96A-4991-8B61-E620D8AC2B0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E2025F-8F82-42F9-825D-D06D31D9A20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04CC9B-A19F-433B-BA29-DBE32628E2D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F15E75-8CB2-4490-8B61-68053546603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FBED10-3C91-447F-A45C-602CD7C5257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B31DA8-0808-45E7-AAD8-3C46CB9555C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2209FA-C685-4BD4-A502-44200F49B61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782768-30BD-4216-8AD0-72C1E35350C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A9F59A-5DDD-4984-952F-7FA12EEF3B4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2D8E02-84F3-4D0E-A311-2ABB3B71A9D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1771D7-819F-4728-A0EA-CAB874D69C8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8C0DCB-60E5-4D43-87B0-6B27F5788E0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80C3AB-6BE5-4165-9FA2-FAA5E940232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7D8434-AE9F-4A73-A269-E519B51ABF0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20FF3E-7CB1-4DD6-AD42-605806F7F09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D02293-D43B-41EE-B7DA-47B77975C09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8475DB-2B35-48AE-A7E1-FC63CA0B2E5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CA3667-BAF3-4589-A2FC-F47319C6C7A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9275F2-BDF1-49FB-97C5-B339B2A4565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8D822C-D57D-4E8D-9339-379CD21A99E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3C7D82-54C9-424F-8559-FD89B2E956D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7D84E9-46B0-4DB5-B7A7-9C7ECDCF2E4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91C52C-E6EC-42A4-B243-19D5406DBA4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7C064A-1C66-4063-86B3-0924DAADD5E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36A0FA-7B4C-4C6B-A4F1-8D2CC210003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E132E5-778B-4CDB-B114-34646CDEBB2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9C92B2-881B-4913-A92E-AF036531887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6F13C2-B8E3-424C-8402-D4BC75F9242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5D37D4-E3E1-4213-AEEB-1AEC9C4EB34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F89DF4-3806-4D47-9A86-9DB47D1DF7D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6B1D95-81D1-4042-9D2A-58E85D4CF42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4D29E7-20C5-48DA-A5D2-B8EE9028E64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EFB0AF-9276-44D6-998A-24B0968E9CD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1541F5-A441-4481-8DF5-4B85DC1E528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DE0689-8478-47BC-9415-2F6436E5526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22997A-E7A3-4B37-AC02-D2D7B9DF5CF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3CD4CC-18EF-4519-9D6E-1ED78379889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1590BE-7DE2-4687-B0E5-3A83101786B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7BBD58-AA30-4CCD-9036-3573C0D32F5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5EBD4E-2C46-4F9D-8CBD-BC5B740A594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7442DC-4E86-4FAA-8B3B-66B3BA9EA82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1DF98B-7B39-453E-8EC6-A4A4BEAC8D7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05BB97-A586-4375-BD67-E9A5C13BB2B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EA33E6-F4BA-4F2D-91F8-32282241972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75A9EC-15B8-4DB8-9C20-6B8B3E403E9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24FB99-5E56-459A-8043-A89511175B9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0F2EEA-0BCC-4AA7-9045-C94103267AF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733391-F87A-4D22-8E44-B962B053A68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78EDB3-12CA-4660-A511-797380393DD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52D084-15EE-4C71-9174-F1CEBE00F9D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DA7E3B-B6B7-43E6-B9D1-62F06A8EA01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AA44C2-D857-42BC-B429-86FB687A855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D11999-1982-45CC-82BF-7405539AD48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BF2F57-5E6D-48CF-A287-0A96F5BB579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3C70B0-2D16-4BAD-BA1C-512C86D9EC5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06122A-E212-476D-B550-6944D3C6DEE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C3E732-3177-4A82-A208-9DC58E14E62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C69D94-96D9-42AA-918A-33171BD57E0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378A54-A2D2-4A44-8C86-73279262B6D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C5EFFA-7AEF-4CAE-A569-B731E9605F2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FB3BE2-A4CC-4DE7-9D1E-46C1A3F408A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97F276-5052-4D99-8BAD-999F9A591C5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4816F8-65A0-4B7E-85BD-EFDE79A1187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0D57AA-35EE-4BB7-A771-A637A20DF07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8A4B83-76B9-4B6B-941B-971952FF046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7EA08D-282A-463B-8141-AE66C69097D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FDB476-3D45-4938-A2BA-D7C5E648EB6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BC321D-0D4C-406B-A714-4DE2E3B8159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D268A6-2A81-43EF-8F16-8E3D0562503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957159-DF9A-42C8-A4CC-96F7D300A79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640B5A-DC95-42BD-9323-0D625D39FC1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45FB0E-1BAB-40EF-BA86-0E0380215D5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9EF18C-3B6A-4056-AAE0-1FE19B78C79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1E442A-1587-4310-876A-2DC0F22E572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E8D916-497D-4BAA-BBED-6A72657BB31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45A0E9-5A3E-49D1-B401-B0449996491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020065-D2AA-4820-A978-8CDE03BD72A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9FB781-9D0D-42E1-912E-54D7BEFB81D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AF484C-C271-457C-963F-E172A816FD4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43A4CE-977A-4834-BF7E-234A98FC872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C61ACC-30A5-4E4F-B47B-89003175B10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CB22CC-E66B-4EE4-8604-0F09ADA72E8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37C3A4-DACC-44B9-AB34-F43D6CFE0F0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F6CFB6-2C11-4256-970E-68C4F9ADEC1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983C5D-2724-4409-9D94-033F1CE2D3E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B8BFC6-F94E-4AFE-9EE0-ADD10807AB1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97BA1A-4F9A-46E5-A55A-B05B584D4CF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8A35A2-B769-4EC1-82C3-FC5C89B7E64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48EFB5-C6BC-4C37-BDC0-CFE6EE3175A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4C8C03-022C-444F-A6AB-BF282D32231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1B2782-8BE9-41A2-95BD-04A78E28E61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93B9EC-679A-4DCC-8C62-0BF12EF18BE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02BB8F-4E41-42BC-B570-8F408BD006B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FBE6B7-010F-41D6-BC23-1F3AEA49DF6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83589C-EDAD-445C-A6E1-499A9204F21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5BFF93-FA7F-4413-A80A-AE0EE564D0F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1B866B-AC44-4B68-AA14-E9CEB928484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DFC932-B3A5-4423-BF4A-F98632AE1C9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881FDE-D429-433A-A60A-E019DC5461A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2D88BA-CFEF-424B-85BF-925CACEDB28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757B8E-C302-4E30-BEC9-D6C05C63F6E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4A6E4B-536E-4311-A2FA-CE259C6E8FF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F58EDF-5894-428F-94FB-826667E91B0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36539F-54CF-4B5B-B4B7-7B2295AC3AF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7BDF43-7F5B-4BD0-ACE9-0A10222675C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8D5E3F-F561-401D-978C-B3ED196AA50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B38F53-A204-4F24-82E5-6F534752305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379D68-70A5-401C-B8F1-279B377C68C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A7BA10-25D6-4869-A9C6-7D540EB2307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AE82C5-4ACD-42D5-94A2-5CCEA6E649E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A2B5A7-1D78-4EF0-8F5E-5A7FFC53FB4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7273C1-B7CE-4923-8AD2-8A3E42639A0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7C5E05-2302-427F-ADA3-F12F12D27F2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7E367B-51CF-42D9-9EDC-FEA14C8D3B0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EFD7B9-0590-4C0F-8F93-BD958A9C2C9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291B70-1F0C-4A66-9825-ACA2CFD5C36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AE30AF-2368-4945-A7C1-5087425F378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E85C1C-923E-45A1-BC99-5C7F74A1FBF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51A879-D07C-4E1E-85FD-BCE5A12F9FA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B5D64B-1D36-4969-86EF-E966F6C5127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AC8307-59ED-404C-8FB7-A9E70A055E3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5F3305-95C3-4EBB-AE4D-70FC3CC1222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9C5814-2728-4293-8F73-44171559053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3F9D32-E301-4ACB-911D-1D561B535C3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1E1D7E-419F-4CEC-AA81-8E9A8DAD067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9ED090-D748-43FE-BE4F-A12B088A357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8600F1-0315-44E2-BD00-6240E391691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95CACD-4742-4182-9896-A917FBC13A2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53B3DA-01A5-4A8B-B293-8B1940DE7E8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FC316E-EA78-4773-8D60-96EB611D504C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BE5247-0686-47A5-AE17-A40EE5C8EFD5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68F03B-76FA-4056-88CD-FA7323974BD0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E83FE8-FEA8-4CE5-AA59-49EFDB30496A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240712-E662-4C53-9269-8627B863AE00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273E96-DF0B-4C7F-93C9-2EC330AD088B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E7C68F-A4D7-4182-8696-6C395BEA91B3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C5767C-E4FF-46F2-AC7F-BB32692ED3E0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9FC00F-966D-4314-81A8-4121A9D905C8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D635A5-5BA4-4152-9B60-4C2D64BAD2F1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06DAD2-8DFA-404B-88EE-22D6466930D1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0BE418-0DD6-4735-BD97-966AA88F8475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53A60E-E0E8-4732-8D02-C6EFF3B09A41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AE3990-609D-47B5-B005-8F0FBB39ABB1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5D6A16-6804-41A6-92B6-73ABBABBDADE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B8CFDA-49B0-44B8-B4F2-00B2E2603897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6A65BE-C31E-4999-A720-8A0E98615A35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44816D-C37A-4D03-80E8-A8E53AC8BA16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C0B6F3-CFE9-4526-9780-602C2A02BACE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67B969-4410-4B20-B3D5-0298A69CDA9F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CCFD8D-3C32-46F7-8A39-B9EE437081D7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6BBC32-6F03-4D19-AF9A-762DEDA58FE8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241AC5-C60F-489F-985C-4A1EEC6855E2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157979-74DD-483D-A288-DECA73717A8A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E0F9D1-5D60-4A8A-ABB5-72FE88ADEEBF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40B685-011E-424B-9C5E-E8F16620BCEC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3EC005-5E6E-4DEE-9437-0AEDACF5B553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0E0241-B873-4A8C-9D64-DE1A54676A23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507D19-0322-4E78-907B-1D52B55AD3FF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0C775C-2C7A-43BD-AB15-6887929B9176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FAE805-0FDD-4881-A830-6E516233339B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8F6E71-C304-4485-A7EE-1BA79AE56C20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3A1268-2AC0-4CCE-B10B-0E4C7C10DBEB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1A0AFD-558D-4241-932F-5A0F800C7DEC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F3D746-BE86-4BF0-861D-5E3F05319FB8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A2059D-69E4-4B3B-8B1E-1C5EA962BE31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CF55C1-F5CB-4226-9FBC-B6EEA604A046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16381D-8322-4CD1-89F7-B3390EDDF26F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86DD4A-0A40-4008-960A-EB9B69025C23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37FD2B-9E3F-44CF-B77F-E3DD76311934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F86D99-8827-43F7-9262-6759CDD80900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C67491-6851-4C57-9358-D4CF71256833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0B54F8-F347-4D07-98CC-711FBCB3440B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354290-CFD8-4ABC-830E-1E62DF863399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98839A-6188-4195-8069-9985BDB0C914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537FA4-F9BD-4809-9E26-BC024D532848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831952-4C30-4BC7-A270-5263083F243A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3E13D4-F8BF-4449-BC18-77348EDDFF98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93F8A3-0E08-4837-A020-BF7EFC835729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0B30DC-2A1A-4503-BC74-B4187E14E657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B7138C-6B26-4C75-8D79-ACC8C4B99E70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DE4DCA-C087-42BD-9A98-38810602BA9D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6A6ACE-5E0A-4104-A1AD-E00C5AB424F7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57150</xdr:rowOff>
    </xdr:from>
    <xdr:ext cx="304800" cy="304800"/>
    <xdr:sp macro="" textlink="">
      <xdr:nvSpPr>
        <xdr:cNvPr id="3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BFBF86-C03F-466D-85C6-D4BF7159D2E5}"/>
            </a:ext>
          </a:extLst>
        </xdr:cNvPr>
        <xdr:cNvSpPr>
          <a:spLocks noChangeAspect="1" noChangeArrowheads="1"/>
        </xdr:cNvSpPr>
      </xdr:nvSpPr>
      <xdr:spPr bwMode="auto">
        <a:xfrm>
          <a:off x="9372600" y="100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08FB4E-0259-4333-B14C-F1BCDE54226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3EB879-308B-435B-8668-AE39930951D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2009D1-4D11-4EE9-83FE-AAC219E0C97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8C497B-B371-4128-A6A2-735C7FA3508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642AD8-30A3-4748-B41D-9274B82D684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047209-EA36-407F-9AE3-7464F72960D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189D7B-1C45-4DF7-B300-49EB7B86E0A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E6AD7C-84CC-41E2-A77F-1B4B2A9A443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714375" cy="304800"/>
    <xdr:sp macro="" textlink="">
      <xdr:nvSpPr>
        <xdr:cNvPr id="3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269AE2-7B42-48B6-8C12-6222D16E450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A933CF-25D2-49CC-B8C9-792E8A1F01B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F9688F-7ED8-4F18-8D23-8819FAFCB54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87F38D-2439-49C6-8ED0-BE9DEF525BE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6ED79E-0489-4600-B320-1DB2D30BE31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C36732-BF96-441A-BF5F-77859605E3B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714375" cy="304800"/>
    <xdr:sp macro="" textlink="">
      <xdr:nvSpPr>
        <xdr:cNvPr id="3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38E4F9-D332-4163-8D8F-8E684B5325F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A36F2D-6A11-458A-8367-8DBD6DE42EA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896F44-3146-400B-8073-3BE7A0B692A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8B17FE-F5BE-4906-A74F-01BA3B4BCF3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55D15F-BEB6-4260-ABEC-3346C2CBF9C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81C20F-26FB-4454-9EAF-905789ADE0B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0B6D90-F803-4EC8-BB00-B8E79EA482F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2F2339-1D38-45EF-9286-5228DA24114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0BA20C-C0DE-44A7-8CC7-625473407A6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F48BC8-370D-42A1-AA99-984B74E6620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D32373-203F-444F-8B36-83CE240CBF8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E7ED83-6BA2-472C-A1FD-8848EF75809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84CF7F-D85F-44B1-AF52-728A041965C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CB06EA-D2F0-4DA6-A0BE-F5D8EAF0945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8E40D9-1486-4405-8E26-FA8AFA5FAB6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2E4B81-02B5-4632-A362-6ACB2C6F3A8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E4698E-47C5-4CAA-BE43-9F083C7640F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74CC2E-AEB7-4F97-AFFF-55C3D96B8FF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946B79-7A4B-4C79-9704-12867BF253B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504173-5B7E-4BF9-B866-52FA04961C2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125559-E238-4BF7-8B25-6089907F280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E7FB7F-0285-4757-B8F8-4D3AB3ED6B5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7DC742-6B66-4764-997E-18418235DB5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CA122B-B7B8-42B3-8FCF-71058A006D6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C6604E-9CDB-4154-91FD-BBFE0698F6B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F846D0-95E5-4B81-8477-F85C2DBEBA6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BBDFCD-3BEA-4832-9A61-1B0D488A0E1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198689-F6E2-4C24-BB5E-862AEC79FAE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BDF1FA-201C-4C79-9B2F-8BA1E45727C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2F103F-D067-47F2-AB1F-4331A7EEAA1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43AE5A-A79D-4A41-9CBA-B0819BBE766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A093D0-DD04-4C84-A5AD-21CA6B2507E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1011EB-1A1D-448C-A7D6-BB33E118AFD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E58C2F-9E15-45D6-94F6-4511C3B5F42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EE42BB-F94A-4738-A556-38595C77A1D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80ADE3-1AAD-41DA-A788-C35E1BF5338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EAA2C6-D84E-492A-A22B-206930B9FE1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63AED0-18AB-46A6-934C-7D4E82D2615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55F7E3-432F-447B-8506-E1D6D5CD161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9F7E44-19DE-477F-9822-5255C1CC229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851DE9-6565-496B-977D-E16395D7211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A5C0F5-6E51-44A3-A05C-1B3112A3B22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57E0F2-F575-4EAE-B89B-C9652F57C8A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E67D42-A0E4-4923-BDE2-E63B6F978AE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7AA59D-5765-4AE2-BABA-CFE517AECB6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2CFDE1-0BAA-418D-AAA1-B4D1A4E8456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506940-0C48-4A91-A994-3558E08A7A7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877287-9326-48A7-9FC0-59365C4FA65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69D29F-3BC9-4943-BC62-28D0E4EFDF1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7AFBE9-3082-4FC3-AB11-49EA436F539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1FB9D7-1DB5-4806-A4B1-9732441128E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19BC44-D02C-4188-B70E-657FC0F21D2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6807BF-3C5D-46FC-BA1F-0FF51320CA8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989A6E-5C7A-4003-A88A-9EC717D7C06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933327-0F7D-43B6-91A9-0BA8C358455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99D631-86EE-48EE-8452-5AF0C4CAF4A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131738-517F-4386-BA92-B3C346F79A0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AA1404-B2AE-4656-BE13-6C8CAC9FDA3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88A2B1-7F31-420C-A3F8-0CDA55E2764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FFD332-5FB1-4AAE-A8FC-AAEDC9AC100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BC45A2-7355-4B73-991F-77AD633575A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BC037B-605C-47F7-8516-9AAC51E9F27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B7ADE1-0C0E-4683-B884-190FAEFDD7A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210004-8BF4-43C0-92ED-DABDDA4DAD6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AD98E3-C632-4D02-A3A1-C826C18C102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73B2F9-0D02-49BD-8C16-6FADD10ECF8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840210-213B-46C0-B94C-15909E929EF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6C91DA-2B4B-4539-B0D2-24C139EE92F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86B640-134F-40AB-8042-96F23C2DD37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D0A339-960B-4453-9C3C-3534ADF055C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06F677-79CF-457F-8BE5-0A186F084BD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666D57-155F-4A24-A271-DEC1AF6520B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94E2D3-5624-4268-9090-D4BFFF78BA4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EE06B6-22B1-4B4C-85D2-E26C30E44AC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9AED51-3014-4DCC-B1A2-D37DDA544B5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42D7C9-A837-4D90-A7C8-171855F4C1A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396F1B-6FC8-4FA9-88F9-DE0BF0B7C74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317983-F844-45F1-B82A-74B2BDD775F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306BC3-5D6D-4287-BC34-FABC6262AB1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C4EAD2-C2B8-4091-B7D6-FC95AF6C809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23F06B-5848-4196-91F1-F12338436FF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5AD369-7661-444B-A7A4-BC19A2C1815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EBAC85-171C-4913-A01C-BF4A694D26D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EBD4C1-4A24-4940-AC17-FBD5A347FAC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EE6C80-1BF6-4562-87D6-D1DCF7F7805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F5B65C-684B-4A73-9643-6F72B8CA664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84B0D5-5C0C-4CE4-8ABD-3A3C99A4F75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C2ECEF-DF98-4BD5-A14C-1EFD93E7AD2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EF6D37-3BDE-4B80-B90D-B358DBEED7D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DA4AC8-95BF-4FBA-B99E-E55882370B6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63A527-6358-4A8C-9EDB-CB77A61C082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CDDFC5-01E7-447E-94D2-3C68924A999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3530A9-DED0-42AF-B4B0-284B2B91E52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9D329C-7C57-4B84-A555-F669560420E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E9C3B8-7922-4D75-A95D-FDA43A2AE1D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19AEFA-B441-4C87-B6D8-60EF64C6B6A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348748-2360-4652-A285-BAF431FFCBE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328FE8-0143-4248-9DE1-EC56F8A1940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3C9392-291E-4FC9-9279-EE20145EEB4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9298AA-6F77-4CFD-BEFB-31C76AB7F4A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3E2794-B54E-4097-978B-F0328E22F88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804BC0-EBEC-4E57-B89A-A0235A9357C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119EED-D57A-4987-9B77-90097B8D86E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EE65B6-6DC9-4215-A66C-659A3D23954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A3C493-E5AB-4E37-8A94-0A6EABEA168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D0E633-6931-4C66-9936-70013DE6520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B77FAA-EBB9-40A6-BD2B-A1EDFFC5E7E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BFBFE9-D108-482F-BA98-77603EBA110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015522-36BA-4651-B010-7E5ED044CDB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A849EE-6FE0-4BA8-94E0-DE302E96C3C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B7C8DA-04A5-4B7E-AA9F-169923B5516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24021F-DF91-407B-A34E-B9F6F8AD759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1333B1-E1D7-4A2C-BC0D-7F1D6576902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0A4C98-F53C-4182-B202-97DA2D167A9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AC5D23-BFDA-4180-AEB2-99D48E4FD19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AAB003-B113-4B06-B43C-FAE64941A36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4576CF-0C23-4DBF-AB25-A49AF17F045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9D3AE3-331E-47DE-B1EB-05EC801A469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AA0CCA-D04F-4DEC-BD1F-43213D2D2AE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9CE9A4-6FAC-4977-B915-7408E99A347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8101B5-AF66-4E80-8BAC-E4667C2319D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262440-DFF5-4F56-9241-6B9527FD560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34195A-25A5-4C4F-8C70-6DB33FED3BE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718748-A268-42C4-B5E0-491A72206AE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AAAD2D-6A7A-4BB2-8047-B952126C0FF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771809-C43D-47EB-BE77-98832AEC18D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048639-8548-48F9-A245-58EB3F5CA6C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6DB778-D966-4A08-910A-34A83BC2A87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97AC85-A5CF-4753-84A3-EBCB7423335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722550-2151-4B99-BDDE-E1CB189AEB2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9511CA-3F33-46E6-A527-B55839569C2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82800F-C50A-45E6-BE90-FAF38F49928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DFA1FD-3477-4F07-A6BB-7E301C6E95D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8DCB65-E4E1-4EF9-9705-6086B9B949C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2DA9C2-3FDF-4319-AE0B-2AECB6FA5FE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F755BF-DF38-4835-872F-F718021510B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13C4C1-49B6-46E4-B5FE-563EEC955F5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02F647-8867-417F-B113-4B1C2BD0F0A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BC126C-D97D-44E7-845C-48391D80B3B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313261-6C33-4CCC-A769-F30F87A5BFE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9AFD01-F046-4C3A-9A65-46BCED9D137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059FF4-2E9B-4EB0-9D8D-82FE7A4FD1C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14E187-1BDF-48FC-A422-586A001A156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CAB781-6DCF-4522-9B4D-9A1F58AEDEB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4840B2-6EEE-47AB-863A-CDE915C0B0C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135A30-BF92-40A5-B173-69CD4A4BC89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E3B78F-88FE-4D74-BAD6-1CC1226E698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AB825B-D7BF-4B25-8756-FF68394022F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CAEB87-6550-4A13-B41E-4D96CE4874F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A1409F-4A29-46C0-8915-8F86B218788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8F5DBB-2298-4E35-ABCA-FD8DA1A4B47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61E048-2E5F-4A97-85C4-DC579A4BAF9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4B59B3-071E-4189-BE64-2063782516F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F04D38-F1F9-436E-BF59-E0BD04AD141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0A0C9A-9BFB-466F-ACC1-9D7980E46B9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980B79-05EE-400A-851C-BD5B1AD820E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D34A0D-E307-47D5-90F2-17B63983127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61E660-436C-47DC-9751-D77553E5A03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FED3BF-1F8A-4B40-86A2-501BE21A6A4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9B6AC0-40F3-436F-9659-348C2020582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64D8A1-A9CF-4436-A231-8D4DD3FA091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9F5917-E7F4-47E2-8B02-B5C7EDAD440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DCE0D0-B2EF-4952-A586-E0C8059BC1B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46396B-7D57-4E0F-9FE5-6F3F1FF43E2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523686-54EB-430A-AE6A-62F48502129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DDBCC1-F786-4FD1-920E-955B88DFE31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024820-021A-4285-A1E1-F06E615A899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F5BF17-4A7C-4396-B926-D535321ACA6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1BDAA3-42E6-46ED-AB37-3180DA49FF3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55F507-E8C9-40B3-A4DF-7D6D6AB9E42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CA00F6-0532-4AA8-AED3-A25287A702E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5C8565-012E-49DB-A193-FAF6B2E17D1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55B998-23E2-4759-9B27-57D7F5971EB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75051F-5669-4386-8BB6-E5A45021ACA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4B6F03-24E8-4D74-8393-8B1E065212B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817D4E-7D4E-4E3D-8582-5F9B7E8AC05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ABA5CD-6302-44EE-A015-614972AF172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B2AC02-024D-44EB-B9E2-1798F7EBF27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1899EA-D36B-49B0-B109-FDD68D647EC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0937D5-5C7F-48B3-B8D4-7B0120253D6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B1D694-016E-4C7F-948F-88C1CDFEC6B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1D55BC-F7A2-47A1-A4C5-543EE4F12B9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AF2565-B030-461B-AA88-9A7C2F1E5A5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1F1A12-23A7-4DE4-91E9-8FD3E78625D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A11FDB-1C96-41AF-83FA-6B3899785AE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AB0881-DF4E-4C70-BE00-C9666A9CAB4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3CA6A1-054E-45A7-9DAD-2062FFFE98C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58F467-89E4-43FB-AE99-B3F3F6B329F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A4D504-DD2A-40E7-BDF1-DBFEF608386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FCE9DB-9603-4943-A687-AEAFB7D7644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926CEF-C6A4-4022-8257-D20A9305DA3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777ADE-D7BB-4752-AB3C-623470D8808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73E424-C31F-457F-831B-6E7A8D4D337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91FE5F-C3C5-4E56-94AB-8A731E855B2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C704DB-EB66-4F5C-9829-BFBD38FE5D5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A0AAF6-8750-477F-8FA3-C9A9AA83195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7EA9B0-6DF2-4176-818F-4946BDA3E65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24341C-8A9C-4774-A5BB-DD0AB36A325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550A29-8A76-4DBB-BD65-E3F85C3DDEA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3468A8-1D9E-454A-9D45-91B3968DB39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69CF3C-EC95-44B7-8F9B-F78F636BE9E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1269A2-DAA0-4D16-A9C0-47463C0144B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DB0D2C-8E2F-47A4-8AA6-69C906FE651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07BDD3-262F-4A27-939C-25F28BFEAA3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677E01-83BD-4B5E-8ECA-475E0721A39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41E8CF-DFF7-4E32-B082-721A8E46D3E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75A042-BF4A-4DED-BF13-02E98E9948D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52B87B-FEF7-4FA8-B0D7-FC160D880AA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797E5D-021E-4B03-866C-F341DD527DE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F523E9-5046-452E-AE48-069B4054072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20EE52-FBC9-47F5-AC22-28AF3833BFC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2BF78C-D3F2-4C53-BA3F-3DFD6BEAA08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BAF9E8-1937-4B85-9200-6D515E6A6E9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68017B-56CB-40E0-86F8-56EB9BB75ED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ECF1E5-19F5-48D3-A220-C1FB18D65ED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F9D027-5A09-4EE3-8020-EB121086EC9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6DE794-1423-44CB-B321-B07B25B2384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FE243B-BEE9-4A41-90DC-CC53AAFB078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C058FF-4D28-4BBC-9B3A-0CEDEAAED4E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E73A23-48B3-4008-A2B8-F4CB542F269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8E3D8B-8643-424C-A812-3739C7163C8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E63B9E-DE0B-49C4-89F1-4B34AEB5D54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98F910-876A-4FC0-909A-55B16D28E43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865A82-9818-4BE6-A5C8-70153C45690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126841-ABBA-47AB-8CF3-5C2F1DD3F72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7C4087-8522-4E68-8CD6-AE3FA642327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CBD287-F6AB-4154-B08B-C5E88EFF4A6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13FAE9-42A4-4FE3-BC1A-D99D6B08C54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6EBB58-258A-44CE-86F8-0B9345550D4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B3BA25-D26A-4ADD-955D-02DDD85A9D4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945376-D6F0-4045-B973-C891774B76B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134F33-6708-45CF-A110-6CBA54E2C5C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8C3A2B-980A-4939-9A3F-625EDE2A569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DB2E83-9401-4924-A0F2-BAA0E0230CA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D9E9CF-68B8-4C9C-A7BF-5BB9A98BBAB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E3DE04-2A91-4240-A1E2-4AE888BC70B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EE992C-C6CE-45E0-BD76-92D296604AD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A02B84-9ABC-4C74-885A-8497A630EA0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78EFFA-DE08-4710-80A8-5FE7E02F273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A8920A-CA60-4F0F-B2B6-782CCB89983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DF827C-87E8-4D3A-9B74-7F5A3A9B437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C1CBA2-C161-4C02-B8C2-D84D4DD274A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AB48BC-6517-4A1B-92B5-B70711B3D9A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3661EC-D465-42F0-9446-6D133D5D409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317DE6-CA5F-45F1-B31C-9012E9B1585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9334C7-F716-486E-9CFE-789A98D22F4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74586C-3FED-4BEF-81EA-186D3D3AD11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8B42F9-FE08-4EFA-B817-557D6F543FB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8F3C08-2252-4AC9-A1C8-B4F481DC4DE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6E2F4F-0515-4F62-B209-4AE51C4463C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289C0A-923E-43C7-8958-78A8A91991E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203795-57F9-41EF-9E18-1AEF53BF8B9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03B27D-E685-4C64-A5D2-CF93B23F079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8991D6-26B6-4AAC-B158-383E6E00227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1BD091-C8DB-4F71-A972-3DCF4EDEB2D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1E6DAC-948B-4246-9FA0-8A5683D0500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9CF49A-16F2-4EF9-BACF-735F576635D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8F484A-41A7-406E-BEDC-65F2C747A4B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58E98C-44BA-4944-8003-A6149F5B6E5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1A2C5A-D2D0-4427-9488-7BF7C641446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AB8371-D0C3-4079-AC70-5354360C44D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6E6274-E7D3-4DFE-AF1B-3DFEE70D623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B60092-F55B-4BCD-AF88-94CF9A242CC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2675C9-F63E-406D-9E3B-59E56972EBF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37E03C-03C6-4717-8801-E7A892282D5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06EC6E-E41C-405E-AA77-7C0025E7B16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DA3F37-657B-49A2-83E3-5C56D53F2B9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49C4A0-6913-4742-97CD-FA2B9AE2A79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D31A04-644A-4656-981A-4AE85F87163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99CDF9-F7EA-45CF-9C0A-AA1A9F6AA07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A055D3-ED19-4B68-907E-9F2445B91FB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EBFBBA-4BEF-4515-844D-B968FC15F2F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0D7706-1CD3-4874-97BE-B2D74D23B33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2D3839-B7E8-482C-8999-6988DAF330C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6DAF56-FF0B-4F7A-972A-2BCABC97D6D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727B4B-D916-4A9A-8C8D-92448F2543D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323AA6-B45D-4179-BC27-81846CD7210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5F0984-54F1-43C3-B427-E5E72F0469D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589ED5-3CFB-4DA1-B1CA-731B4223D56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BDE208-3250-40C3-87C7-8CC9A4A8B1C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D57BCC-DCFA-4506-937E-6D893A75428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BAB433-DA37-4BFB-9D76-3747320D163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F294FA-A25F-4F36-ABA1-90C292A7B40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C3692C-BEE3-419D-80A4-FE9DE7646F1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8458D2-1C70-474B-BE1D-0008A519FDD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318B5A-6C64-4F64-8828-D2BCFE515B6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C5216C-D37B-45AA-A5F0-87FD598C9FF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0F35D2-7677-476B-B344-FFFBF4EA550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CE8D35-740C-430D-9EF2-A0E927F12BC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4B21D1-71A7-4B6A-9F42-E6F3F913C06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4CC962-0B94-4F01-BD7B-6E2393E0968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90C8AB-C80B-4CC3-8C2D-1E2DBDFC3E0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C6025A-D3BB-42E0-A144-795C148E96C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2642FA-29E5-46F0-B790-1F02A5DBF45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41AC86-C0D9-4FB7-9FDB-E884EB9488C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6094E6-01F6-47E3-B96C-756D2DB694F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D213B6-5364-48D0-8685-458FEA29998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399CF2-979E-4BF9-868B-AD22A835743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822070-D4AD-40BC-96F0-0AA93AE3FB3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32FB1C-CE4A-4EE7-8384-E67AC927DEC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328CFA-ACD0-41D7-A36A-6EA859C1E36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F9BF94-D24F-4D87-A2F1-AB7A9D46FC0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E11E35-2DF5-48AE-A861-2B4EA431BD7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27893A-14B0-4E63-A9D7-257002C86CC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CF99B1-2F83-4281-9833-8B508736306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25E8D8-3C57-4C07-98AD-63D66C18FB4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1FFF5E-9A35-4FFA-8F01-E97ABB30137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1BBE83-BC27-4A7B-8926-B61D5F0A5F8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067E10-E7FE-4886-8335-AEFD98923EE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69C653-AC22-4E46-83D4-F466C3A7B31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368690-A90F-4796-9440-B69576B7866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C752D9-5BD0-4D25-B801-F367BB63740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159B5C-CCE9-4104-ACF0-EF5DAC8CE45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C3E327-CB9E-4679-A637-BD1BC34DFC9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FF1570-6E5F-48A2-83F2-43209B0C3AB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9FCFED-F2AE-4E5C-B269-15735DAD205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BA02EB-3EAC-4DFF-8F7B-BAC248D26B6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70FD0D-8733-4673-AF5B-B8E0006E9BF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D08634-3C13-40CA-8927-27BADC150BA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F90782-B05A-43F2-B035-129D4649A26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D5A8BC-3A8C-4BE3-BD68-6E2C9E07690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78AC9C-8586-459C-A290-EEAEDFFCD2D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7172A8-39E2-4720-976D-04F0F741F62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78281A-D87C-44C4-8044-D0A8AE418AF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1C9B4C-D28A-41E0-A486-3AD0CB84963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8815BF-1446-41D8-A01B-019EAD19E17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9E08D8-235C-4F7D-BEA4-B9BF559DA51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7568B1-A87E-4E53-9B48-6D1DAC6C22A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AAD3C4-2102-46A4-97BA-49D1F9C6332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2036F8-52D8-4840-9285-9D06225A155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520282-EDFC-405D-B158-2E7847390E2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59E8D1-A662-474F-B5B1-C61AE2FEC56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F79043-41B5-46DA-971E-962831FC988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F58DCF-AF48-4FB4-8049-F43CFE53DEB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88339E-BA1F-42BC-947F-DC3E46F810B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7A85A6-5A9A-49F5-8D33-1EA87173339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F871DB-D0AB-4DA2-A47E-5928DC36757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7D9705-B964-462B-8297-37D929D9CE3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7E4357-78A4-4C86-A1CE-692B0F066DC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9CCCC5-C3B9-4BEC-9971-67D0B20EDCB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D08FD1-FE5A-4153-B801-2B74606BA04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3FAD52-4FBA-4B76-94B4-6C4F03E1C24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DB1F12-7598-4B1C-A960-D90312A41FD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36D2C5-C986-4AE3-82D8-063CA15A7A7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050FFD-2517-4589-8341-8F291B037F7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1EDC7D-B02F-4D0C-B77A-AA1F4F7EDC7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A8A9E8-0742-41D5-815E-AB8D5054DEB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AD9DCF-50A6-407A-A0EF-501C92EADC4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6206F1-324C-424B-87A2-3A3767E3B01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F215D4-3EA7-4859-837D-4CFBDADDD74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EA65AD-E50A-4FBC-AA46-20A89649F87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790F28-97DD-47AB-A58C-C768F97E39F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950D61-92F2-4807-9403-9C36C6120AA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14DA48-670E-4C4B-A27B-213FB9EC5B6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2DB6CF-68EE-4A72-A4B1-9FC01FB7B27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ECE10A-48D7-4AE8-95B4-9D05BC9E898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0573ED-08CC-4B8A-9F37-9BD6E2084D5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273128-2DB4-4976-8E54-88487A676CD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4BC2DA-7EF6-4A2B-A08C-A479BC56546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B23763-9458-4FAB-9263-45CFCC6ACE8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380472-B5A3-4165-A0CC-2E7969C8D5E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D8F03B-18C9-449D-ABA6-84006DDF0CA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7BE85C-6458-465F-8994-BB86CD98A37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4195EE-4974-4025-A3E2-DD31D4F2540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8C6372-9721-4B6E-91EE-C002621B13A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9B2CDB-5C22-4869-9766-DC08F0DC74B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3E0247-902B-4AC5-BFAB-4CCD635CC7E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CAE1BC-DA4E-4016-9ACB-7DF35BBB724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475E5A-8FFD-4729-BD0E-708D6B9277F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8883E7-790D-4950-9A7C-96B14683648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A08800-1F06-41FB-9A3D-72E77DC33AC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57326B-DD40-41EC-B3AD-BFBA90E32B7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7B250C-CA8F-4EFB-BBC0-9A03E9CCB3C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61BD1D-371E-40C4-8FEB-50F97BD17F8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7DCDA3-D86E-4C5F-BEB8-E1D1231E4F1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AD71E8-A92B-4B95-8716-323AE469A3A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18E273-55C0-494D-8EE6-FC272C1CA97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418132-224F-461B-BE30-DE0C8FB04C7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B03B94-7034-4D56-9D61-B7DB190290B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6C5D2B-B25F-463E-B2E0-0689D829ADD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9F859D-4E46-433F-85A1-3FC28ED8A4E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E628ED-3893-4F25-9C04-51444A2B88E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601E02-F684-42C4-B808-8197B269A10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3F63BE-9DD6-46FF-A8EC-3EC1A4E434D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9406E1-452A-428D-8B2B-4004DBBC921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0942F0-040A-447A-8B8A-0435FA3E3F0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CA1D81-E64C-4E9B-9ED0-A221EA888FB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38129E-C59A-48AE-A253-AF2D1AF1004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DB635E-98B0-46B5-A36D-84DE6B3E330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714375" cy="304800"/>
    <xdr:sp macro="" textlink="">
      <xdr:nvSpPr>
        <xdr:cNvPr id="4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AC64E8-4681-4708-AC42-7D90BE5B3922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D14E5E-21C3-4289-90A3-EF523745212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4FC525-A8FC-466A-9CBC-CB18579EE8F7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05F853-0C17-4092-913F-C61603F704F5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F5812B-65F4-40DC-BDFF-9FCAAD00A5B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75798E-5ABC-47DB-BFB9-194105A301E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714375" cy="304800"/>
    <xdr:sp macro="" textlink="">
      <xdr:nvSpPr>
        <xdr:cNvPr id="4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62F5E3-D57C-4771-92E6-F0B3DB63E5A3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8990D8-64DA-43C1-B506-6B88D488A4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DC0388-31E8-4A23-93DA-7377D80B67F7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9592AB-1449-400C-8074-56FE511A73B1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B532B3-19C5-4318-9AD2-DF21067CEC7A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6AFD8F-FDEA-453B-86E9-D8082988A2B7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F35A07-1419-4424-B8CD-05E763207428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C6801C-DFAE-411A-93C9-B94939FF6DBF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9AA316-E23C-4582-97C6-5D373A4DC881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055A0E-EF59-4945-AFEA-E5C7A0B444D5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9BD23F-B1A0-4ADA-99C6-EAAA700C153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90A29C-9CE6-4384-9BAA-2CACCAD172C3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E7B33B-89BD-48E8-915B-C4565C4601DD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8652D0-8AB9-42AD-9BEF-9BFCBDE60DDE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9D7E73-1720-490A-9D30-6C0F5092EBCC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120CBB-EACB-4614-94CA-48A04FD4CDE5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362F0C-F944-4220-AE53-B321D5C3F3A9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D9E138-97B7-4B04-B8E1-14A3022662D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7531AE-2783-4612-A125-9FCF9CF91C8B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2990FD-3734-4EA7-B33F-6AFE1D741C2F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A41FC8-C5DD-4A5B-9285-881F8D8CD477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714375" cy="304800"/>
    <xdr:sp macro="" textlink="">
      <xdr:nvSpPr>
        <xdr:cNvPr id="4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BE5A41-7EB7-48FA-BFDE-A0D323731EF1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25EFE0-F788-4318-8D29-B0A656301A3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A0D288-4CBA-4CDE-BBBE-EB3C6746DBA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349E28-60F4-4B90-9549-DD707A4FD0FC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42A920-2742-4839-AB5A-5D9F7F47B28C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19FA17-6E2F-452E-BD55-6530A69A3D89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738A3F-7F0E-45F8-A2BA-D4CE62BEFD6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1C07D0-9672-463E-AC79-FE4F62A80628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3D3EEF-5ED6-42EF-BE24-65C85CD90A2A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D43A8D-6163-4A08-A298-9763BAD46EC1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2D4CBB-2346-4455-ADEC-E9F657B0D8FD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B9AAE8-C2AF-4119-83F9-ED6F7AE0136D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2B20E2-7521-4B7E-860B-BC9A37034AF3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1AC292-07F6-4D7F-AAD5-D55C530B651A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CB6EF7-3661-4B46-A2EA-0FC9975C9AB7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D6446D-9825-4BB1-9677-A00E78872C5D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D6F713-609E-4B2A-975A-44FE47591ED4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367138-65E8-44C3-806E-D7F257836A8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C52E9E-1C42-4915-8F3C-E9F08EF8EC5B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659724-43CF-4349-85A0-3DD06752CA18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2530C9-ADCE-40D2-AF4B-51558C618F68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893699-01FB-4317-AB4C-20DB9F558594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EBDAE4-E40D-4F5A-9839-079F10081DC4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03EDF5-8077-423D-8FFA-1E4D943E1F93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644768</xdr:colOff>
      <xdr:row>1</xdr:row>
      <xdr:rowOff>139212</xdr:rowOff>
    </xdr:from>
    <xdr:ext cx="304800" cy="304800"/>
    <xdr:sp macro="" textlink="">
      <xdr:nvSpPr>
        <xdr:cNvPr id="4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A855B3-E4EF-45A6-BED0-4A434A544C4E}"/>
            </a:ext>
          </a:extLst>
        </xdr:cNvPr>
        <xdr:cNvSpPr>
          <a:spLocks noChangeAspect="1" noChangeArrowheads="1"/>
        </xdr:cNvSpPr>
      </xdr:nvSpPr>
      <xdr:spPr bwMode="auto">
        <a:xfrm>
          <a:off x="11484218" y="3297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846893-418E-4C35-8F69-1626C1805F9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E10178-01AE-41FE-A093-9680EB1DDB4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967E27-FD66-45BD-AA99-110CDEA5FBD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D3C044-B430-4FD6-A039-3E42BAA1A63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1C7E4F-5EE8-429B-8B3D-D81BE06E253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6B283F-1252-48E4-86E2-AE3CF8D0D7F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F8FABF-500F-457A-B433-F749B799D39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D73E16-FDB0-41E5-A53C-293CF46D8F2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E6C900-3F30-43B9-9F48-80380AD0A91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1806CE-CBD9-4E71-A79C-A0E84446E80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4ADE11-4A72-4A60-B600-03CA34BD9C0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F31565-DD97-469B-8213-6BAF1D87540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233451-2909-41C6-A5CD-D09A2EF7682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194DCD-9AC4-4828-ADDA-5C1FD53DAB3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45DDE5-746D-40C0-B106-2A2DAEE226C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5955C7-E024-40C6-AC90-4C77C0367D8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809F21-606A-4C46-9FE7-24B39A265F4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782001-22CF-4EEE-906F-71252CB8810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FF29F6-B7CC-4C24-ABBB-6D265D23219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926E91-477F-4C88-BB1C-80A3CFBEFC0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CB1220-4957-4669-B183-1BA7CEE7E1D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139462-68EC-47D2-9C79-AA41B82064E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2B9C3A-9054-4E94-AEDB-C0F7C37FB19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29BBFC-E960-4CAF-A29C-3849405BB82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429B6A-6034-4510-845A-DF45D9AEE90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15978B-F4CC-485D-9D06-498F644F2CA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99A366-0217-4D70-BCE1-07D32E06E76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B6AB93-1BBA-4F79-8560-185FC120A7B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5DB5C6-2B8C-4D38-8E0E-E312CE2E995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585BB3-483E-4400-9A30-D09E0F1CD90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CE3CC2-7287-4451-B16D-92B9F88836B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61F4B1-DA51-4E3E-A404-4370F264CEA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9C0013-43FB-4C05-97E4-BEBDDEA8C37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A9C814-5DC8-4D56-B822-5617709C4DE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547BD0-011D-4A14-B1CD-9851E5884F4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F2952F-F35D-42BF-BA65-E692044AD52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9337E4-E20D-4C2A-9CAA-6F5894958F5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7C008D-A41E-47E0-8302-FE74612E44F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E9228A-33B2-4A3D-9EDD-D8EF67CA7BE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6C49EA-6660-487E-86A2-2D858FEC82C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61662B-08CE-4C58-AE51-E32040FF0C7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0737E8-D0CD-4B6B-922B-898F37B843A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F5FC0E-C64D-49BC-8430-CCCB39038DB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340191-E242-4600-B73E-E56E0663643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021B59-95C1-4D6A-9F3C-B046A792DB0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802CF7-738E-4050-9677-71F5019C1C2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87C64C-23FA-45B5-943F-BAF16CE7299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D8DF02-0A6A-4357-BCE9-89C348133E7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CD1DF1-AE18-4A41-8991-D8313EAA903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CCA455-C35A-4530-B308-8C9D3DAA3AE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A9113D-7C16-462B-9C2B-07E6FC7E9B9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D503C2-E612-41C3-900F-2128E3F744A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AC9078-D1A3-4429-BC1E-C5629F7A1F0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958845-490B-4BA0-A608-A8091A02C6C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23E64A-8D15-4292-99F9-905759A6B82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E5A824-AD4C-49A4-BB95-4192519C7AA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224B5B-946E-4210-B81D-3A64D57AF6C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B42689-5862-4C0D-AB84-4E425B0E024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B23A94-9E3B-4746-918D-CE7952553A0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566370-8C25-4126-B2FE-EEDA8C51555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F52D34-EDC1-4A10-A7F2-85E72DA6C1A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F2ECFB-402B-443E-855F-FAB51300D2E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BFB3DF-15B7-4EC8-8DA6-998550CEC57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06343F-6D3F-4B1B-A8E0-889BC167E33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A52DD2-F774-4BBE-BF3F-5B1DAE88CCA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96F647-FC46-44D1-BF2B-A89A7A6DACF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A18B6C-CA1B-4521-873E-A7EC106FE1B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2906D9-325D-41B2-993B-3A7856D7FA5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F29088-BE81-4426-B338-22793A48DD2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6A5CE0-57BD-4AEF-88C9-815B34D6A9B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5BE0A3-2FB8-4D13-9173-F3171FB682F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4BA9A0-1CB9-410B-9800-3C07C7E1B75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80AC65-5F1F-448A-B691-D4087B0B78E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DC09BF-BC14-40B2-BF30-1265D44CB5D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F51A7E-314C-49DC-BF93-F4173E4FD37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6D973F-668A-4B7D-9FE6-5ED93D8EA3E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662B2D-4F14-43B9-8900-DDC1BBD5FA4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8E1CB9-5598-4433-AEE6-F1F13C83EDB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AB22CB-E3FB-4E6C-B1A6-AA59530EFBC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08875B-9712-4830-8D66-78D4C08AC0E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5E7273-6ED2-4E8B-93F1-A2634E797EA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172F45-A455-4A05-9B83-16B7484BD3A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1E58CE-4858-420E-B34B-B08FAEB6451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57DEC0-DD85-46BF-9585-0D7BD3BEEF0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A70950-E851-4398-B4DD-25FD60C9C2A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A6B551-208F-4CAC-A005-6F6BC367530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CC950A-6F79-4217-8592-2DF902699B5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386585-A070-402F-956C-EF9704AB121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B0E0DF-634C-4014-9572-3CD574D4819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0D9D37-8B93-474D-AAD9-F5535668BE3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05C926-0C3A-4C3C-9EDC-0F3018F18F5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DFCC2A-A4A7-4989-AB38-F16CAFB7B8B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45658A-A88F-42C3-A2B5-AEB4A06A5CC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5D39C1-0E96-437F-ABB9-4D0B3281459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D8CD08-B8E6-4116-9420-5D6D5CF7B09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D06762-9496-4BE2-A5E4-F8B755451CC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13F21A-3463-467F-936F-4BF190851F7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4644E7-47C6-4F0E-9469-5FC8C1A12E6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84E055-B342-43D3-BF59-A04E7FF1561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3C8624-6EFA-44F4-BA02-43A715DDE85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60E532-B0B3-4389-A76E-98D3DE484D6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9A1FCD-E58D-4105-BA4A-A7D0095200B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1C73AC-0DC3-4D67-9402-C9F07726473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7791EA-8496-4941-A2C8-11AAE9EBB02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52826F-EC50-4D28-8032-A7C092D3122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D733F8-E38F-425C-9C6C-F38B750F27E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23479D-54C9-45C1-B670-08C2B396CA8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26F6C2-CB09-46CA-94CC-1279A4DD05A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C79DC9-82B2-4CD9-8F45-B1FF9814BA9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5928DB-361C-4E1F-92A8-A3A01FC88EB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E41DCC-0EAF-425A-A070-BF0C9DA0AFB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6FA19F-B265-4613-A11D-5AACD70C0BF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CAF239-05B0-4752-AD73-B3EFD03B8C0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624736-2DF6-4FB5-9126-AEF34496702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011F7D-A3CD-4992-BD48-7F178DB6391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9A0504-10C5-4E01-98A3-8562DBC6F0D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0123D3-FA12-41B3-A761-9B9DC01D095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20CB7C-FE28-46B4-B49B-CC867265DCD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FD9305-81BF-48B4-8CEA-D8CFBF0ED85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ABFFA7-A687-4443-A0A4-89796E61B8B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842A1E-3724-4577-BFF5-29E907D1273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B46136-8A13-4150-9CC5-D5FB6F75752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8F2124-2C8C-4362-B0D7-95510FBA6DA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67B24D-2401-45CB-8C1B-AB095E2F14E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CF0762-3575-4E8B-8254-E5A749E0397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ABF114-10E9-4CD0-A26B-DFAC59CC30F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4980BA-BCF2-488A-9397-48A8D96FC42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A8B132-820B-47E6-870B-4A84A8924C4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E2FCBB-F849-42C7-A0DF-B725B825C28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07D48E-0992-41BE-B2E8-607CA8CA957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656E81-2E3D-4870-B9BE-07CD58495BD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782D85-9246-40E2-997F-E2B7AD4537B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A7FE33-2727-4728-8A56-40F8273CAB1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6E7791-526B-41F2-81FA-6D657DE787E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DEB24E-B054-4E9D-8E80-079439B102C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8A31E6-9CEC-4309-B9C9-48559FB9D3A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E5E384-5533-42C5-9955-5C028D1223C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25009C-516F-4103-A853-F440DD79DB4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807685-C23C-4629-BBF6-4C12B8DB214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61B287-4189-4185-86F6-022EE4BF252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415440-4778-4583-A053-5949D2C50AD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805E00-541D-4444-9C2B-E56C298A89A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C82ED7-4731-4B72-93E5-DD82FF8C5E8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53B18A-58D1-4357-AC20-73B672D701B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22ABF4-5B5A-4611-8E3A-0D191825557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1F4EAB-18C5-4013-8995-F3D47CE0182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828C36-0234-4A6B-8E3F-42FA7C94E69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4871FE-7077-40C0-8771-F81BB4BE7B4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9EF2AD-6282-4CCB-908C-273585319B6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42C61E-9C84-4625-BE25-5423868F876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78E5CF-27DF-48D0-AAD4-3A331BC5D05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0CAB78-7F5F-4B85-8E4F-C5C766743A1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1F9BE7-3FDA-4432-AA42-FD1C966F265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5C7F25-D406-4C9F-B3A7-33859592483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714375" cy="304800"/>
    <xdr:sp macro="" textlink="">
      <xdr:nvSpPr>
        <xdr:cNvPr id="4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70FB1A-1446-4900-AC77-12978517DE1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0E406D-3649-4385-859E-F3577E3B154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D0FD5A-3D87-4490-992C-C63C849540D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EE38AF-E374-42A6-AF71-64C0C8E7E47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989373-B02C-4D93-B9D4-7884A2300C8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256B5F-787A-4FCD-AD83-B1A9D74D8A6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714375" cy="304800"/>
    <xdr:sp macro="" textlink="">
      <xdr:nvSpPr>
        <xdr:cNvPr id="4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2F7BF0-A190-44BF-8233-B2AD3D3D2FD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4E9684-573A-492C-96CB-C53E6773338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BC1352-C9B0-4052-ACBD-9B6813214BB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845060-C29B-40FF-99C6-C005A906343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0AE31E-B88B-4579-BC1F-D03828B3D48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6D55AA-0D76-4DD1-A2EF-503B8573C6C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1BA303-3E89-4F17-BF13-CB3178E3746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D97306-C68B-4875-A9B0-0536C89A31A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3DAB4D-49B4-4533-9368-6A10968C142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62926E-A0C6-4D34-B2AF-E1665A32082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79218A-48D5-4E11-A044-89924706326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79A716-C656-4B0D-B580-3A795332B5F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377217-439A-4172-8AB4-55DCCD87714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11E76C-6CE2-423E-A040-91EEC12B46B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81C8D7-E5AA-43CC-B58D-C7CC9BC2623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E6C7E5-6829-4A39-87C2-D9A47011409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8A6DBB-9A56-4775-AE60-76C1225C181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19097F-3151-4226-8C43-5CCACAEE3B8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9E937E-74CD-4114-BA0D-B940C3ADE68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5B6EAA-210E-466D-AA1A-1152018F3A5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8A5518-CA46-4515-AA3B-44BBDEDE973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714375" cy="304800"/>
    <xdr:sp macro="" textlink="">
      <xdr:nvSpPr>
        <xdr:cNvPr id="4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266AA0-D2E9-4259-8461-2659255AE26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99E994-003A-42E9-BDDC-B61A34D969F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E7EF81-0D6F-4D57-A4F7-0A9CBCC633F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9B56BB-3608-48B2-9904-7CB0FD0CCAC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DF7993-36AC-42A1-982A-CDC7936CF8B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B11F2A-EC88-42F8-9F17-E0528A7DEA5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21981</xdr:colOff>
      <xdr:row>4</xdr:row>
      <xdr:rowOff>168519</xdr:rowOff>
    </xdr:from>
    <xdr:ext cx="714375" cy="304800"/>
    <xdr:sp macro="" textlink="">
      <xdr:nvSpPr>
        <xdr:cNvPr id="4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4EAE21-8410-405D-A60C-6C0D37EDB649}"/>
            </a:ext>
          </a:extLst>
        </xdr:cNvPr>
        <xdr:cNvSpPr>
          <a:spLocks noChangeAspect="1" noChangeArrowheads="1"/>
        </xdr:cNvSpPr>
      </xdr:nvSpPr>
      <xdr:spPr bwMode="auto">
        <a:xfrm>
          <a:off x="10347081" y="930519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E27EFE-74A6-45F4-BB14-186D02C1D38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5B25A9-550E-4842-8A8D-F3F0F686814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84D129-CA7D-450F-B311-F507D4BB712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CD1A44-C336-4203-998B-874D40A03DD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EE1DA4-733F-4B26-A72B-17354CD23DC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EAEA98-4D5B-4CA6-BB88-D1D9B54B79C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201F91-7D70-47EA-A4DF-0FD089C08EA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24B107-5395-4CFD-8DD7-8E47F5C64CD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C10DE6-036A-4AAA-BC1C-C4EF67DF8C2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D433B2-F7E7-4070-9704-7D69138CF03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9E1FC5-6077-4E39-BED0-FD34D2B825C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FB790D-16A7-4BB7-93B3-CC2E898D6A2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B791E3-95F8-4009-BE7F-03A5B395F9A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4A3F16-25F9-4DA4-9610-ABA5ABD0582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B59DDE-1669-4186-8F79-0F8E1256D0A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C2C8A4-4929-4060-B176-CBC3752C5CF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F5351F-5F6A-4BEB-9B1D-B63480B59D3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354CF6-0C16-4F45-914F-A87FC107605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EAF13B-B56D-4DB8-9C81-35D541F884E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703385</xdr:colOff>
      <xdr:row>0</xdr:row>
      <xdr:rowOff>41031</xdr:rowOff>
    </xdr:from>
    <xdr:ext cx="1216269" cy="1216269"/>
    <xdr:sp macro="" textlink="">
      <xdr:nvSpPr>
        <xdr:cNvPr id="4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3F0682-E382-4BEF-A3A1-642E271FEF52}"/>
            </a:ext>
          </a:extLst>
        </xdr:cNvPr>
        <xdr:cNvSpPr>
          <a:spLocks noChangeAspect="1" noChangeArrowheads="1"/>
        </xdr:cNvSpPr>
      </xdr:nvSpPr>
      <xdr:spPr bwMode="auto">
        <a:xfrm flipH="1">
          <a:off x="9123485" y="41031"/>
          <a:ext cx="1216269" cy="1216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pt-BR"/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2089B1-1CAC-4A8F-A844-9B1C8D27CF0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C7C8AE-8933-42BF-86CE-0EAC6660B1C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D7FA52-CAC9-4DE3-AC62-CA5804DBEBA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B2BB04-6D73-45AB-B275-C88B7B6E5FD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B8DF1C-041B-49CE-B61D-2AC69B21A03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2C4BB5-7A77-4C9F-AC23-77139929C38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A70990-8F4E-4BE7-8699-A4D099D5DAB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9CCF68-50E2-466A-A29F-B0AD50D4FEA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B8DB94-BAEB-4D0A-BA9B-4C0BEF3255D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E64509-8369-4941-923F-3F75D1CF65A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0F7F4B-D9DA-4B94-8241-A6DDFB24A0F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76B22B-E8FC-4B15-86D3-40B416AD28A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F92E17-9659-4AAC-A09F-575797B80F5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F4026C-8919-41C2-930A-C6285F7A594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2C4FE0-FD6E-4FEB-9D2A-A5ED09A4453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F78AD1-5E9F-469D-AA5B-4C5683F7749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8CB8B8-4233-432A-BC0E-7C1E086DFEA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77C106-0185-4381-BB92-B9D153A822B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0FD316-BF51-436D-BA07-EFE5E83924B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290E9B-3C71-42BC-89E0-987EE0AE92F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3DFCE0-6344-4E20-9787-C20A42A1DB2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C50229-74F8-46C7-912A-C1B5186AF6F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AE190C-8B12-44D2-86BB-FEA3D97BFFA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EA63A6-80E2-48C3-87F6-DC5C9B58E98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DB5D93-12D0-49A7-944E-B2CFDD89EB7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9AF932-EAFA-44E3-8F7A-35370BC569B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154D24-BD0A-40D0-A9A4-4BBA8CA686A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C54086-E227-469B-B4FD-0E0D6FEF53C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14204D-C302-47B7-9727-4373BD32E5C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3052C1-C3E3-491A-873E-44504CEE159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BD4C4E-7EFF-4F52-9091-AFEFFE64980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B65BF8-46E0-46BD-90E1-526E12D731C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B2EA8B-8D93-4109-8596-B1C93CBDEF5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4AAF8B-7211-405D-A9AD-AEFD1C8E4AD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D5CB29-8534-44D7-A7A1-F5EF5EAABD8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2B7AD8-6922-41DA-BAA2-AB1673AFB9A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E6542E-52B4-4759-8637-C134F394D98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FCADEC-35CD-426F-A5FB-F322616A012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15B9F5-5681-4926-A380-FBF4466DE5C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802657-34DC-42B7-BB0B-6906748B62A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237D1F-E50D-433A-909B-39E98147135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85D7C5-FE9F-4FBE-BAA9-8C071EA55BA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0AB8DC-F607-4C84-9A3E-85B16B4CEDF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77611D-D2C4-4E3C-B5E8-6620FC9471B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F944DA-BCA6-4DC8-8526-BD5E6048889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277A95-F91F-417D-BB29-415D60EE04D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1F27CE-AA12-49B2-9296-53027B7FBC0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126B91-1C29-429A-BA78-53FC28BF1CA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8577F5-8C19-4318-8AFF-88081CA0290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B80F6D-2368-4983-BFCF-D0409EE5FC2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C0CE9A-90D2-4E60-B042-A6776A1B1AD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C869A6-6D2C-4178-B357-D29BCDAD7E5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C6A3DF-69D1-4BB8-8858-103A058141F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CC7BCD-CD67-4E4F-9B27-62AAB64082C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841C42-8E95-4D36-A00D-9E21D38EC06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15AE07-D3D8-4478-91C5-B70AEA4EA3F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EBC32B-9EC8-45E3-97F4-3C901CB55FE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B22225-924D-4D99-A82D-23B32AB56D8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964401-832A-469E-94AD-D293F054F19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DB7A1B-5081-4260-93C6-4253F5E4142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F2249B-4271-4191-ACC6-C4BB3D7F606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116195-5A9B-4045-B2F1-E8C8362C446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943D25-E33F-4CCC-B832-F00960C34A8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55EEAD-6A6F-4222-B51E-01F53F270E6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AF67C3-AAED-446A-8224-29856E9168C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BC332B-20D9-4895-8969-BE5BC03123C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BAA6C8-ED9C-4087-AD79-7EDF95DE989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D445AD-E638-471C-9D89-5FB62DCA367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F5CE4A-60D6-4785-B610-45E0DFBF855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8456E9-41E0-4EF4-9652-A47878D3CDF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03F7EA-EC9A-4D18-9B79-34338852CBF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BAF522-9EF4-4A0C-8DBD-38E9754A7FD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1142D2-2622-4EBC-9CB2-F3D9D26AB07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5425C2-82F0-4CB5-9D90-1E2C0F33303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8BA57A-FC6B-475C-90B7-49B1699AF60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F26184-415A-421D-B091-93FC0BA3060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070095-1189-46A3-8D83-86FDA4EB07B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135E72-1648-485C-9B8F-AEE89191E7B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B70DB2-93E5-4011-838C-619FABDB95E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764B05-FFC1-485D-82B7-B289D9D2FBF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AA32AA-1DEA-46DF-88A7-E88BA085D5F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1A9189-1CA3-4170-A04F-315D7469A45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20D1AC-9A5B-4D49-996E-C7CD2BE9716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F80282-8069-4B8A-8097-8BE529F219E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D8D41F-57DC-481C-BC70-B86E804D9D8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BD39E9-ECCD-4AE9-8DB6-14B1E4671AB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B20276-FFC8-423A-8615-0C6CE24AFAC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F4E46C-D8A0-4919-80B3-AE449C84F2D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5CDA97-3637-4DE9-BF34-EAE184BA606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3FC606-C632-414D-8661-87B5AA65D99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D29539-8153-426B-A74D-9C31C1FB641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E95CD5-CD77-4502-AEF9-B9FF78C4350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9C6861-B450-4625-835C-A7BB2E9D6A3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B2727B-6E56-45F2-AF8D-60485D48EC3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9ED60E-2D4E-457C-B0F6-AF7BDCE651A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46E731-4184-4594-AB91-2F35E9635F3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BCE900-0C71-49CD-8DD7-740DA3C7BDB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E52EE0-1361-460B-8084-BD4C14BEFDF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4BC4AC-3DF6-4ACE-8069-30FF6117133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2C445B-134F-4A14-BFA3-F17343CF1AD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CF37E4-06AA-4CAB-BA77-756D015FCB8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FF83F2-CAAD-44E5-A772-96528DF7D3B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E2B909-AD20-47C3-9FFD-8B4FEC8C2FA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D1A700-2BF9-43C3-8801-DF1F3D95D15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DFCD8E-FB66-4317-8483-2DCF9C2C338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45D699-3C64-48B5-B32D-8DB0DFB643A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E26F21-B516-401E-9798-F16A68F2E90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E9D7EB-567E-4AF8-87B5-814A2F43AF0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F32590-5D03-4FD3-977B-BE56B2EC1D1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CCA161-DA09-4D3A-9427-41A250FF496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1D99E4-D9F3-4477-B8C7-4C28CC51E0B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70F849-1315-4C1A-805F-4317BC41CCB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EE9629-431F-42B2-A02A-B60F992F1B4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666620-59A7-496A-ABBD-1DF283D9DC5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9A82ED-D444-4790-8021-7A12E6CE6D9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685146-8833-47FD-B983-CE8EAE3EDC2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12D1E0-0576-4412-B7CC-D474CB8C397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BC69F5-A198-47AE-8CAA-A0E2362CFD3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0B156C-89E5-4C14-AB39-F9B5FD580BF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BCFC3A-D281-49B8-9C99-6029622C865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182B0B-C271-4A56-9F01-53F7B3F5C65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2CCB33-72F2-4BA0-9BC8-14F0B443861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A05986-3796-4F6C-8D71-951F33D4DE3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D185CC-4179-4838-BECE-100D7C174D1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96DA0F-FF6C-4ED0-AA80-E218DE1D832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83A996-45C4-451E-BE37-F26FC941F90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2F5B6E-4656-47A6-8A82-0FC62253C27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520992-783F-4966-ABA2-DBC3BC9CDE9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3416C2-179D-422B-A92C-D81DEA10245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8DB2C7-4065-498E-B9A0-C2FC8CD626F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B5CCCD-BC00-4728-8AF8-97AD52297E4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B599B7-3774-4D56-A288-3C3D6C68F01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CF24B3-C5C1-465F-A71C-4215DE38412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005C90-5532-4A07-A8DB-C7D9CD1E906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4FDC0E-AE4E-4122-9251-37B5D9FA192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EAB309-81A1-45B2-B0BA-53B51E08889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FE21DD-ABB5-49DA-93E4-29FE2B0DCCA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ED579F-A1CA-403A-8F5B-0FA35F264EC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3CF179-7C15-48C1-83FE-1C0DAAC3018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C25CB9-C45B-40A1-B124-C5A24505299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321B40-58A4-45B9-9A56-A76BA14627E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034674-4CBC-4CB0-8D3E-9A72114254E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8FB4C2-E4B1-482F-AA83-8A50442476E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CC01A8-FA44-4FC6-8815-09B04803E26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E389C6-330A-4A9D-824D-B9CE2AE6F72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B22D12-8027-4401-B418-2E3430E3985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411349-E23B-4ADC-BE50-7A6B65A58E8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515246-9F13-4CD3-83BD-DECCA0D0E5B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FCCAF4-6D98-406A-8346-7C40188ED3C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E7E5C9-D3A9-4163-BF1D-F4071BC2272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1629F1-52A3-4136-BF11-D79786AB726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B35F0B-E59F-4C69-A538-0F3D7450B3B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1BBF18-8320-4C8F-84D1-9365A140235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AC702E-61CF-4618-9758-BCDC453A3B9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5631E5-E096-4F91-80F5-D6064E5AA4F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DB2A2F-0B85-485F-8AA2-FAEAE161BB4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B92B09-7AB9-4425-AC7A-F24507D6BB9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3C1F18-1C58-4851-A084-DF66155AF8B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C5979B-6908-4488-AA2F-4696EB9B745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076BFB-A47D-4798-8901-7C8E1AF956A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FC4316-1DF6-4AE9-B517-F97AA418985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9B9F57-7399-4E71-BECD-048C4FF6520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786381-0FCD-4610-8966-254CA011EEC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A6D1C4-4FC7-4EAD-B804-E62FE9083A9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BDE632-0699-4101-A39E-EC1717C45E6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A80B2D-1834-4D2C-A1FC-A6F19F766AE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8CAF35-FF3E-4398-8DDC-60AC07E8853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330D40-6974-4357-9385-1BFD2D59169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2E5938-3FC6-48E7-AE45-4EF59429C93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D8F35D-0A00-413D-ACD7-C615472B7CE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E028D6-4FFA-4F06-8F12-33C443B3568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1904CF-44B2-4350-86E7-B672BF7140F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C4723B-81F5-4ECB-AFB4-6B822A703DF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0F9588-586D-4FDB-A73B-DE6A6F87EDC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7EB242-9827-426D-B50F-6EC902BFEA2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626FE9-4584-4ABF-B0D4-D5E4D818C84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836F01-E906-40E9-A3CB-532454068FB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09B6B4-C54D-4489-8BF5-4D5E434AFD3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A8E004-25DC-4826-9DB0-3CA30D23757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0487BD-1A95-43C7-B6F5-8BA67808D89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1D22FE-FFA0-4B30-AFF4-BAD774CDE45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213702-4F2E-48AE-98E9-5B59E223BEB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339A12-2668-4237-9EE0-2C935FEE6E9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154E6E-0622-48B0-A5FA-E14EE0636CA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1F5114-E06E-4034-B740-11225460483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40B3CF-2DFC-4DC3-8E13-1BAA6DD7D67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4311F8-8BB2-4043-BD8D-2E577A1D8B6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9DCCBB-F78A-4CC6-BF52-20A0852C384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217D34-CC6F-495B-9979-9F7F49474F9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2AC0F6-972D-43B0-9A03-AFC851E3D8E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7FDCB8-F71C-46AD-A97E-443689FFBF6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932E9E-064D-408A-80DC-E87183284F6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E817BC-69C6-4196-BAEC-FD6E37C5292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8DD5A2-35C2-45EA-A479-AEB11F6CC72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60F81E-124F-465B-8C06-7956C16C56F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261BBD-E99D-4364-8264-5D908D6C113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356B6F-757C-47A5-95E2-A5B20AEED0B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611D55-B33D-4395-BD4B-E9EB87E9421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004C54-7C31-470A-932D-75ADCD1594B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F8881D-4FB2-4E23-B5E2-7B2022EFB99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A6F7A2-2267-469F-AC46-83975E4FCA2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49ADA0-5915-41F8-A3FF-7B1BA8086AC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26F71F-08BD-468B-BC05-123E368A5F4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A0E610-B750-423A-B93B-9E7BBB0757E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7C06E2-9274-4B6C-B4F7-208BE398C11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A76E19-F6E1-4912-A406-E6E8F00BB1F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EFC2CE-60EC-401D-BA9A-4801726D2A4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C71A14-477D-4F7B-B5BA-09224373CAA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1E3536-C923-4EF1-9594-E16EB13AB29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48B745-B4BA-46AB-846D-99F35B82B3A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A6963E-C588-46D5-A0D7-B635947EED4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448FFB-87B0-4510-8837-CC07F10FE40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20869B-B7BE-4817-99B0-ECBF6B1ED64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F763F7-7BB4-4DC5-A1C8-4EC3EF4FE4E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05CFA4-BC92-4B6A-990D-6B3EF1234E9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61CC66-8837-415F-8DEF-A12F45BAF22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0A0047-2092-4610-8EA5-68C54D64303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041B7E-1B8E-42F5-BAC1-2D2695D5F05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3AA0A6-5CA4-490A-9972-61C26A0740F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EED83B-5B4B-4EEA-9C06-5B9257C2516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F0DE5F-A582-4C1D-A8A7-06703D63485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7BCA0C-8364-437A-94B0-EA1E4F1D41D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8D82F1-2B94-4A8D-9B2B-4AF6604E7E8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33D45C-188C-4E53-864E-5F1F716947D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28839B-338B-4832-94C0-5852FC1F1E7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D890D7-67A8-40F2-A633-948C8B70401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215DB6-C328-44D0-9C0A-3F587CEFC02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0A9960-E2EF-4DD7-B778-9A0853A9B63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A51177-A128-49AB-AB42-87071989842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D3A34B-E676-48DD-B2B6-350BF725FE5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1CAEC2-9F19-451F-92CF-7EA0031EAF1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CD38D9-CD48-419F-B616-3B414D9A195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E6741C-A2D2-4296-A943-9BFCEFFFF96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15E5AB-34F8-4BBB-AD43-D3F606725CE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D82322-BF73-4B4D-933B-ACFDFBC83A1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A37D69-56EE-4EA0-8C97-7358418D1B7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8D4F72-8167-4C4C-B6CA-E5E75A452C5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944B81-6D87-47F2-ABD3-4DF18BAB26B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A24A62-0977-487A-8115-A13ECDBB275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012BEB-0709-4D39-94F0-7EC4761DB00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E44EF1-619C-4946-A88A-C1A3F3E8143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968E52-45F5-4AE9-A3CF-7703536266E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0114EB-F238-45AE-B147-D0849FC00C1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319422-C7EF-4442-A8C8-3D7436AFA21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902EA2-AC30-4415-912F-E4533596697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559427-ED1B-439A-80D8-2DE02C4029E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7C5FC6-0889-4FD5-A94D-1D8EEEAE76B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BBC4C9-48B6-429E-A763-BBF258D574C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3E7339-9265-44CE-B1E1-49C06167876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2EF5DB-B106-488F-ABA0-047A39087A6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89CADD-2459-44FF-9DF8-E899D1BCBAD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924218-ECF0-4F05-ADF9-312895BC0DF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478309-E6D6-4204-A23D-C7DD35BD4D8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1F89D1-AC44-4158-AA8D-8E8D0E9E4FF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796534-42CD-4E3D-B830-86DB3503A5D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9E5DEB-1795-47F8-B6FB-A75572A13E1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B4AB83-7B73-418B-9A37-243269C2122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80CF22-4620-45EC-93CE-A17AF750482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06BCBB-E164-40F2-9C94-1E3243DB450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4E4B4B-B088-4F65-9B23-E47087F7C25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9AEDD0-560B-45C1-8576-433333E1019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588385-902D-4219-941A-6BE177057BF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E1328D-2AB3-4EBC-9321-311CF2E6415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714DD2-A00D-41DB-AA59-3378D65964E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6E9E62-0E85-4524-B3B4-FA0F9541342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4BD730-D3C1-4E8C-AE7C-3B1F8116E8B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DA1C13-69B7-4444-B88F-D3D3401DCD4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E17D00-28C2-4406-B681-A2851E09801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7D7F7E-C961-44B0-9600-C07CFC2A776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9FE618-972E-480B-A872-18BF4EECC30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C55B66-DCA4-4B67-80FB-CD83A98E94A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71788D-141D-434D-BAF2-41CD7CA69B7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72C195-5C55-4556-9095-26607CDBBD6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577C80-119B-4EEE-9254-4A3C8933D79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92ECEE-7FBB-4A94-B1B4-0E8A88DB360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000581-BDB6-444E-8519-9F4569ED75B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014D25-16CA-48E5-B076-4A83743B742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1D1F8E-443B-4315-AD6D-415207DDC15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9AE464-B7F6-4019-AA9A-371690266AA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2E26FD-4EF4-4BA6-8084-3EE661CA49A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5D6AB1-A3AB-4256-A2F9-658D6552017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FF53A9-7196-482A-8630-04A72B444D3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2904E1-143C-4B69-B3DF-95245728D6D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3C14AC-27E2-4718-8323-9BFDCCABC8A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D54676-CCF9-4636-A792-C2831EC13AF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DD3D6E-FE7C-4D0E-BC5B-854AA25ABBC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5F3BF8-0052-4650-8582-78181BEF6C8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4229ED-BEFE-491C-8F80-B5E2F920C53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5F5C9F-AA28-4F90-B662-7B9E37B2F26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062F59-1772-4EF7-8CE8-4F09C565F94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411AC7-76EF-4795-8B1E-680008FA743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50EC5D-FB1C-44D2-B78F-AB0638FB6A9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C4A953-9966-4E9A-9375-104A6EF7CC1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EC7407-94C8-42B0-B174-A7CDAE56B28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C5AB09-25F6-4536-8E11-A1276152CC8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426049-6A69-461C-B235-87ADA667953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2F2FE9-32DE-4D5A-B001-BCC1897417A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210735-2193-40E5-BDB5-B81F881688E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DC80D6-35BA-4DE7-A6F7-60D2103EA04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6F8E89-9331-4D51-9A5B-9009D016CBC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0C2466-97A5-4EAB-B971-4F4BE5D905D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1E5378-8A5A-40D9-A066-B64716413A3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5AFE21-5AFD-4038-A93E-DAE68B62CA8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A1BB8E-0D69-4DD5-8DA2-9D2AD1970BE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ACB438-A0A5-4E9A-B1F5-FADC97593D9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A9F39F-7683-4858-A06F-38A1DD8708A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617299-0634-4F7B-B55A-F133FADA622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C6C905-B1FA-4EA9-A80E-8AFC8B5987A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A46347-368C-4FC6-B97E-D65C09A0382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10F231-4B6B-4DE4-886A-D0390236C76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C24E2B-2236-4CAD-8A97-CD86E4F124F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50F351-F7B7-4629-8EBF-75BE05FBCDA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79FC82-D2CB-4F7E-B710-F5E8D09E781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B7165B-F25A-4F2C-BDF7-B60946E1BA7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ED5B81-7BE8-4EA0-A2D7-AD614188EDF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4ED7FB-BD32-4CEA-A6EB-28229C8EB2A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5F99E8-0FAC-4E09-81DB-26ABFFAF7DD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0C3BC4-96B1-4AF2-8903-5366C427BDD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73B5D6-4B45-4833-BA2F-46CA2B53E78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55065C-A794-4104-B5F1-113B1A539AA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13E350-A157-4143-BB3F-A2B48EB4568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0B7B89-F1EA-4C7C-8140-1E8FBF2CBA5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022609-8B43-4EC2-A0B8-FC17A33A609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1BA042-5479-4140-94CC-E7855183FF3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1826D3-2837-497C-A076-48EA957CB41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F5149F-9C30-46FA-8D61-987C3038996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4CD91E-5F53-4F2B-92A0-BF0477F56ED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8D3735-B31F-4D0C-BB1C-A00FAA072DD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D1A8AA-CD1B-4BD3-AC48-38E3125CCE5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1CDC1B-A0C9-47E8-A260-19CE63058FB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388F75-0237-406E-9E25-A1CD9684994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4E3580-992B-4302-BEAA-B49037659E2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4CE531-BC1D-41EF-8521-3B87176BFDE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E6637F-A910-414C-AA16-5815D13D1A9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F61F38-A0AD-46B6-955B-32D11A966E0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2FB0E7-CB43-413D-A141-FBF9E00126F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B0E0E3-DEBD-40AB-8D88-DC24AEE046C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1563D1-56C5-4A0B-A629-D263DF9B254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DBB4EC-01A7-4DDA-BDEF-3255EEA628C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BE88AF-F71D-4D4B-990E-7DA2B574FC8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BA34A4-1307-49B1-8484-B17551FA67A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8F741E-7762-4996-9D07-585895AE372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334DA5-CF43-4931-B9A1-C3045A1B1C7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30C0CA-8832-45FA-8C76-CCA786841DD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BA187A-AC75-458E-B4AD-B8223305713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E29F6B-9A75-440B-875A-002A192FD2E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44A094-9840-4C9A-AFDE-6E8103A6F33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76A3B8-4608-43AD-B568-B2586A45D59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BB43B1-E41F-44F9-81E8-B178FF4DFEB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20B5FD-726C-4FF1-AC92-953955B8CAA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BBC371-A59D-4DEA-A5BA-8D3D774BE73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F2BB6A-8E2A-4486-87C5-A095BBF4D8F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CD1A94-87DA-4B9A-9776-8C2F8AA85CD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3FAFBF-E194-4847-925F-4384D93AD84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BEA058-2C8E-4D35-8142-2F89BCA7087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68D47C-A313-4F6C-BF1E-BE8A4DD7501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556EE6-A84E-4295-9C32-E5A63DB8A44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74A29F-113B-44D9-8158-E83E57DB536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461424-C857-428C-813E-6D79D2826AE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465B48-86C9-40AF-92DF-DCA615AB9DD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9B0D0F-1047-45F4-90ED-9173D76FF9B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55E01B-7A9F-4B3C-AE45-4B29DE149C5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7DA0AF-8A3B-4887-A246-FF8B662DEAD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5C2AE3-FA12-4EF3-B36F-9BF88A2B3CE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8E218A-9022-4FC9-94BF-240F621D0D6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9A96AA-EBAF-49AE-B776-0F62E44DE27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7FCA5C-39A3-415E-8D3C-851B2E3FC75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56B41B-7DC6-4B53-BFE3-5C3775F7CBB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EFB051-20F6-4BA0-96B7-0089CA56F24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57798E-1DF3-443B-BCCB-46BF445913F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5E070E-C2E3-4147-9D07-A44131E9981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6A0EBC-C61B-4AF4-987B-24A2606134E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66A8BB-8BF9-45BE-8067-B8E8BF61D23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6ABD31-D427-49F0-B819-D4A3C8BBDA6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65036B-5E9C-4D2B-BB16-38CC1491C84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DB0440-57D5-4353-963F-59BB2F80D2D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9D4642-90F7-4674-9F12-8ED96D5343B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8527F4-82D6-41BE-B163-5F7BE46FDC4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DD48B4-2476-4ECD-98CC-05FA76A59EF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3F1186-1A23-4C07-BA1D-307850C4123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2D0315-5EA9-4182-9BD9-CD0990A9F52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709F5D-F887-47A5-B27F-7917E5FAF85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704C4B-2064-4477-A4F6-D29EB768A5A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2028A0-F192-4E84-B0FA-CA51041DC7F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074245-5C1C-4BB4-BECE-CC99D00DE26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BA72B8-25DE-4B1E-9A7C-92CCCBD1325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6BDC7E-FF7A-4AF4-9346-B578C60858E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200481-3080-4D00-A6E6-D63AC333097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785D5D-DF48-4113-AE5B-0816B1B83F0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D43897-FEB9-45D4-AD59-17E0BCDFB0B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43EEB6-7416-4320-B15A-11418A78252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DFEDF8-E9AC-434D-BDA0-BFA15F0A0D3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EA5BEA-917A-4C40-AE45-F8AD72F973E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E71C79-F4D4-4B36-A858-65173574103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B1D86D-3DD9-4E57-A4B8-1F120A3E9E8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6E52B7-4FD9-4447-B41F-3BF3E262288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EE7DE4-3E1D-4142-9B9B-63B60DAFE1E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D088E1-B2C7-4808-A73A-47CF13B7493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15D33F-ED02-460F-A66F-C70C4E706B6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45874A-E3DD-49E4-995E-FD4B8C4DB90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079DDD-A675-4064-A75D-2A2BBAA4C68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CDF94D-75A7-4E37-AC24-8934987CACD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0DF6DB-AA2C-4F59-B0AF-996341D54E2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F0480D-EF8E-4DDB-984A-097366275C0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32D70B-FC26-4B0B-B121-0DD0B506DBC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6ABC0F-BC08-47F4-99B6-1136392440B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8709A7-A4C4-4C28-BDDA-4533DA427C4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3CEB98-7B3B-44D9-B351-D1E9C85C1D2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78F7D9-30F4-457C-AF0E-094387BEF91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7DCAD0-4D7C-4FFC-8480-D89557AC40C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D510F1-FF5B-4C4F-92C4-4ECF7AF0E58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C2EB09-2993-425B-8E6A-B9BADF9DA6E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CF8564-7F54-4979-A3F8-5E7D2ECF2A2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7EECF2-51F4-4614-9210-9DEA6E1B43A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094D8E-551D-41F6-8D08-3CC733B21BC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80F746-0086-40CC-B01C-68BCB70B3CF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4D4D5B-7AE9-4B1A-9FD9-9ADC8345037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A871ED-47A9-4227-904B-3FA4235AA08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094562-40B3-483B-8E5A-DDEE1270E29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9FD47C-42DA-4D4E-B38B-FF838219D46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73E91D-8A28-4EA0-8B6E-55EF71B30D4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FB8EB0-9DD4-4584-ABD0-B724D8BEA0D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B54C46-74FD-466A-BA18-D96FC20B3C9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49B63E-1C64-4105-BC99-C92F8823373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59729B-ADBE-49EF-A990-97DA636230C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A59640-4180-4591-9088-71306608CD6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3D7997-1239-414B-897E-29F22A94AE9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DA39EB-F830-4356-B2F7-B1F11601D0D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4AADE8-1562-4173-A463-91D50D6C6B2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9D5E54-C5B3-485B-9F66-248CE424B93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714717-03EA-4649-BD43-151610920ED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5DEE5F-09CD-407F-9DF7-7A8C1EE3738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1B9C0A-4E59-4E83-942F-FDE62AC8A92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6F8338-5C2B-43E1-95EF-3EA518B64E3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A2719A-46E2-45E3-80D2-F138040A361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C7BB89-9134-4622-80AC-C03CD206587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E8D259-1DAE-4ADA-B03E-041C7F8C9C3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89A31F-EAF4-4506-AE9A-3FA3188EE60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416671-CDE5-47DF-8F9B-5F21DA12BB9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6F53A9-FDE7-4D2B-83DA-BE0F5EBF25D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597CC0-45AA-49FD-93A3-732AB0EB33F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3B952C-5950-43F4-89DE-C3CAE6F4AA2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62316B-CD0F-41FA-B58A-68FCA714DED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51FCD5-C09F-467C-9ECB-7E7905C9EF0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3EEA99-FE9B-42B4-9F3B-B71C3124182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02A0DD-2BA7-4DCD-A9C2-0AA9DFF020E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784DDF-1234-46C6-A92F-00DD68AC992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29F4FE-60BF-4EE4-9BDE-696107E1673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040D6B-29FB-460E-A3EA-B797498E777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B45068-DBC4-4F5D-A0BA-1FE564EA5D0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F5518F-85AF-4327-9535-B00F0F81922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6235DE-67A4-45AE-B9DA-7C8E57A120D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269EC3-850E-43F9-B11C-FC4CCA9B561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EA6E08-46A8-4383-8948-BE4CB58642E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CC302D-FF62-4585-9DCF-61225EBA386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7EAE1C-6EBF-4DF9-B806-6814C830B0F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6B189E-09AA-439C-AEB6-5CDF093018B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85794B-63AA-4F0E-88DE-3694E826DE4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DB2464-3D93-4041-ACF0-96E8576F3D0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D0DEB9-3F6B-4295-92AF-5239B6B62FC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32B105-6078-4EDC-9A22-695A44F5E58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D81C9B-B488-4948-A7C6-65E213B5BB6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87A498-52C5-49D4-955B-7F171DF39F5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97F4C5-1C78-4344-BD71-14688F785FB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FEF013-5603-4B45-8E44-1A4E67EDAA5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5BCEA4-D21C-43B8-92EC-EF939C92FC7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0A9FCF-4A1D-487F-8558-44FDC083394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E4D221-4FF1-4221-9E50-45CBCC6D9ED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E127DA-CFFF-428E-8089-7EFCA6A19DF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8A6E2D-E572-4621-96EE-13708C8649B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C5BFCF-3F73-472C-A738-8B668E0AB6A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315CE9-6F17-4F34-B9DF-7841495E477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F2F0AD-D53A-42DA-B9B6-EB166A0831D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F3420F-BA3A-412C-8418-0D492F0CF98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27D37C-41B6-4995-8148-06E9333DE4E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FCC6E8-8A36-4D41-B9F8-E8086CA447D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A6DEA5-1F1C-4C9F-B515-97016944C40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CAFFAB-65E2-4496-AFB7-00AFF64C3F2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C2C4D2-AA99-4AE8-87F6-A20DC47101C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28CC2C-63B2-427D-B2B3-F9E3EA3C2B9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A6B6F9-A961-49DC-B2D0-E07C48BE8B6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1DEC20-2118-47D5-90B7-D4C6DCA269E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13DBAF-6D11-4BED-AD74-D7B2BB601F6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CBE197-7B98-418E-9525-B121361CEB0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E69886-1D50-4167-8CF6-CF4F50C5D86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8C3AE7-C1CA-4487-AD56-E7F0BA704BE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688E11-D9BB-453F-8DBF-B02728DBDB3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3A829E-6DA8-4943-AD6E-08B835F0F5D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2F6B25-8016-4C7A-973E-0654D450AEF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194D0C-8517-4AE7-A544-2592D1D465B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7D4385-5AB5-43C3-842C-391EBC57A42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B8B0BA-5E01-43E8-97B0-1C75FBF6B60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90F7FC-AD40-4030-8960-2EE64463C34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A269E6-DA19-4530-9C8D-9141D9DDC1D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4F07DD-AEE8-4108-B7D6-05D24FB3526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33D296-BE1C-4D82-ADFC-63D4D111159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EC7E62-66FE-40BC-A06B-AD109377DB8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9F532E-9558-4373-8C0B-C3A4C07A87C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D00CFB-8DFF-427A-A1A4-78FEDD72C78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02B96A-3E39-48AD-A7C3-B4ACB5EE066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CEBFF5-51E6-4868-A5CA-C93F4C36370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BA0E90-B71D-4D94-9726-CDFA7729C4B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6B1EB4-620E-42B0-A79C-A8F0BDF334E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FB262E-43BF-4DC8-8618-98F94470A11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57E049-8685-4268-8C2A-50593694F7F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AEA485-9373-4569-A0BB-3C3650AC235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59CC0C-6851-4ECD-9A21-924AEAFE1B4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62F61D-68FF-494A-BF5D-5512017DF34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CA616A-AC6F-4002-B2B3-AACCE150561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FAE0B7-0973-418B-A465-0ECA8E51D20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B367DC-DE45-49C1-A74A-DC3664C6077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39A8B1-271B-49CC-8486-1632F2CE1F9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84BF98-AA48-425D-B9A2-A30F2F86C92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78CE22-FDC9-46B3-8312-59751E8B097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DF93F8-5D5B-4F57-B87D-1EE51409AC0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D063AD-BAAE-4E5A-9790-29538E5A769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B80912-2E08-4AD8-983B-DA5B2C1E41F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BE0788-F0C2-4480-9AA5-156138EFC90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170972-31DF-4BB0-A153-44B14560836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B6CCC1-95B6-435F-B256-BD855589EC5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450405-7F3F-478D-839D-02C41D8B68C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AF7A59-4932-4640-BC07-8F91A173960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3B592A-CFE7-46B0-9E08-51AFFCA9BEC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98AAC9-9C65-45BD-846B-23EF7BF2264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8F52E0-EC96-453C-B298-C4E13810159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9FAAEB-0945-4DA6-B802-B6B0376B92B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F8B128-F105-4C37-AAC3-93DC5BE16BC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CDA42B-6619-4C08-8A7C-4E2CBDCF70F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F9FA0E-AC2B-43F6-ACE4-24DA76BF5D4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A14247-287C-4566-B0C3-A24B635D138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FAB651-1A0B-44C7-9B82-1345207951D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109357-40D8-4562-9DA3-D6DCA6C6261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59F290-BE6B-431F-9D54-8D6C922DCA7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92E0E4-F941-4D17-AA9E-1B1B5C8C9EF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9B0D22-AA72-4B9C-A2D7-C6BB71218FF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BC0113-A955-4612-9A9A-7A1EDB0F28E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CD207C-E09B-421D-A7AE-ED1FF509C82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D6CD21-9BEB-4251-A89C-BAD968DE99C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9666A6-11B8-41BF-8F5D-79B3562B906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86F8C3-B984-468A-B7E3-A8D4F548C55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972E96-29CB-4207-B687-37990781028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DA9F50-9C21-4A39-B86E-F83F1098E58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CDDE92-EE1C-4F5A-84F6-65D40ADF53C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C187EF-36A1-465E-9104-20824EF044A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442586-6AEC-4757-910B-E202C5C688C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BB053D-2590-420F-AD49-7EB327C7748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B6DBBB-77F5-48E6-A662-01F60167B46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5C1F07-0B98-4FEF-AE49-5C8214671DC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48CD19-B642-41F4-83A0-ACA731CDD3D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AAB14E-D1C4-4F2C-AA4C-2879DC34EDF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ADC607-6227-435F-8D34-58934A0B104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E77A58-46D9-4904-A70C-DB378739513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78C453-E765-4980-BD42-E5CCFBE3FC1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EAC9BC-AAED-45B8-9B98-02456D85790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FA6D50-7615-4CB6-B6EC-126C9406DCE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6DB32A-0AF2-46FE-8A85-2A4320D7E33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8D3C8B-1DDA-4FD4-91C4-633876822A6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B2B432-4DAB-4535-9EF5-D90C0731416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50C278-123D-4147-B03F-D4EAAC38A03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524205-8BCF-47AA-B50E-E2582446224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8A3B26-4B59-4840-9CB9-02E32ED1562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A15783-C3BD-482A-A937-F194D0F5D3F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5D07E7-04BD-4203-A026-129C81AF613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B560C9-78A8-43F5-BB77-362388D67E5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7DAF48-731C-4B78-B6B2-AB1DEC6E6F4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F76E64-E1E7-4A19-9932-EB44B20CB05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3540F2-C919-42B2-918C-1A722CDE41E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002BBA-B609-4617-A668-2FCD64318AD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9786FF-8A7D-466C-A352-6AA6585A737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420D71-E4DB-42F0-ABE4-E505DC496CD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DEC793-8350-44A4-9E73-C97B2AF74A6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42D158-9054-4438-8F9F-BE1030176B9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F21EE4-0D0B-4F12-90A4-37E4E2A9B1F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7693FB-7CFC-4833-AF08-16553B1E122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468DBE-37D5-4FB9-B95D-FAD2DCA154A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FBEF7E-D92A-4A4A-9D02-CB9581C3F5F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EC68E7-DF0F-4476-B078-AC4AAAE63B8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F1632B-BDA0-4C48-9FF3-DD0B88FB6FC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D6F670-7478-4736-B5F7-6D1079354D0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C48305-A625-485D-93FF-4F5C166AADB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37412A-A172-4F14-B6DF-440E71F0FAF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5ACEEC-3F17-4B70-ABDE-C943FF73782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298ED3-0E2E-4D53-9009-802DB0F8B14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C25F75-B423-4244-A261-3E64AA98560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380EBF-F416-4745-B816-1D7A9E351EF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F5603D-C097-499E-ABCD-F46ADE3FB92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75FD2F-8378-4D1E-B723-BD13B74967F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A55CE2-2B88-4F5B-854A-2E646068EDA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49CEEF-F4E9-49C6-AE86-58770C75FFF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900DE6-957A-4FD2-A4CC-23505CA2CCB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C2FA59-EB53-41FA-94F0-DCF2A3C309A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E14976-3ABF-486B-95FF-9E9AA5F6942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3C96D8-C374-48D2-8587-48BDCF091CF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D5CAFD-25F2-4633-8FE1-97BE2D4324A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D4A8EB-6623-4238-BAD2-B01D0473E44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E485A0-A2BB-484C-A1B6-837351C3F3A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AFA152-A48B-424B-B251-65A70D160A8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6A3AD8-84D6-4EAF-AC3D-F6A0C325F26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11258C-FD35-4071-9E02-46C1363017C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578ABF-F1C7-4275-872F-558E2E6FD19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FE19B2-ACE1-48B4-B610-9339E3A9BF4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B94097-09F9-4185-8A78-19EADB4C4BD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F2FCB6-EC9E-47D7-B746-2FA78848618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109ECC-062F-4467-A2D8-05DEFDBA6D5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605FE3-B8DD-4319-96BC-3CA1AE9B92C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D17E22-6DCE-4028-9972-FFC9C059D37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E34325-C6CB-403B-B729-30699A51ADA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DF9921-6692-4BBE-9BAE-A20A65A5BE4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928B89-F7B8-4F35-AE2E-3C91CD5645E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4E6DAC-501C-4E56-A4C8-E5D90DF5F4E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1E8A23-FEB2-4C11-86BC-6D9B0DA99E9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E922D8-639E-42EB-A53D-13EBCFB19A9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16458A-DB93-43C2-851B-B461E5294B8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641AAD-B00B-4AE1-965B-F90E41ACEC6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26336C-59C2-41AF-A55A-192D447B704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ADC03D-0FE6-4470-A1D1-7FC1436442C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92EC06-ACE4-4ACB-9A36-5FADB52227A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F66874-FEB1-4BE9-89F3-D50EAAE01A3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94B62F-7F46-4629-AB91-0C8E2BE86A1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94F5EA-B91D-473F-8D81-64415E32262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3EF1BF-D12B-41F6-BD03-5EB33CE8821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D0473C-D118-4158-ADFB-024617AA9BE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3194BA-0888-4B3C-8E76-1136B4C23BA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1E2F4E-EDB3-4591-910B-A67B7CF0E01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67CC4F-D222-4759-BCA8-7201459CC82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FFCBE3-4737-4BB7-99F4-C87F4554F9E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8B9E16-AE80-4DAC-930B-0E7E55882F0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2F731B-C03C-4014-A2C5-5979EC282A7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34FB27-CE1B-4983-8DD4-AD42D881482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86C8C4-13F3-430D-B6FB-DE212FD726D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092C3D-5955-4493-973C-52070A79515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7620AC-F749-45BB-99BB-0CCB6F79969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B55D90-F539-4EDD-831A-04306D75BDFA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1CB2DB-207D-4DFB-9C1B-451C01F36E8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F18FA8-E8F8-40CE-B29A-58FB5A13A99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C9BA66-18E6-41C3-91FF-442057089BD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F96ECA-B3B9-4B84-92A4-5BAA3D7D6D8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3BB24C-065D-486D-AB47-F66D2B07111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773065-FBF2-4EDC-915B-3AB3CFB4F14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751A19-0431-4E52-B733-4AED742C325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28888F-5DD9-47A6-A4AB-5B9E8157F4C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1AABFD-302B-4E8C-AB5B-956415A15B0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AF4153-1CA6-4BE2-B711-6031BA9A9AA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242D5D-5413-41EE-A7D3-C34CFB221C1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01A71B-4056-4D67-9B5E-11CFAE13D39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7CC592-17A0-4AD7-81B0-3E4EE1C9623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29EDD5-D23A-44F0-BBAF-098462FF02F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AF91EA-CC52-4326-90A2-9F441A5646C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88E3E0-5ED9-4CF6-99D2-A43344E9D2D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31109A-7F67-455D-BC34-F4B26A49C8E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08786F-3164-41FF-BC7A-7C9395805F4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FAE199-DE59-4E4B-A56A-19263B4286DA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6FDC08-62FA-41B6-82B9-ACBCA7D14B2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C39CB7-FBD1-43D1-9BFE-11E0E945E6F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7C8710-D5A6-48DD-A9E5-3F506F0724D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0595EF-C1F7-440F-B8E3-90C5BBDA067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765837-DF52-4720-AEA9-B5F131A938E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19B4CC-B630-4CC9-BBAB-ED734385F45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2193A3-E4CB-47EC-BE99-E8F233C350A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DD1713-31C4-4993-B79A-26B42C20B56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A79591-D839-43C4-8B86-67C3921D105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E5E6A1-5640-4B46-8D88-6017DE90C70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234D92-A134-4921-A078-FBE60ACB2A5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D32BAD-9C2B-46F4-B4AE-F42D8659669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9CE058-A7BE-48D2-A644-E12363FB4E9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603BBB-76B3-4AA8-B71D-7F248D7312A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0A9ADC-94B4-4A29-ADBF-A372C1FEF3F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20901B-B293-4142-8D7F-AD82170BF7C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6F0B84-6D38-461C-83EB-74D06BFFF67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2FD6F3-9A96-4133-9FDC-93E66E28B17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01F5C9-C94F-4B2E-8456-1F2BC787CAE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F1E183-6E21-48A9-A56D-C48D5F0F561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C61E17-C0E8-42D3-9031-227E0C4081B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F505BE-5F3E-41DB-9689-068A9B68A29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7E146C-FCE8-4E06-A48F-89A596F3357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700054-50DD-4446-81AC-1214B9A90B6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AB2435-FD8B-4A1C-8E08-8C6168CC3F1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2E2E69-245D-4528-849F-BE77B06FCFC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E54770-A8F5-44F3-9BBB-7A0C02CB57CA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C9C80B-0B82-4187-B2D3-F7CC9C83C77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44109D-05A7-4F3E-BE6C-138AC85FF08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07ACDC-F9B8-4D00-B804-9CBD65F225D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429488-5DEE-4026-99CC-066A80B1901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D0E207-8B92-470F-97ED-79B29BA7C9D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3994A0-6498-4D4A-B2A6-C7D6C687CF4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A2B741-606E-417B-BCF6-83939FA53F9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ECB1A6-5874-4760-B0F6-282C3FB7ABB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D8888A-7ED8-43E3-8B4B-F50848239BA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742C95-0B2A-4418-B352-8F44EF20226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74FBB5-655C-426D-A46E-B69E7DBB1A3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E5C930-706C-498B-8457-9B6CDED8C43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3A5B3C-6440-4E80-8EFC-7E6E2322017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4F63A8-4D11-4104-A614-5337C4B75BB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0823C5-1D57-4C93-83CF-FEFBA454D57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04A494-4187-4CC1-9E1F-F8BD9A082B0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15F331-FDC9-441E-9F5F-238608A4487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7E92E6-86D0-407D-8A40-D1B6176237F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977B95-A7B1-4C95-9F04-E3C8A7DF964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FB8D4B-65C3-4A00-B636-9F3851B305A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0A3BA6-6891-4871-AC25-CC703565164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8E2BB6-A7D8-455F-9A46-5F4A9CA95AF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F0E88E-AA92-41A8-98ED-329612A5B46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531E06-0F04-4D13-BA8A-A1780BA28C1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45459C-B27D-46C6-AC9C-85CEE2261D5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1ED845-025D-45E7-8EE5-7AF3259D491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5636C2-FF89-4727-A2F4-7C901DED35B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CAFFEA-392D-40ED-AB43-F9C0D0A9BE9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76D10B-21E2-40B3-A186-268EE05E565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F7006E-36CF-4F39-98FD-2B3AC630C38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915A05-0D67-4331-897D-136700AFB7D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17F94D-6BCC-443C-90AC-D4E0BAD93E5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491651-E5DB-4A03-99C1-201558F83B1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28BF2E-FC87-417A-92A0-BAFDF11EB49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C3E389-A648-4AC8-8DAC-3E9A8C7EAB2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F8C55A-BFDA-4341-929A-5046F272596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EA2413-6419-4FC0-A66A-0EE977485F1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610441-5B25-4575-B943-3D0F27EE548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EEB956-53B5-4CE8-BBF8-4F31610DA30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26EBD3-0975-4E70-ACDC-BFD2E7483CC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3CE1DC-3C78-4F3F-862D-1772C177072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621A01-788A-4C3E-8873-E5EF0FD0CC3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886D99-015D-4560-940D-05319C36B4D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609485-677C-48C8-BE0A-905DBE6C8F4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34B9FA-00CD-4B7B-BEC8-0C98D46057F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B00946-0785-44A4-BA93-291BFB5B2D2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D68605-1B11-4A02-B502-F7460D0E770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30B6C1-BF1F-4EF5-BAC0-32BE995190F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15FF8F-05EB-4526-A8B3-F1E719BA36F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87AC17-F011-45AE-8625-3AE495BEA3F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34EF1B-98D2-4C17-AC3B-E9185444DD3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EF819A-F599-4F20-8F70-88CAE0B2810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A00FC1-332E-45EE-8FA7-600AD5B65CF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73BB77-2E85-4C57-AB2D-C921FB95EF0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67AE57-EC1B-4241-8DFF-A91DCBBC395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7CA458-A9EC-4080-A6CA-F329211BE64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FA9B6F-2F9E-4024-8476-01083B7D49F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E28E46-453A-4955-A36D-59268BEB22F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0485D7-2DC4-4EF8-B7D5-FDA1D767EA2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E74314-D2E7-416C-893F-C64C65B600E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99FC91-9EF1-4282-B31A-2501BF3D896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095E0A-640D-40D7-BB23-E0474F79DB0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8182A1-5941-4728-AA2B-9DA713ABA4C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AC920C-C7D0-484A-A8CA-11866426F46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D9637A-CA84-489B-B4A5-057A3ED96B2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C1F001-4218-422D-B009-F6DF049D69F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145948</xdr:colOff>
      <xdr:row>6</xdr:row>
      <xdr:rowOff>99860</xdr:rowOff>
    </xdr:from>
    <xdr:ext cx="304800" cy="304800"/>
    <xdr:sp macro="" textlink="">
      <xdr:nvSpPr>
        <xdr:cNvPr id="5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E2CCB4-DDD4-40E8-B9AB-3352D54B67AB}"/>
            </a:ext>
          </a:extLst>
        </xdr:cNvPr>
        <xdr:cNvSpPr>
          <a:spLocks noChangeAspect="1" noChangeArrowheads="1"/>
        </xdr:cNvSpPr>
      </xdr:nvSpPr>
      <xdr:spPr bwMode="auto">
        <a:xfrm>
          <a:off x="13176148" y="137621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15EB54-A4C9-406C-9C45-9CEC9515D5E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AB31FD-0FE7-48A1-A304-230E4B7B194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AE8965-D4D7-4F94-A47D-F3D7394BD8E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C71346-FBB4-4456-9897-97A4C9CE5D5A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D1095C-843C-4DCC-B3D7-7425D2C8638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8FA77B-7B6B-429C-B3A6-03896A6001C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8AC476-623C-4951-A4EE-0BF51F7A3EC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92608F-E39F-46BB-A1DE-D81454D14F4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1B6E57-A71F-4092-B090-ECC0FD8F0BB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AEEA48-A875-4385-AB40-A4EFC997FCE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C1A8F0-36BB-419E-AC97-52914951CC4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A3018E-A23D-45CC-BD3D-631ECDBB3BE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C7E0EE-1FB3-460B-BFC7-1F66DCCB17C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D08E3D-F2EA-40A9-A11C-B6E471F7F76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CE7173-5EBC-4DBA-BF16-3C53856C4A0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8A6F1F-14F4-4CE1-B530-A3F6AF536B8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E59937-4DAA-42E0-A7B1-310DEB98D2C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1A4B7F-0A33-4AB2-A0D0-B93842877A3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434B16-F3E9-46D3-974E-67547BED0C9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AFC275-99BB-44FE-8EE4-7FFD6B16317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0FE8F7-B6CB-40DC-825B-99A7027D167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091099-9F43-4EA3-ADDA-9967F73B1C3A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23FD6C-13FE-4653-8DD4-56B74B09094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B8019D-C959-47BF-AA57-F27D1127384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8A921F-DDEB-43FC-8516-6CB685EBA03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85C6B9-D307-4709-8715-95A19B1367B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7EF08F-B64D-4267-BFF0-5295E6BD8FB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DC1C08-093E-4C67-8667-FD7BAF89F17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966AAC-C1DF-44BE-9050-BFB5F828656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4C9825-5B1A-4CE2-ADC7-E7993C0D673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8AED28-EB60-4932-A633-896FFEA2276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46D6FF-06DF-4F84-9B74-D7391FE46E5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6E02B7-49C3-4DC7-A5A5-8DD251E4B61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C8CB6B-5E6E-4581-9E9D-0BEFD978544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D80CD8-AE35-401F-8D45-1755F1545A6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A05851-C8A1-4451-A52C-5BE05BCB862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AE4C6E-A7CA-452B-A7DD-7AEDB801ED8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A868E3-6C97-420F-BB4B-A061D2DB38B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B50803-D742-4155-BD5F-C43BC4D99E0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7026CF-B8FB-4023-9E17-FF628350F70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16A517-9EC0-4CCD-BAF5-E87E748821AA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841A71-56E2-4BE6-B299-4256F75C030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194B94-7F99-4926-8F82-26914AACB54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E28EDA-B35E-4A66-8729-7C6B09165CB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0014FD-FBD7-4335-ADD0-02E08C78E6A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B37EFA-5641-4B87-90F9-6304EDC82CA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6EEBD8-771B-4881-8EB2-A9D501018D4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B63B81-8B5A-4F6F-8F08-0180D8C3D2F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32C5D7-C9D6-486D-8D5E-E065E3B1F61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714375" cy="304800"/>
    <xdr:sp macro="" textlink="">
      <xdr:nvSpPr>
        <xdr:cNvPr id="5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3CC45A-9BCD-4695-89B5-E98EFA0827F3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60EC8F-F8B4-428F-8BEC-473131FAADC1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EEE7A0-888F-47DD-9F4C-14D10D09F99C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E435AE-5F5F-4DA0-9C80-B1DC828F8A12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0E531C-FBDA-4FBE-8942-3AD36708834B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8545E9-FF22-4443-9328-64D8875F090A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714375" cy="304800"/>
    <xdr:sp macro="" textlink="">
      <xdr:nvSpPr>
        <xdr:cNvPr id="5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6DDF2B-1E2D-492E-BEBB-E0CC7EEEC244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5C7EBA-1577-4615-BE3F-289E80FFB4E5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28EF25-7A79-45CC-99CF-CA11DB99E600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751C67-68B0-43E3-9DEA-BF6E00DA80AA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63C64F-6DCB-419D-B616-0A9782DD7739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21AAD0-65FD-4E9B-868E-5F91C4D2851E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B96FB4-AA3A-43D7-A4E2-81475933D1E1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CCC80E-B495-4975-A2C5-DCDD696A3D93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BB3776-CD44-4EE4-96DD-EFDFF675665E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884BF4-D0A1-42DA-8B83-AB4D8CB1DEC3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40A27C-CE1E-4634-840F-39239D7AAD70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F15CDD-14DC-40F4-A463-47E99130D654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43932E-7D14-4487-A99C-62851C76C573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ECA178-AC69-4E68-8201-35768F175FF4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4A195D-2D1B-45F2-A645-0BF1E1871351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5DAC1A-06F5-421C-9806-75C4FAAA5D1D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4429A4-188C-42F1-B672-F911B035A429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DBECEE-7E67-47E5-8C25-A35EC50392BE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4BB591-FD86-4C7C-83E1-38CCB7E407AE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2AE55B-ACDD-4406-BF08-7764E490BA9E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78B179-4EB7-4E33-B7BB-B5919B6BC736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714375" cy="304800"/>
    <xdr:sp macro="" textlink="">
      <xdr:nvSpPr>
        <xdr:cNvPr id="5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826CA7-875A-413E-81D9-E6A98968E955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15DE6C-4402-41BC-81F3-CCD79BC24C44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33F3D0-2BE5-478A-9719-BBF5E74920A0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E1F385-4D6E-42F2-B2B7-5CB735EB6AAE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226B99-CE36-4029-A16E-4C124D2AC728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5A6C10-F9C9-439A-837E-EE599A429A3A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714375" cy="304800"/>
    <xdr:sp macro="" textlink="">
      <xdr:nvSpPr>
        <xdr:cNvPr id="5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ECF0DC-EF77-4109-9B9B-2AC56E40526C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4C6DF3-DFFB-40EF-B369-436F49764B23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248965-2B9B-4BF5-9213-1C923F32B845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9B2309-4B98-4658-AE0D-CCB77BAE8E90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F8AA17-7B26-42BC-B712-4A5BD06B478A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0160AE-A9A2-4152-9983-9E74E2EDBB85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13192A-5C1C-4D8D-9D0E-EF9E41FBCB39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890CC5-9DC3-4286-9B0A-290A819F1120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5136B5-802C-4CAC-8686-3B13699E43BA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9F0A37-7103-4190-BAA7-0A45C092DD3B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210354-3A56-4112-B495-B1756C164D1F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F1D778-201C-4AEC-A89A-B2658228DBA8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82B782-498E-485A-A56B-1E54BDFDAD32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B23518-0914-418D-B195-6A61F441A4E1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F93371-980B-40B2-84AB-EEB374291717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079D01-592E-4EC9-9F9F-6EF003D10143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59BD3D-C0B6-426E-8011-0840C485C7C3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7DECED-17BF-4DF3-A86E-55F220984239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3C8EAB-433F-459E-B71B-CBC6E917B4DC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6FC18E-F9EB-4651-8022-AC423509EF62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E45557-D4DC-4E7D-BEBB-7ED595120283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05708B-CED2-4B6F-BFAF-FD9B6269EB8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BA9C62-CC6D-4714-9DE8-0788911C8C8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86B098-7CFA-4EE8-A77A-D0CB155EEC1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0DF1A9-7B92-43C4-921F-50882E460904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75C6B4-6801-44A3-8A11-53D6022C077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17D8DD-3922-44EA-A35F-5309863D4B4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5C7A3F-23C4-495A-9012-F8B9B299873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5C5280-54F2-454A-A681-FE2E337DE9C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714375" cy="304800"/>
    <xdr:sp macro="" textlink="">
      <xdr:nvSpPr>
        <xdr:cNvPr id="5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906708-089F-4857-9D1B-79DD81B296D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E2E900-2609-4F92-8319-247519E3CE54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71BA81-D73B-42C1-8E89-536AACBB86A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3670E9-A8C2-47DC-BAA5-9C084D872B1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EE381C-A683-4428-A3F5-9C95E7EE084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A6C45A-46C7-43E5-A114-DA8B7F4A5C1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714375" cy="304800"/>
    <xdr:sp macro="" textlink="">
      <xdr:nvSpPr>
        <xdr:cNvPr id="5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EB48F1-B53C-4E3F-865B-85B035C9A61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331D6D-F9C1-4AB5-AA67-7A388D8A597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C081F1-B0AE-47AD-ABAC-3FD24873721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610E03-E5F9-48A0-A180-5C5BEF74BBE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C486F1-E106-45B2-90CE-3639C75CDB7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B1B2A3-E354-47A5-8D9B-004526E895A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2A978B-4BE4-4560-AF30-3F14A3E77AA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D5F199-69BC-4A3F-AC38-BDB97FC029A4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F36171-2ED5-442F-B413-A5F4E6F930E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8288B7-90AB-4680-BF8B-601031648C0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26A5B5-C1C7-496B-A0B4-060D4DD6E7D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714375" cy="304800"/>
    <xdr:sp macro="" textlink="">
      <xdr:nvSpPr>
        <xdr:cNvPr id="5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66A57F-AECB-4530-9B5B-66A72FA4487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86210A-9E6E-4D07-BFF9-75BCCC620AB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EBDC6F-AACB-4C96-8FD3-4193DD17D17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710150-4107-4C20-B47F-DDBF1FA7919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EEBE33-3F83-4728-BB84-19A558B9087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850612-D60C-4F0F-ACE2-F3EF28E2295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DA47F2-25CA-4CE8-810E-992A25D520C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5DE79F-EC04-446F-B744-1627AC70F6F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778A2F-3A1A-44AE-AD39-F22F11DCFD9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E84516-2FB2-43F9-8155-EAF65D62B39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0DBE6E-83A8-4295-98D1-BD938C3AFB8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424D7F-B5F5-4CA5-BE39-890B00705F3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2AD16E-C8CE-43E0-8E9F-88856B5C69E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A7C766-E84D-45A0-999C-3D56DAF24D2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EDCB7E-E40E-474D-9910-55768AD9CAD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7F332B-A4BD-46C9-9576-A038D50D40E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6601BA-40BA-4876-943E-3CFFB173AE6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37D2FC-C161-4C14-9425-8A1F5546467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2422CD-EFAF-4995-B279-C1FF3500A8D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714375" cy="304800"/>
    <xdr:sp macro="" textlink="">
      <xdr:nvSpPr>
        <xdr:cNvPr id="5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17D944-80BA-4CFD-BF73-8D2105426AE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0ED1A1-6C37-498E-9339-17912D65F53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E0D567-0702-4CBD-866F-26D82A220DA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52B6B6-E68D-42D5-B376-8F72D12964F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ADB090-B6A3-479D-BF7C-8635FB0D09C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B46672-4F0C-44E3-9630-6BEB377BFA8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714375" cy="304800"/>
    <xdr:sp macro="" textlink="">
      <xdr:nvSpPr>
        <xdr:cNvPr id="5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B92651-7C8B-4C46-8FE8-571EBF7F5D04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D8A2B0-C6C9-4C24-81F4-E2C417EB530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65009A-5F22-40EE-B09C-95074A4D8A44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91ED92-7F35-458B-80EB-FBC49F2E4874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3C02C0-0D5B-4942-A5F3-7E720BC0566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61A92B-4A53-4BB6-8F7E-1482A3525A5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5740CA-74F3-4AE8-A5D9-73DED883986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5130B6-BD19-462D-AAF7-33DE59557A0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E6FDD1-DBE8-4C63-B032-DC762A12BA1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DD1B05-793F-4F5D-B585-E431ECA6970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62CA20-0A5B-4DAF-A9D6-D56373D57E0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714375" cy="304800"/>
    <xdr:sp macro="" textlink="">
      <xdr:nvSpPr>
        <xdr:cNvPr id="5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0371CB-91D0-4F9C-922A-FF9761B1D96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EC6A8E-486D-4A5F-AA59-3F72D0E956E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3213D0-70D5-4D82-A995-15E1F4BBB13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ED112F-A33E-4F1E-8759-39138C41205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DFE57E-2AEB-42A5-BA7C-7CCA0F971A9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3BA593-B705-4C1F-B572-F32DB154906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FAE643-901D-4C34-BD65-5EF64782A05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B260C8-7840-4DF0-8E36-5A69634ACAC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114564-540F-4BCB-B5A9-F937712982C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7858F4-4CF4-4AC8-AA1D-21742BF31E8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3FE198-5B50-452B-A8B0-6DAD6573E56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E86B68-C0AC-43BF-9E44-6BE93830233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FAFBEE-EDE5-4BF0-9392-D6EF576058C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DF2624-2D9B-4BB8-9CF9-DF29BBB664F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DF5AC6-F83E-4E34-9B0E-F576A8D1850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A07D5A-8104-49E1-BA71-2010E7D86D5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E81858-7816-4A47-81A9-F1E78C57091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7DAD8C-EF9A-4C22-AF6E-D9F9EDFB2E2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0B3CDA-068F-4E1B-AECF-527D6B804C0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746811-D60E-49E4-AF84-EAAF2EA12A1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9EBE5E-F258-4F82-BAA4-64AF032A065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CFC850-FE9F-4CAC-84D2-E9D6D13B1A6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3105C6-726D-4A59-8D82-D85B0D8068F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5BD696-A037-4F7C-9AD8-DA76094DA90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F8AFD1-3DF7-4A18-9093-937F64F4810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D48459-D1E1-492B-BC26-F2EB1CD1C46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2EFCF0-2EBF-46E4-919C-8E817B02855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8DF783-F2C6-4181-A3AF-58DC8032B05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29F3B6-A833-4FE0-84C0-6DE4CB9870F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62DAD0-345E-4AEF-82D2-13223A8503E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4728CE-CFE2-4483-B9D7-227D5D53E2D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111765-BE4C-4A8C-9400-B41F7D15CBA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2B96FB-BC36-4B42-A98D-CF2EAA457FD4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7503A9-3B6B-4DE4-95E9-2ECBED6E2FE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A3B97B-8054-42F4-900E-CE667BBA857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289DE4-6DE5-4722-9513-0113910B3CC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9EB5A8-0F50-4833-981F-C1C1705D4DE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7C190E-141B-4CBC-BF98-2458590A370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D61A98-C139-4F68-8BBF-9BD73893DFE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5E5FD3-2C3F-4801-9930-D346389181F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C608DD-AB7B-421C-AF05-D8B49EEC291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D1C21E-ACA8-4804-9B64-E2653D7B154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B748A9-F3F9-472D-89D9-BBBC869DBC9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0E8AD4-6269-4337-A53F-23581AC5098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25FE52-084A-4D00-A4DD-38B796E26EF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FD9320-BAC6-4601-9604-3EDEC833D4C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4609F6-ABE9-49AA-A521-F417FB5C8A4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532773-4300-4BDA-9DFD-1B4B2B506CB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326E17-AE9F-4266-9422-8ACDD870D5B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E0571E-D737-48F5-8881-9DDBFA8E18D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E57498-F515-4C18-892B-68DF2D9902B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2E17E6-0BD8-464C-B03E-AEE8DEC2C02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9FD795-C1A6-4FA5-A42B-001CD7D5CF3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8B998C-A439-4588-9D46-7729311680F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62B56D-7483-4E2F-AAD3-FD19DC4CA3F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76E95B-C782-4DDC-8867-BA0AB05A57C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0D8167-5F72-4B66-9E56-46C8926120C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B1B0D7-4B69-4E1A-AF20-165B01E9CF6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0FFECC-B319-443C-ABA5-C25C926C27F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78E8DC-91A6-4160-BFBD-5161602F977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AB75D0-284C-469D-BEEF-1D47E77B16E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964DD2-4193-4D19-9A64-D3FE6D9B305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2233D6-6657-4875-9A23-3FF09EE9CAF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10E784-A603-4722-AF3E-F026EF951EE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6201F8-FDD1-4817-BB41-36435FD8615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692E76-E49D-45BD-A1BE-CEA0990AB67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2A72BC-F496-42D7-AE51-EC5BD1C14C1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A3802F-B58E-45A5-A404-3FB8523D530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01BE6E-CA9F-4E96-93FF-A2E4B3727D7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08F1FA-4AAC-4D27-87C5-EEC923E317B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69B379-F9A0-4412-96D3-8ED94DC09CC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32A74B-E470-4CAF-B50C-36BF988F294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0C1FA8-C6D1-4CEA-8B29-E9695B3C6FD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7587F8-C30E-4F5E-93AE-E6290872418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B5F494-40FB-43C8-8714-5CF0C49ED34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092E9D-6E04-45EA-8559-78E2A4B342C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47B85D-0CC3-4AC1-A3B9-4FFE131FAF6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8FAE66-733B-4AA1-ABD2-E6701E99187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F3FCA7-C7E7-47A4-BB4F-AF615F58E6A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998F07-C8F8-441B-8645-2B84BDDD56D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5941DA-A45C-44BA-BF31-250C6AD1570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74819A-A3A7-48C4-8C2F-D4F52B7ED41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363850-678B-4C2D-B1E0-E0D684EC491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870B0C-B4B0-4DA5-912A-0CE674F5212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61088A-8D7C-4510-809B-F7866B48EE5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37D6C9-7041-4369-9BD8-ABDC49B7602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8297CE-17C7-4AA0-800F-A292E354ED0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F16538-5EA8-4B0B-AC13-900B981F39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BFB315-2B24-450C-A484-2C52A96ACCF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8DFB8C-9F38-4BB3-86F1-0C278F62254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CE69D9-C9D8-4291-880C-BACA5002F4C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EFACE0-A51F-4D21-A81E-CD846BB28DB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3F5008-620E-46AB-AA4D-B86B9421D6F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5D6479-4F72-4A1B-BD91-E62996DA0F8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714375" cy="304800"/>
    <xdr:sp macro="" textlink="">
      <xdr:nvSpPr>
        <xdr:cNvPr id="5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CDAB1B-90CA-49B1-94D0-633FBB3D046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2907CE-E820-452D-AF3E-0E408EB5EFB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B66C83-92CC-493A-A64D-DA4C2364FAE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81FF06-48CC-41C2-869C-03DAF79F5B0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C58AAF-7A55-41B6-8B99-C65E73637E8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14C16F-6BB3-4737-A0B7-4998052C0FA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714375" cy="304800"/>
    <xdr:sp macro="" textlink="">
      <xdr:nvSpPr>
        <xdr:cNvPr id="5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0A979A-161B-40A4-8BB7-6FD750D65C8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A681BB-38F9-4813-84BD-4EDEFE94D3B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F4F982-D84C-4D83-9544-9AD44C0AC52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FF4AAB-BD9B-4967-9BBE-5E397C49114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D14766-29EA-4C0E-9006-1966103074F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3AE3B2-1EFC-4C5F-8686-8DC06B2F420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081431-1050-4B7E-8ED8-D630A3CB531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5CC083-1356-4D7D-A316-F219AFFD1BC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9D016B-3F98-4D0F-A560-71DCFF68600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6B5538-53EE-4BDA-84E0-41A8F2B78F0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823016-3D02-4667-A4F5-920407B5FA7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78BE3F-23D1-4D6F-9BE1-06143A4305A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D60C27-70CF-4423-8433-D0C5707AC51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042206-F6BF-4F11-B1BF-3CAEAB2DBB1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7734F9-9664-4699-B430-25009FA2674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7B5483-E5D3-4EF0-ADE7-5465E6FD08A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B57F24-45C6-4BFC-9C40-A1D25B0256D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119F25-5580-4588-9BDC-A08067F22C8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482E7C-6E7C-4DF4-9DA8-AD91A6DC9C8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1A114A-420A-46EE-B147-436ADC7002E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E1DABB-4A22-4C42-A9DD-B46C96493FF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714375" cy="304800"/>
    <xdr:sp macro="" textlink="">
      <xdr:nvSpPr>
        <xdr:cNvPr id="5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51B1ED-E287-4918-B865-E1CA2D68954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B836DA-9E7A-410C-859D-7EBA5392E80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1FDDED-F081-43F9-A67E-7EDB9918065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DF8D8D-F5E4-4D06-86B1-0BFA208AB0D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E5A9B8-70B7-4277-9254-0DF7C0364A0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39C8C3-7C0F-4991-A316-6CE15EF1714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714375" cy="304800"/>
    <xdr:sp macro="" textlink="">
      <xdr:nvSpPr>
        <xdr:cNvPr id="5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9BBB5F-21FA-471D-8325-81ADE3E94DA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D385CF-4316-4FE9-A358-7FBB7060B18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4A532E-81CD-4A4F-B042-EDE20BECFD3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4A878D-A7DC-4DC1-95B8-2BD01172497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F87834-C930-44D7-9E82-32E1E3E885D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8C9860-DA46-4F06-A2FF-3021C6A8C7D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94A86C-B5D8-4A7A-9075-C49422E57B8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90C007-3B46-4D8E-883C-9FA412EB166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AE0AB7-AA69-4A62-8C17-94AFCC56B45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39F239-5CC4-449E-9D56-23468422FC3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6C5595-FED3-47A8-A0A0-F15DE60BCE1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E6582A-32D0-4655-BF3F-A956D5895E8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0ACA94-AEAD-44F2-A408-DCE15BB4370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22E307-D53B-4FC0-8FE7-13B82E88658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980ED1-8792-47AA-8C55-81E8413C4C8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7824B1-337F-46E3-8E68-72D2F6B788E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150EA9-D800-40D8-A9A4-4A22E36E6B3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24339F-0C78-4A4D-ABB7-697287E73B1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8479F9-59CB-4702-B8D5-99E38EBD009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58CAD1-E16F-46FE-9BE3-58EDED9DBA5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461011-1C06-4ED3-BF57-3BD3CE20C37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714375" cy="304800"/>
    <xdr:sp macro="" textlink="">
      <xdr:nvSpPr>
        <xdr:cNvPr id="5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37276F-6B66-4FFD-9189-37152E184A32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FA172C-4BCC-497D-AB74-ED2854A1E6C5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C2B4F6-6BFD-4A5F-9852-C79EA5827ED2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1094ED-4220-4527-B1A2-2A3FC11965D6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6244C6-6EA8-4E6A-9C17-626D75C50964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E3436E-B95E-464C-AC1C-47AAA244F8AB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714375" cy="304800"/>
    <xdr:sp macro="" textlink="">
      <xdr:nvSpPr>
        <xdr:cNvPr id="5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4D8424-400A-4343-BD5F-0F684AE5C71B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F62115-B1C6-489D-9230-EEECEA9CE739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B017B6-695A-467E-8910-1E18FC321139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082EEA-0F62-433A-ACDB-A6BB48875918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2EBAE3-8681-4ECF-8CE4-F308F17247B1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91A2C6-4E62-4BF5-8DC1-93CAB67F04E8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AF8CAD-65A4-45C9-8CB9-218CA642F561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08ED53-03EF-4994-8EC5-2A55F0C6B99A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BAF0DD-5154-4D81-926F-3C58E1DB8CB3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7DED8D-B2BE-482C-934E-E68051095C54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35713D-F921-418E-A781-F15D04DDDE72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510BC4-C1F1-48F6-BA1C-1D3051A24120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7FCEF7-89D5-4FD6-9FAA-0D900959B945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B93C0D-D06F-41B9-B247-4A0948B4DF3D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2AC8CE-FFDC-46D3-A55E-B7E941FD18F2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28BC28-BBF7-4DE4-BCD2-FC9A3DF4727B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494D91-EF0D-471B-A66B-C7971F863E87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3C7B9D-4152-4B67-88C4-E5E5062A8CF7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0F5252-E986-4D6D-89BF-69910E439C98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EA0C2D-072C-49EB-B81C-E97054AE82DF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EC1D39-FFFD-4EF1-8077-D3937134AB5A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714375" cy="304800"/>
    <xdr:sp macro="" textlink="">
      <xdr:nvSpPr>
        <xdr:cNvPr id="5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3166A5-BDA9-4936-95CF-8C9C01779E0B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D6184D-97B9-4AEA-84CF-4F4A808DB84E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FDF191-E575-4FD6-98CC-D41F7E28BC6A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6B3123-0FC7-4DF2-A067-1D70FD1B3890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CFCD97-EF0D-4880-948D-406045553F84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AF338D-B808-49FA-B1CB-CEBBDCAD3B19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44BA3E-2734-4B32-88F4-52976A027DBC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3EE94B-67E7-40A3-925A-AA1C01874492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50D2F4-73F2-4F52-9A41-1CF1DA7BBC32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FCC6DF-7B28-44D5-A6CB-97173047651B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61DF00-6D25-41AC-B9FE-CF280E292DFF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637527-0015-40C6-A524-B08BECDDD0BE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67C0C3-4395-4B8D-8500-52EB86C3BD44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817A30-73B7-4E0B-B44F-68A7CC2FAD83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7A8375-8CD1-4416-B8C1-C745945DC14A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042CA4-65DC-472D-A115-DBBBF2C54B7A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69AA3A-A894-4F99-8E81-C8F47B14BD84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C973F8-9B52-4DD5-82F5-79111D4231BC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0BDCEC-DE7C-4DC0-951F-FD5578EFF72A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CBF4FB-AC53-4BE1-843B-42664F3B0420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3679DA-72AB-4573-A35E-144C15C074AF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FE1F3E-D165-4648-A658-F20645BF9148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36DB33-A5C8-42A1-93B9-C1CFD76E1189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C5E9ED-C29D-4D8E-86FE-A6BEC5994042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4EC2D1-EDF7-4A67-985A-1A0F68F76551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EDCB4F-E61B-4E47-AD76-F011E9B07C35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9D8070-A3D3-453C-84A2-25A0FDBF4C4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D5BD3D-3BC7-47BE-BEC2-34794ED8354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975B73-CCED-4401-8C45-5FDBB5C701A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E72E6B-EF2A-45A1-92CA-91800AFB1B7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3995FC-83E8-41B2-AF51-AEAE026545B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9CB6E9-87D3-4B69-8372-523ED9917DC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89A424-9A09-4891-AEC4-F3B372DBB21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00F817-9B4A-4C95-A3E2-A963C17322C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714375" cy="304800"/>
    <xdr:sp macro="" textlink="">
      <xdr:nvSpPr>
        <xdr:cNvPr id="5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627F47-FB35-4B0B-AC08-5DBA623E47F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8F3BC2-6B88-42A5-81D8-42BCF817FD2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0808EE-A7AA-4C35-B0AB-E3186772B06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E52401-1AE1-4B9D-9219-05BCEE952E3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3182E1-DFAD-4C2B-BE14-2A39C910191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AFD54F-DF68-4DE6-B27E-801CD331A75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714375" cy="304800"/>
    <xdr:sp macro="" textlink="">
      <xdr:nvSpPr>
        <xdr:cNvPr id="5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DAC275-C71E-4B07-9EE9-BFD77F9C88D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FB3B4E-F65A-4D07-88CF-AB3C85CCEA8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6D943D-20DD-4200-A7CF-1535E08F523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3F1CC5-221F-4039-A249-BA7DA724727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DBAC69-C72D-47C5-B8F5-DF0661126A5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0492A2-8D2C-4DCC-9F58-0326B1F2671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779D1D-2227-42EB-8EAF-BBC2ED0D81C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DCDE2F-5291-455F-A465-CED08A59201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31AAEC-6F17-4C1D-BB57-746D875B317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A81ABC-53EE-4DA3-9BE7-D443AC4DA56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E34657-39EC-424F-98D1-2F0B6C6125D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714375" cy="304800"/>
    <xdr:sp macro="" textlink="">
      <xdr:nvSpPr>
        <xdr:cNvPr id="5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75EA77-A13A-4130-A973-717B2A7B420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7EEDE6-8A7F-4811-A1F4-44A6AAE59AE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8D069F-E8C3-4D21-B037-847100A7E3C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6FB8C9-65DB-4FFA-9F1B-AE3256679CD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E92C00-49A0-4441-AA05-3FDD26FA8A2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84E903-1EF6-44D7-8509-786E5AA8D9A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BF58F4-3258-4570-9718-386D0CD1AEE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2C4B1A-F9F4-449E-8E45-A1F084B28A1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6F2C24-354D-4417-8981-D35130D0C42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C8903B-A9A0-420C-9DF9-24DBC8BB1FB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ABF00F-758C-44DD-990F-77EB09080F2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208177-492D-4890-B2BF-8DA512B0093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AF7CC7-6C2B-4FF4-8968-863D0EE9034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51A6C7-6C50-4951-8DD9-D0825BEC5D7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F9BD5A-7CCA-4A32-9CE9-ADFBE2218CD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65B422-E5CB-4739-8B99-6D5283CB0A5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D37DDB-F87D-42A0-8151-CC9863503B9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DAB726-59E7-4ABB-941D-370B0DA4094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0646F9-25D1-4D78-B1C3-AD149FAE70F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714375" cy="304800"/>
    <xdr:sp macro="" textlink="">
      <xdr:nvSpPr>
        <xdr:cNvPr id="5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B0EA2A-C359-4FE3-9BCF-9F9D531583D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D0FC2E-2984-460B-A853-732AE5CA2BB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CF25D1-63C3-44DA-B620-BF2DD5696BC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795CA4-7C57-4154-A262-F5983D66D00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CAC60F-E5AB-4F70-937E-D2CDE5D2CBE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D5F5F2-2F21-47B2-8117-29762B56972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714375" cy="304800"/>
    <xdr:sp macro="" textlink="">
      <xdr:nvSpPr>
        <xdr:cNvPr id="5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7B1B1C-7AD4-4002-BE08-BD90CA734CF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AC30A2-99AB-4FE8-BDAE-725DEFAA419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8C8C98-C129-45EC-AE77-F30FE5B1918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89296D-72AE-48DD-BA26-3B23142C9DC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2612D8-0EDD-4F43-A013-49460D4CF9D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B79DE4-983D-4ECA-9653-CA07E102629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113243-C23F-43E6-B0A8-8F0C92BD7E5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6E1DA0-0E95-454F-8311-DDA036F3FDF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B15068-E14E-476F-926F-007B0BA70BB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8DED74-0766-4F5A-8FA7-CA7C3662957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8452B7-EF84-423D-9AE4-B136F018D25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714375" cy="304800"/>
    <xdr:sp macro="" textlink="">
      <xdr:nvSpPr>
        <xdr:cNvPr id="5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8672C1-08C8-4955-AE09-1D13C1BC36C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FDBEFF-9516-4310-B673-8E7A64C22BD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90F137-6626-473B-9882-CDD7EB1406C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701A9F-2886-42F0-A835-8FAF57104BC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6EF72D-2CAA-4486-B874-F44B9360401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C950C3-62E4-4ECB-AA46-B9CEC57BBC5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3A16E5-F749-4BA9-9C29-98EA148EDA7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1CDA9D-8502-4EBF-BF51-44AB66EBB0F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C4B4A7-D494-4BA7-BE10-B745035D94B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3B3B48-9F66-4C66-9238-5B21A6999A4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4D830F-4E79-4B12-AF00-BD28B92D3DA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9C95D0-14B5-43B6-A375-DCBAB76A765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6444E6-454A-4602-89FD-6F3FF03C9BF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2615E2-F56B-4A86-91DA-F5B7B5501DB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AD8AD0-07F3-4714-AC87-F1D3554A854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E93F0B-31D0-4356-BE76-BFC82F504B6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000917-CF70-47B6-9E0A-142E161BB01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B99E1B-8DD3-4D6E-ABD7-35A8F851D87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19E5BA-2136-4BF9-9F17-5ACCC35C05C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E98759-0702-4D85-A591-7042E901BF7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439464-F64C-40A4-B6B8-5725A2DA5D8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4AF493-7F49-4FEC-BA96-F06411EE511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404E3E-9C6D-468C-AAD2-56281912095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93BE2B-5D47-425F-AC58-F2CFDE1935D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71B5BB-C13C-42CC-B884-944D7EFCDB0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1391C9-C374-412D-824B-1786F52D175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A32EE1-C968-4EA0-97BB-F6D0736B976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E9511C-24EC-4CF0-B26E-A9FE5E6B9E9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8DA9A1-DC5A-4EC0-A3A4-3D9F217C68A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CBC6E3-8ECF-43DB-98FB-5B02B14B13C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D9C999-7E73-4DA1-B60C-037D1BBA33D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A6A15D-A378-48F9-81E3-A2A4F8067CB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7295C5-C243-4449-B7C5-77250474841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F51157-3667-45C8-B49A-17361575189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844560-2066-4BD5-9D60-72F51DEC17C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E35905-6036-46FF-9406-4C0060C55FC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882842-68E1-4A50-8BE4-A52C6B5E6A5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F5469D-2496-48D0-9B73-F1C56B036EF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87E00C-C12F-4A10-A423-9D96DFC6042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B4544D-DADF-4CAD-ADE7-ABBE291C0AC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40C889-2FA1-47EF-ADE9-3C54ED9D4EB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FB25A8-97D3-46CB-BBC5-2E254C26141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EC3AD1-E89F-4353-B952-C1F2BFACEF3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2B279A-86C0-48A2-ADFE-D8A6F7B9492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EF069F-1125-4540-A7B7-5423938174F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7F6253-DCF9-437C-AA7F-033F7B3388F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0577B8-21F1-4863-A8A2-8C5530DBBB2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9C29E0-5D49-41B7-B071-A2329B1865E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A109B0-9F3A-4739-8EA0-0539D8CD5EC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E61327-D5D5-4E9C-8D60-8CD7A5EC640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23538A-EA37-4FFC-9225-D2810566EC4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7E720A-87C2-4AFE-8C4F-886F9E4743D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8F798E-B4F0-4033-813B-B6C2F2223FE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2F84BF-46E8-4B6D-8680-9587E3D7CDD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165694-73FE-4583-B9CB-D114A228971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849191-1A25-453F-BB69-E2085C47571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E813D9-271E-424C-A48C-128607E1C24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3E5514-1B4C-4B66-9CED-4CA155A6ED8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3E1E02-27C0-460C-A1E9-1C2862C8B26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C4BD6E-AA34-4A35-A224-023E6E535C1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506C08-6B5A-46A8-9E73-E6E7DE2E610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71A5B6-6D4F-48E6-AF46-DD7C5DF6951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7C6DFE-1DB1-4C94-8328-CF00672FE3E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5A524E-D9E8-47FA-9BAD-42CD035DE73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4A78DA-9BB4-458D-A1B3-C02B0E08626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459A7C-73A8-4724-9F0C-634D1117111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9F8BFB-26BA-4919-9D67-D41B346C049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24D21B-7533-4FE0-B28F-24A5F09BA6E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D14DDA-130D-40E6-89EC-5A008AF7AAB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E61553-4594-4747-8480-B685F06ED19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AEF60F-622F-48A7-BB7B-8564C5A44A7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855186-9458-48F7-B1CB-26ED72F11B5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0FDC34-3A61-4A48-A2AB-0B8979EAE92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CFC9F4-8F22-432C-9C25-78B8931C7EC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38CED4-C173-433C-BD50-B4525070123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9F43D6-4D25-4743-92C8-807E565EB44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B4849E-2A17-4147-AF79-17DBB92B3D7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B7E53E-3CFA-462E-9A6C-1CE3BD6DBD3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C9D78F-32A1-4CAF-A2DF-DE5BD760FCB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400FD4-C594-49F1-B621-0EF0C36F91C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014CC0-734A-4A5C-ADB1-56F586DE214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299BE9-C998-4BCD-8986-859FDE2829E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AA5344-DB6C-4EE8-9BB9-4B8506BD741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2668BD-2790-47EF-A244-98E805A6562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DF27AB-CF04-42F0-A6DC-E77399C06CE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C8561F-9008-44E4-9B5F-8958795736B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BD87F8-79EA-4847-9174-94708A5CF82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5803B1-008B-4126-819D-18A2D7BE978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FC47AB-0C0F-49A5-A4A1-CFF25896D91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7645CC-80FE-4B78-95DA-F09268E500E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B741C8-80F0-43D6-A0D8-620ACBBCBCF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109B87-63E6-447D-AF76-778928A415C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042B8D-80E5-4D9E-804F-82E3BA589BC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88E8F4-5BE0-4580-BC73-E2E58DFE4E7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714375" cy="304800"/>
    <xdr:sp macro="" textlink="">
      <xdr:nvSpPr>
        <xdr:cNvPr id="5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80C2E7-4EE1-4904-B87B-E71148A535C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7DFA07-71F3-4738-92AF-D6950D16C12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F51973-DD81-4ACC-845D-93FEFCA72A7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0076A6-263F-42CD-A05D-FF940F4F725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488280-C518-43E1-9445-572B9F77633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46595A-F82E-4D5D-8351-26C3864B0C7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714375" cy="304800"/>
    <xdr:sp macro="" textlink="">
      <xdr:nvSpPr>
        <xdr:cNvPr id="5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167B86-F117-40D4-A4BE-ACBFC853AF0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523010-3500-4551-8FBE-E81F84C2416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A05055-E0FC-4DB2-A390-92A07AE1816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CD957B-0E98-4295-96DA-49C35897A20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04FDBC-DBDD-4E47-9B84-F933F4B92C2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40404E-DAD2-4E6A-943B-5DAAF35FE29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0043D0-C015-4081-9A52-7C9CE57D8A2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8C0775-9CEB-4476-B5FC-7D831AFD22C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1462BC-7CE7-420D-8CFA-7960765F686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B7A82A-FBB9-4F25-B19F-1CD603771C0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2F28B2-9E16-415F-BF28-50D4694008D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B015AF-E849-41F6-B4D4-C3A9116CEF8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4C92F4-FEC8-456A-9214-E8990843713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38B8C0-9E98-4E13-A0DE-12D75DF06E9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2CB530-B767-4D74-9356-EDCF3CCDCA0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0E6181-B9BC-4BB4-B15E-970C12EDDD2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FD2A84-2E6E-440C-B8E1-2C0D551CCB0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CB1003-8F32-4A44-B726-4C1069E0F28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2EE1B5-5543-47F5-B49B-9CF99B2971E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6AD996-01D2-4C22-953A-6E298A1839E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80F312-4169-490D-8DE8-C9B4F92A666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714375" cy="304800"/>
    <xdr:sp macro="" textlink="">
      <xdr:nvSpPr>
        <xdr:cNvPr id="5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3B80DE-9739-41F6-BE47-06B1EEC03F3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04FCD8-247C-4846-B6AF-9BB1271E617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B16CB0-2791-4734-9F0A-00DCC3934FB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A4441D-A7B7-43D9-A319-B3A54928B69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CC33C9-8255-4D56-BEB1-85C479E68DF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F40AC4-36C4-49D1-82E7-11D8FAED750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714375" cy="304800"/>
    <xdr:sp macro="" textlink="">
      <xdr:nvSpPr>
        <xdr:cNvPr id="5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5E3099-F39A-4458-8A7F-2EC94356362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0302DD-0C86-4A1B-9931-7E556351702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D96CEB-2E28-4192-A9F9-36CB145F507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93E6BF-7BB8-468A-9DFB-F0DDCFECE7F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27EEDF-D46F-4760-BD41-FA634E591FB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033CA3-C985-4AD8-A89C-7287B3F3163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7FA8B4-E995-415F-8206-69206DD81E3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5511E9-4BA8-465C-AE02-30B16E536FF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FD3E68-4A4B-435A-A8A2-CF4ED2D9EC7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7F174C-EE61-4FC4-9CC0-D6DFFF9F3A3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8C07AE-AFE3-485D-930B-FE7ECA450E3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B014B3-80F8-4390-99AD-FD29056F708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D033B6-EA3C-4882-9004-D508E8F6AAF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7DD73E-F29C-4CFA-9A01-A0C4D58EB14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04DCF5-BCF2-47B8-9462-783E887F46E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65B2EA-0677-4754-8838-A63AB982FDE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23B30C-0BD3-4949-A884-24A74524EA8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C79411-606A-459E-9997-97FA97E2766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367484-9B7A-499B-9B26-7E8474BECB7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C6580F-222A-4C67-917E-B1FC399364D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20543F-F069-4BCC-BCFA-8BB9D14ACEA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CB7152-442C-40F3-A414-77494369C74E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6ECC43-3EAE-4AD9-98CA-B71D71BB195B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234CBE-552A-404F-8D76-58A3F138FA9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C14695-70F3-4DA0-93CE-C7956BE9C0E1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F74410-44DB-41B4-A3CB-11D65D35ACCD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871672-7CFA-4241-8470-A0AF346ACF3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D89C2D-8C2D-4EDA-8E96-683FF220DFB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D4C774-5A63-4F16-9FBB-7F8899DF00C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59390D-5959-48DE-88CC-EE05864A145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DEBAC2-DDD2-43AB-8BAE-4F1236320740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D43603-8876-4C7F-812C-4DCC83E44FB0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E5DDC1-164A-4C5B-A3AC-1B6CFE92D61E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E97BCD-8EC0-45E1-8A23-671785FA508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24F05B-8AF0-405F-AFED-946646F981D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4267F2-72D0-411B-82DE-5CA1B2D5B13B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44160B-5F90-4C2A-A6B1-DD0BD281AC3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120183-1138-4B4A-882B-E79AC3D65D1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1D835A-7C80-4647-AAB1-FB42A890B18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59214E-2462-476B-9F00-99272FFE67A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23CCC8-D5D1-42B0-9370-124398878839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D89817-E20D-4563-B45F-E0BEEC2FD4C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198934-64AA-4D1B-ACAC-858701430D1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976419-5D5D-44DC-9392-76C6424F0CAE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2D9123-89AC-4894-8EC6-BADFA1B021C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B491AA-24E2-4E10-8192-A52475570C70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575353-2C8C-4559-94BE-AF1EEF41FC09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3F10CE-386E-44CA-8E86-DCC165FEB7A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163067-984C-41F3-9CA3-EADF3C5410EE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419816-C815-4B15-B63A-0860BD186E93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4C12C4-6E41-4FDC-B321-2EEC478F865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345054-A13F-4F13-A63C-FE5AA069B36E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9FEFD6-E272-4189-8BD2-0790FA390D8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D5FD77-A1F3-4C64-B308-4BB2EECE3853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02202C-FF84-44B0-AFFF-F0D10723789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E02DD0-F644-49A4-9304-2E1708EDCBC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80333B-1509-4F91-9B42-DFF4488191A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EAF935-8DB1-4ED6-9CF1-996BE40EF46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06423A-A509-4B46-A6DA-595851035EE3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FFF130-1B29-48B2-A673-06D62569F47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D24CFC-D062-4AC0-B724-16D93090F2F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02F7A5-43F0-46B5-926D-C5095351617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988733-84F3-4556-B6E4-E22B1E167A9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6C3A4C-8705-443E-8078-CFEF419B639E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8C94E4-23AF-4C08-ABF4-A36BA8194C8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978669-D40E-409C-A1CD-19EA3D524F01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DDF268-33A6-4A0B-BC73-028059D23D21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680300-524F-4C96-B0EF-7F701CDF1021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7E6E4E-564A-46AF-A0F7-B5B65AB91349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D02889-ED46-4844-AD92-9F6EFAD29303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7EBEA2-143F-410E-A738-63DDC2DFFD0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AD6DCF-1537-4405-A143-A9F87C5F41D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141A97-24D8-479B-BF36-1E30998C132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2F50B2-3EE7-456F-8A63-03814A9C89F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707A1D-B4E3-466E-98CE-21BFBCCAFE5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4F5F32-46B5-4896-AD65-DAA8EE158A4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582097-E9CF-4C2A-B276-6E7C4ED893C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55DC19-C027-4087-823F-2B16656AE87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4F3BFE-11DF-4268-B8A4-85F403772183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E753C3-C304-4FED-A9F6-34702BF94EFD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AB759B-DC43-4B8C-8C3F-542FA3E515D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C7D2C9-6AB1-4B3B-BB19-75524D736A0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CCEEFF-7460-41D0-B339-6581C4F5628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98C671-9EA2-41A9-879A-47EACE484E51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41A40F-C339-429F-9AB2-CE83744253C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A16C22-22B1-48AF-950E-83EBDBD1BAC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BA2DF3-6F17-4AFC-A960-28169F5015F0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6DD49E-7BE9-4358-8E22-7566C02A1279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A14668-ACA2-4009-9B34-D21A3FF3FA3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B8C3E8-C7D7-4030-9346-729E3C0210D3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811428-3B98-442E-8803-0F0C1756BEF0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C0DA94-BA0B-4228-8591-8CE7CBB43339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DAB6F4-E51C-479A-81C3-4C22ACDE267E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643EF7-A0C8-45D1-AC74-78F20419620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61B243-95AA-4BB2-80FE-2D934AC0697B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C9916C-D0F3-4FF9-9EAF-105946FF6B4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911F10-8899-4089-9BEF-7A1BB48AFFC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A32ED8-1334-4763-8F78-F4DD0675F12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B84257-5AC9-4832-8C1F-45DB1BAF9E03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F19EE5-8151-435A-A912-F6D834CE8300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4F9A67-A52C-436B-87B7-4189CC469BBB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D27E6C-312C-4803-BDA9-B99F393A89B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73945B-D29A-4859-8ACE-D9279843AC3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2041D8-038C-4003-989F-B72EC4BBDDEE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4E2AB8-C112-4FD2-8D6B-74206FD22D7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D19E33-D1AE-408F-B2EB-769E517D5CE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E89557-DFC0-436A-820E-F1B680EAD31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7EC95D-EBF7-4E2D-A425-6AF2A5910769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692FE4-F87E-4918-A18B-B49F5BE22A2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BD308C-F05C-4A3F-8569-9D8B5F4BFBA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EBB1EE-39CD-43A6-BBC9-AC4C911793F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45A0A8-DA53-4D4B-8FA6-41DFF24F707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E6DEDD-82EF-4181-B413-BC68A5E8580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D3C9C4-BC42-4BB5-B2FD-301200AFA64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8329AC-F1EE-4369-9761-DD56365BE73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EBC98A-3900-4894-BF1D-FFDCF15CBE01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461A01-58F0-45ED-A8AB-5216EFC8E00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2575CD-3119-42EE-96E0-7778C53904E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239C07-BED1-46C0-A590-D1CF4329DA5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82E852-1838-4C60-9640-D8E330250099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42C0C8-FD73-4CB9-865D-1D2A30374DD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DBBFB5-69BC-48E6-8428-AF13C60D7CC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60D6B7-6039-426E-85CD-DC3080AC99D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F4F18B-6CA9-4F1B-857D-5FF509DF5D9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5987CE-86AC-4E9A-969D-857EFFADD429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82AFAB-0B5E-4B5B-9253-91AB95A1985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28BEC6-FB77-4817-94D0-DDEF80B61CCB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3F6FA7-DAE2-4B00-A882-0CFCA812B45B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DAF34D-CFDF-4336-B448-A9CACE0C08B1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59AEB2-7CD2-4826-8307-86EBB3E5E21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138110-38D8-4591-9801-E936AE404C1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C56A34-6271-4EB1-B1FE-6F3AE8AA73D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65BB9D-3048-4C4C-BC2D-23D61663DC9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F4BE15-CC91-4FAC-838B-A6B7A8A3416D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814F17-7EAF-4FC0-ACA1-70F7A656376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8DFDAE-963B-4328-A6D5-E90701F4306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55031F-6E1F-400E-B5F2-532AAAF401C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E86D59-0576-4A20-82B1-5CE3311FCC4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E0DC2B-A5A1-4293-B271-9255BEF3035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E80B51-B8B0-4D1D-AC59-4DC8E2D0DD9D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846770-3BCF-4144-B896-E6165E70A7FE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55D411-BA7F-4699-AB58-281099E7A25E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181565-A8FC-475E-AA42-A9BD181F2D9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6925C1-B601-4839-BAA5-C7033F492DAD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02FB17-FB2A-4897-A895-5B0DB4DBE80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E1EFAD-B863-4B5F-A9C7-54C812500CB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CAACE3-6EE3-49FC-9F11-B6E044ADEF7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EA4FD2-9E0C-4E20-8F15-3996C4BDDB53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DAFDB6-1261-4AAA-B48C-974FC6C4124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6E4240-625C-47E7-9BC8-A5F555D38EB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1B2DAA-C014-47CD-870F-7C2BC036A780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6B3462-7EC6-4019-9F46-34B3A465784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9B1FB5-58D2-4A4F-8775-3AD578898F5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FAA8E3-70B6-4F46-B7D4-5D12798D53B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A9DC4B-D405-41FE-AD3B-8957EB279D0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BCF8B7-CE70-4DDE-B245-25CB485C05A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2D8A41-7C24-46E7-AFCF-59FE05FFA12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C6A3C1-1604-41A5-A45B-87037573B42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E392A5-6168-4491-B35B-C2722C14995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B4C28C-D18F-43E0-BE38-5E90920F353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39E9E1-1984-40C5-B3EE-34E9032C3CE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3795A3-3662-49CD-8D56-7FFE6B39F19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5012AB-9B16-43BF-9126-2CDDFED492EB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B76769-E3C4-4EEE-9652-0592BF21A14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D3F8DD-32B8-4B6A-8DAE-BB126882D92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DB73C4-5BAB-4FC9-B63A-240C37CC199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54DDD2-893D-472A-BCBF-B327A57D92E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C7D844-0E22-4577-90F0-45E2BE5BFDD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02A123-D01B-49F2-9EA2-A28CAA13736D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3C9ED7-DD7F-4993-A4B5-69349962F1C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F2326C-0444-4DEF-AE88-DCC2AA576653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32FFCE-1367-416F-829B-D58FFB786700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FA85DF-682C-49BE-8CA3-3679FE65636B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1CF05B-1711-4F72-A028-4DEAE13AF41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4E1D1B-1F4C-4BA5-88E0-2509AD444B8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730730-E16E-4A50-AF24-3F9E06B2308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549726-3130-450D-A3FD-78990F3AF8E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6CCB3C-2386-4742-A2F3-46A69E97240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ADED32-0D1D-4ECF-8284-B2BF322842E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A3965A-8401-49D7-99E0-D7013BC599BB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A32E06-A97F-4BEA-B97A-904021AC4029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050D5D-1F6C-4DB5-A787-9CBFC595103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E20A54-6249-4036-A71B-626B127966B9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0651E2-77E2-4BF3-BCDA-2A471E8682FD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E9A4FE-D656-4C1E-8854-E28045BF6B9D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ACE8EC-81F6-4A60-9240-C5329CFBBA0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021905-8843-4E86-92B5-2C41A79D7EC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546228-C27B-4873-AE2E-EDB51AFEC24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50C821-738E-448B-97C6-B218E834080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A2E3BA-E6B0-4FB7-BAF9-C3837530AFAD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FEB006-B9E3-46F9-BCB6-3B6EC17D554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4EE6EB-8505-4C08-9A1A-3C111028C55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2183FB-8262-4A0D-83C5-419B40A873B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F34D2F-DA85-4AC5-9835-C69A003288B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A1F549-09D2-4AA1-A48E-C8DDFC42568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98AFF1-6570-49BE-AAC8-B65A43BE9C7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9925C7-1650-473D-996E-A0D6B6FBA55B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D00554-B9B5-4C26-B6F4-0A36B04220A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74521B-B077-4BED-A93F-B2EEA8CE7CC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9C7899-90BA-479E-B465-5A23AF39FE71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6CE6B6-92B3-4031-AA91-B837D86BBAF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ABBAF0-2A65-4FBB-ABB2-5DA6EF44256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5E7C3E-DA7F-4EB3-8952-A931C8CF928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3F5C59-7AFB-4341-8C5A-7F10401CBEAE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D4B7EC-262A-49E2-9B84-12C73E385E19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66F8A9-5DAA-4CC9-A775-471F00A32280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0FCBA4-FF0C-4D0F-98EE-16EE795F4D6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EABD57-C3BC-4D0B-9C01-8C47B7E4562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A61CBD-DC45-48FD-BCBF-0012D4C9DC7B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E48A61-084F-4688-80A5-DB37311B5D7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4E73E2-0106-49F9-8E86-3569E1145F61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22EED9-7987-4C51-8958-9B5F1F499FEE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DFACEC-75BF-4186-8F92-6CB186CBEE9B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A9361E-C2A9-44C0-BBE1-6CAB3C2F57C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F55107-381D-4AF3-A954-4219A88E1C3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2C4992-0566-41A9-BED0-C073B325576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731006-6D57-4F61-BC55-46E7DEA7851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3B70C0-A0FD-418C-9AF3-8A678569D91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A20FD3-F34C-4F39-9EE8-D22BEDB768F1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B0C10C-10C8-4B68-BE7E-003CF807D61E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714375" cy="304800"/>
    <xdr:sp macro="" textlink="">
      <xdr:nvSpPr>
        <xdr:cNvPr id="6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C13681-512D-403E-B525-FEFFB5D44989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E9BEF2-E250-44DA-B96F-44D1D0D9C09E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32AAF2-8ADA-4BFE-BDAA-9DD9530A1023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0DE6E4-3276-49B7-A93D-ABC8111AF888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F76950-4736-42E1-8711-8266A9263A32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59D3F4-1C19-418B-9576-BEBF69C4B256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714375" cy="304800"/>
    <xdr:sp macro="" textlink="">
      <xdr:nvSpPr>
        <xdr:cNvPr id="6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D284F1-2EB8-4B12-87BF-43CF331DE96E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DD0CE2-361E-4C8B-9FDF-254297DBBABA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C8489E-71CF-44D0-ACA8-1A69EBC2516B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71D19B-9BE0-43F4-A208-290329F5A31A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D9C5EB-51B0-4E6A-ACB9-D2602CF578ED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240670-5D2C-4D42-94F6-17423A76B39C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C386D6-6EDF-48BC-A2B7-9C26E3EEFA38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ED7C92-5F4C-4E19-8013-E30511C3FC39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DC6683-7543-4F0F-853E-22F64428A10E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A62CE6-8749-4ED7-B719-188E31BBBD86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BF87C7-E073-4CA8-BA45-166B23B829AE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902A4B-8968-4D75-9340-44DBC3E87D78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FF39A7-5833-4987-AFA4-68183830F5D2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F35E8C-E9B8-439A-8DAA-BEE55838A41E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B9EFFB-4FD6-460C-8C98-606F87FD0917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681942-DF91-40D9-9C0D-DA6DB9BAC775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F63314-B089-4D87-AC28-E15E6B5F3CF4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830F1E-86D9-46DC-BE32-0026E2995396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82A609-A6CD-4F0A-8955-802260AD6948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97E22A-E80F-48D8-9A59-9A2EBD59576D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48C306-76EC-4317-84DC-242371B29C9D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714375" cy="304800"/>
    <xdr:sp macro="" textlink="">
      <xdr:nvSpPr>
        <xdr:cNvPr id="6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9B08DA-7FED-4FEB-9D11-6AFDD6BFDF1F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7708F4-59D6-46BB-BAD5-D4E1D7D8E5A8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400F57-4D5F-4D0E-8494-09463719A8F8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CFA9E2-7728-4774-B6A4-45E50A66D218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56FE67-80B7-43C6-94F2-CFA91DE1D2C9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7100B0-288A-418A-AE33-7B61A116D0DE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714375" cy="304800"/>
    <xdr:sp macro="" textlink="">
      <xdr:nvSpPr>
        <xdr:cNvPr id="6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C86398-8F79-409F-BBFE-2BCCB8757293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A1665C-2E02-4BB3-9A53-7F0550820195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EC6CC8-070A-4832-9068-86990AD0C63E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124EBE-B9A5-4C36-B374-95012E217550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7C4E06-B499-47CD-B32A-A094E9AC6AB3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814085-B6C4-4AA0-877B-0EDBBC6A2FBF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EB4B82-9BC2-4E21-8A94-C918C7852195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8C845A-3813-4E1C-A454-FE88010410C2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100583-6A52-4674-9F21-77AA2E78E0F6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856B11-C432-42B7-96F6-4515DB938C70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430418-8D66-4B50-B11C-7CFB33B5942B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9366E0-CC2D-4C82-81C9-305A3775FC43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FE7E7B-DD41-4298-B9C8-E79341579456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204CD9-B7BD-42DA-B87D-D25F0D00AFBF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CAED98-E616-4DAF-8EAA-6E0A96455A13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EE7A86-9AC7-40A3-B384-6B3B8DF8DE28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091948-A2A5-46AD-BFB5-53CF61B964E7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B53AA8-4CC0-4956-BD2D-4D4133EFE922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8395B1-569F-476F-847A-CFA312601FA3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940A82-B63C-4F51-B988-8A6CAB216F28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C9714C-6DA1-4C03-8ACA-943A8DEA23ED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714375" cy="304800"/>
    <xdr:sp macro="" textlink="">
      <xdr:nvSpPr>
        <xdr:cNvPr id="6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8F6159-C10C-4BBF-9365-1D36FE99141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714375" cy="304800"/>
    <xdr:sp macro="" textlink="">
      <xdr:nvSpPr>
        <xdr:cNvPr id="6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235DF4-F16E-47B7-92B9-6C591C37425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714375" cy="304800"/>
    <xdr:sp macro="" textlink="">
      <xdr:nvSpPr>
        <xdr:cNvPr id="6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C05C7E-D29B-4CC8-B5BA-2FF99D16061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714375" cy="304800"/>
    <xdr:sp macro="" textlink="">
      <xdr:nvSpPr>
        <xdr:cNvPr id="6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605842-66AB-4FBC-A76C-BEA2ECF79081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714375" cy="304800"/>
    <xdr:sp macro="" textlink="">
      <xdr:nvSpPr>
        <xdr:cNvPr id="6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48697A-3067-461D-AD15-5CBBF1FBC45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714375" cy="304800"/>
    <xdr:sp macro="" textlink="">
      <xdr:nvSpPr>
        <xdr:cNvPr id="6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B873F2-3799-416D-9ECD-69EAE46917FD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714375" cy="304800"/>
    <xdr:sp macro="" textlink="">
      <xdr:nvSpPr>
        <xdr:cNvPr id="6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1FFB08-A0AD-4D0C-9056-0B34CC10612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714375" cy="304800"/>
    <xdr:sp macro="" textlink="">
      <xdr:nvSpPr>
        <xdr:cNvPr id="6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59BAA4-C9F9-4B6E-AF75-A3F6233490CD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714375" cy="304800"/>
    <xdr:sp macro="" textlink="">
      <xdr:nvSpPr>
        <xdr:cNvPr id="6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25A783-C63A-40A6-9229-586ADD41537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714375" cy="304800"/>
    <xdr:sp macro="" textlink="">
      <xdr:nvSpPr>
        <xdr:cNvPr id="6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83DEF7-F897-4396-93E3-8C66B99DCC8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1DE8D-9B27-43A7-9314-4504D93944EC}">
  <dimension ref="A1:AR125"/>
  <sheetViews>
    <sheetView tabSelected="1" workbookViewId="0">
      <pane xSplit="1" topLeftCell="B1" activePane="topRight" state="frozen"/>
      <selection pane="topRight" activeCell="E16" sqref="E16:G16"/>
    </sheetView>
  </sheetViews>
  <sheetFormatPr defaultRowHeight="15" x14ac:dyDescent="0.25"/>
  <cols>
    <col min="1" max="1" width="46.85546875" customWidth="1"/>
    <col min="2" max="2" width="5.5703125" customWidth="1"/>
    <col min="3" max="3" width="0" hidden="1" customWidth="1"/>
    <col min="4" max="4" width="13.140625" customWidth="1"/>
    <col min="5" max="6" width="3.5703125" customWidth="1"/>
    <col min="7" max="7" width="10.7109375" bestFit="1" customWidth="1"/>
    <col min="8" max="8" width="3.5703125" bestFit="1" customWidth="1"/>
    <col min="9" max="9" width="3.5703125" customWidth="1"/>
    <col min="10" max="10" width="10.7109375" customWidth="1"/>
    <col min="11" max="11" width="3.5703125" bestFit="1" customWidth="1"/>
    <col min="12" max="12" width="3.5703125" customWidth="1"/>
    <col min="13" max="13" width="10.7109375" customWidth="1"/>
    <col min="14" max="15" width="3.5703125" bestFit="1" customWidth="1"/>
    <col min="16" max="16" width="10.7109375" customWidth="1"/>
    <col min="17" max="17" width="3.5703125" bestFit="1" customWidth="1"/>
    <col min="18" max="18" width="3.5703125" customWidth="1"/>
    <col min="19" max="19" width="10.7109375" customWidth="1"/>
    <col min="20" max="20" width="3.5703125" bestFit="1" customWidth="1"/>
    <col min="21" max="21" width="4.140625" bestFit="1" customWidth="1"/>
    <col min="22" max="22" width="10.7109375" customWidth="1"/>
    <col min="23" max="23" width="3.5703125" bestFit="1" customWidth="1"/>
    <col min="24" max="24" width="4.140625" bestFit="1" customWidth="1"/>
    <col min="25" max="25" width="10.7109375" customWidth="1"/>
    <col min="26" max="26" width="3.7109375" bestFit="1" customWidth="1"/>
    <col min="27" max="27" width="4.7109375" bestFit="1" customWidth="1"/>
    <col min="28" max="28" width="10.7109375" customWidth="1"/>
    <col min="29" max="29" width="3.5703125" bestFit="1" customWidth="1"/>
    <col min="30" max="30" width="4" bestFit="1" customWidth="1"/>
    <col min="31" max="31" width="10.7109375" customWidth="1"/>
    <col min="32" max="32" width="4.140625" customWidth="1"/>
    <col min="33" max="33" width="3.7109375" customWidth="1"/>
    <col min="34" max="34" width="10.7109375" customWidth="1"/>
    <col min="35" max="35" width="3.7109375" customWidth="1"/>
    <col min="36" max="36" width="4" customWidth="1"/>
    <col min="37" max="37" width="10.7109375" customWidth="1"/>
    <col min="38" max="38" width="4.7109375" bestFit="1" customWidth="1"/>
    <col min="39" max="39" width="5.7109375" bestFit="1" customWidth="1"/>
    <col min="40" max="40" width="11.7109375" bestFit="1" customWidth="1"/>
    <col min="41" max="41" width="10.42578125" bestFit="1" customWidth="1"/>
    <col min="42" max="42" width="6.140625" customWidth="1"/>
    <col min="43" max="43" width="16.28515625" customWidth="1"/>
  </cols>
  <sheetData>
    <row r="1" spans="1:43" x14ac:dyDescent="0.2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</row>
    <row r="2" spans="1:43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</row>
    <row r="3" spans="1:43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</row>
    <row r="4" spans="1:43" x14ac:dyDescent="0.2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</row>
    <row r="5" spans="1:43" x14ac:dyDescent="0.25">
      <c r="A5" s="73" t="s">
        <v>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</row>
    <row r="6" spans="1:43" ht="24" customHeight="1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</row>
    <row r="7" spans="1:43" x14ac:dyDescent="0.2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</row>
    <row r="8" spans="1:43" x14ac:dyDescent="0.2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</row>
    <row r="9" spans="1:43" ht="15.75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</row>
    <row r="10" spans="1:43" x14ac:dyDescent="0.25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</row>
    <row r="11" spans="1:43" x14ac:dyDescent="0.25">
      <c r="A11" s="1" t="s">
        <v>1</v>
      </c>
      <c r="B11" s="78" t="s">
        <v>2</v>
      </c>
      <c r="C11" s="78"/>
      <c r="D11" s="78"/>
      <c r="E11" s="78" t="s">
        <v>3</v>
      </c>
      <c r="F11" s="78"/>
      <c r="G11" s="78"/>
      <c r="H11" s="79" t="s">
        <v>4</v>
      </c>
      <c r="I11" s="80"/>
      <c r="J11" s="81"/>
      <c r="K11" s="79" t="s">
        <v>5</v>
      </c>
      <c r="L11" s="80"/>
      <c r="M11" s="81"/>
      <c r="N11" s="79" t="s">
        <v>6</v>
      </c>
      <c r="O11" s="80"/>
      <c r="P11" s="81"/>
      <c r="Q11" s="79" t="s">
        <v>7</v>
      </c>
      <c r="R11" s="80"/>
      <c r="S11" s="81"/>
      <c r="T11" s="79" t="s">
        <v>8</v>
      </c>
      <c r="U11" s="80"/>
      <c r="V11" s="81"/>
      <c r="W11" s="79" t="s">
        <v>9</v>
      </c>
      <c r="X11" s="80"/>
      <c r="Y11" s="81"/>
      <c r="Z11" s="79" t="s">
        <v>10</v>
      </c>
      <c r="AA11" s="80"/>
      <c r="AB11" s="81"/>
      <c r="AC11" s="79" t="s">
        <v>11</v>
      </c>
      <c r="AD11" s="80"/>
      <c r="AE11" s="81"/>
      <c r="AF11" s="79" t="s">
        <v>12</v>
      </c>
      <c r="AG11" s="80"/>
      <c r="AH11" s="81"/>
      <c r="AI11" s="2"/>
      <c r="AJ11" s="2"/>
      <c r="AK11" s="2"/>
      <c r="AL11" s="79" t="s">
        <v>13</v>
      </c>
      <c r="AM11" s="80"/>
      <c r="AN11" s="81"/>
      <c r="AO11" s="98" t="s">
        <v>14</v>
      </c>
      <c r="AP11" s="98"/>
      <c r="AQ11" s="98"/>
    </row>
    <row r="12" spans="1:43" x14ac:dyDescent="0.25">
      <c r="A12" s="3" t="s">
        <v>15</v>
      </c>
      <c r="B12" s="85">
        <f>B13+B14+B15</f>
        <v>9586.0300000000007</v>
      </c>
      <c r="C12" s="86"/>
      <c r="D12" s="87"/>
      <c r="E12" s="99"/>
      <c r="F12" s="100"/>
      <c r="G12" s="101"/>
      <c r="H12" s="4"/>
      <c r="I12" s="5"/>
      <c r="J12" s="6"/>
      <c r="K12" s="5"/>
      <c r="L12" s="5"/>
      <c r="M12" s="5"/>
      <c r="N12" s="82"/>
      <c r="O12" s="83"/>
      <c r="P12" s="84"/>
      <c r="Q12" s="82"/>
      <c r="R12" s="83"/>
      <c r="S12" s="84"/>
      <c r="T12" s="82"/>
      <c r="U12" s="83"/>
      <c r="V12" s="84"/>
      <c r="W12" s="95"/>
      <c r="X12" s="96"/>
      <c r="Y12" s="97"/>
      <c r="Z12" s="95"/>
      <c r="AA12" s="96"/>
      <c r="AB12" s="97"/>
      <c r="AC12" s="82"/>
      <c r="AD12" s="83"/>
      <c r="AE12" s="84"/>
      <c r="AF12" s="82"/>
      <c r="AG12" s="83"/>
      <c r="AH12" s="84"/>
      <c r="AI12" s="95"/>
      <c r="AJ12" s="96"/>
      <c r="AK12" s="97"/>
      <c r="AL12" s="85">
        <f>9586.03</f>
        <v>9586.0300000000007</v>
      </c>
      <c r="AM12" s="86"/>
      <c r="AN12" s="87"/>
      <c r="AO12" s="88">
        <f>9586.03</f>
        <v>9586.0300000000007</v>
      </c>
      <c r="AP12" s="88"/>
      <c r="AQ12" s="88"/>
    </row>
    <row r="13" spans="1:43" x14ac:dyDescent="0.25">
      <c r="A13" s="7" t="s">
        <v>16</v>
      </c>
      <c r="B13" s="89">
        <f>13836</f>
        <v>13836</v>
      </c>
      <c r="C13" s="90"/>
      <c r="D13" s="91"/>
      <c r="E13" s="92"/>
      <c r="F13" s="93"/>
      <c r="G13" s="94"/>
      <c r="H13" s="8"/>
      <c r="I13" s="9"/>
      <c r="J13" s="10"/>
      <c r="K13" s="9"/>
      <c r="L13" s="9"/>
      <c r="M13" s="9"/>
      <c r="N13" s="82"/>
      <c r="O13" s="83"/>
      <c r="P13" s="84"/>
      <c r="Q13" s="82"/>
      <c r="R13" s="83"/>
      <c r="S13" s="84"/>
      <c r="T13" s="82"/>
      <c r="U13" s="83"/>
      <c r="V13" s="84"/>
      <c r="W13" s="95"/>
      <c r="X13" s="96"/>
      <c r="Y13" s="97"/>
      <c r="Z13" s="95"/>
      <c r="AA13" s="96"/>
      <c r="AB13" s="97"/>
      <c r="AC13" s="82"/>
      <c r="AD13" s="83"/>
      <c r="AE13" s="84"/>
      <c r="AF13" s="82"/>
      <c r="AG13" s="83"/>
      <c r="AH13" s="84"/>
      <c r="AI13" s="95"/>
      <c r="AJ13" s="96"/>
      <c r="AK13" s="97"/>
      <c r="AL13" s="89"/>
      <c r="AM13" s="90"/>
      <c r="AN13" s="91"/>
      <c r="AO13" s="106"/>
      <c r="AP13" s="106"/>
      <c r="AQ13" s="106"/>
    </row>
    <row r="14" spans="1:43" x14ac:dyDescent="0.25">
      <c r="A14" s="7" t="s">
        <v>17</v>
      </c>
      <c r="B14" s="89">
        <f>642.76</f>
        <v>642.76</v>
      </c>
      <c r="C14" s="90"/>
      <c r="D14" s="91"/>
      <c r="E14" s="92"/>
      <c r="F14" s="93"/>
      <c r="G14" s="94"/>
      <c r="H14" s="8"/>
      <c r="I14" s="9"/>
      <c r="J14" s="10"/>
      <c r="K14" s="9"/>
      <c r="L14" s="9"/>
      <c r="M14" s="9"/>
      <c r="N14" s="82"/>
      <c r="O14" s="83"/>
      <c r="P14" s="84"/>
      <c r="Q14" s="82"/>
      <c r="R14" s="83"/>
      <c r="S14" s="84"/>
      <c r="T14" s="82"/>
      <c r="U14" s="83"/>
      <c r="V14" s="84"/>
      <c r="W14" s="95"/>
      <c r="X14" s="96"/>
      <c r="Y14" s="97"/>
      <c r="Z14" s="95"/>
      <c r="AA14" s="96"/>
      <c r="AB14" s="97"/>
      <c r="AC14" s="82"/>
      <c r="AD14" s="83"/>
      <c r="AE14" s="84"/>
      <c r="AF14" s="82"/>
      <c r="AG14" s="83"/>
      <c r="AH14" s="84"/>
      <c r="AI14" s="95"/>
      <c r="AJ14" s="96"/>
      <c r="AK14" s="97"/>
      <c r="AL14" s="89"/>
      <c r="AM14" s="90"/>
      <c r="AN14" s="91"/>
      <c r="AO14" s="102"/>
      <c r="AP14" s="102"/>
      <c r="AQ14" s="102"/>
    </row>
    <row r="15" spans="1:43" x14ac:dyDescent="0.25">
      <c r="A15" s="7" t="s">
        <v>18</v>
      </c>
      <c r="B15" s="89">
        <f>-4892.73</f>
        <v>-4892.7299999999996</v>
      </c>
      <c r="C15" s="90"/>
      <c r="D15" s="91"/>
      <c r="E15" s="92"/>
      <c r="F15" s="93"/>
      <c r="G15" s="94"/>
      <c r="H15" s="8"/>
      <c r="I15" s="9"/>
      <c r="J15" s="10"/>
      <c r="K15" s="103"/>
      <c r="L15" s="104"/>
      <c r="M15" s="105"/>
      <c r="N15" s="82"/>
      <c r="O15" s="83"/>
      <c r="P15" s="84"/>
      <c r="Q15" s="82" t="s">
        <v>19</v>
      </c>
      <c r="R15" s="83"/>
      <c r="S15" s="84"/>
      <c r="T15" s="82"/>
      <c r="U15" s="83"/>
      <c r="V15" s="84"/>
      <c r="W15" s="95"/>
      <c r="X15" s="96"/>
      <c r="Y15" s="97"/>
      <c r="Z15" s="95"/>
      <c r="AA15" s="96"/>
      <c r="AB15" s="97"/>
      <c r="AC15" s="82"/>
      <c r="AD15" s="83"/>
      <c r="AE15" s="84"/>
      <c r="AF15" s="82"/>
      <c r="AG15" s="83"/>
      <c r="AH15" s="84"/>
      <c r="AI15" s="95"/>
      <c r="AJ15" s="96"/>
      <c r="AK15" s="97"/>
      <c r="AL15" s="89"/>
      <c r="AM15" s="90"/>
      <c r="AN15" s="91"/>
      <c r="AO15" s="102"/>
      <c r="AP15" s="102"/>
      <c r="AQ15" s="102"/>
    </row>
    <row r="16" spans="1:43" x14ac:dyDescent="0.25">
      <c r="A16" s="11" t="s">
        <v>20</v>
      </c>
      <c r="B16" s="126">
        <f>4186449.06</f>
        <v>4186449.06</v>
      </c>
      <c r="C16" s="127"/>
      <c r="D16" s="128"/>
      <c r="E16" s="129"/>
      <c r="F16" s="130"/>
      <c r="G16" s="131"/>
      <c r="H16" s="12"/>
      <c r="I16" s="13"/>
      <c r="J16" s="14"/>
      <c r="K16" s="13"/>
      <c r="L16" s="13"/>
      <c r="M16" s="13"/>
      <c r="N16" s="132"/>
      <c r="O16" s="133"/>
      <c r="P16" s="134"/>
      <c r="Q16" s="129"/>
      <c r="R16" s="130"/>
      <c r="S16" s="131"/>
      <c r="T16" s="129"/>
      <c r="U16" s="130"/>
      <c r="V16" s="131"/>
      <c r="W16" s="132"/>
      <c r="X16" s="133"/>
      <c r="Y16" s="134"/>
      <c r="Z16" s="132"/>
      <c r="AA16" s="133"/>
      <c r="AB16" s="134"/>
      <c r="AC16" s="15"/>
      <c r="AD16" s="15"/>
      <c r="AE16" s="15"/>
      <c r="AF16" s="15"/>
      <c r="AG16" s="15"/>
      <c r="AH16" s="15"/>
      <c r="AI16" s="15"/>
      <c r="AJ16" s="15"/>
      <c r="AK16" s="15"/>
      <c r="AL16" s="126">
        <f>AN27</f>
        <v>852379.47000000009</v>
      </c>
      <c r="AM16" s="127"/>
      <c r="AN16" s="128"/>
      <c r="AO16" s="135">
        <f>AQ27</f>
        <v>5038828.53</v>
      </c>
      <c r="AP16" s="135"/>
      <c r="AQ16" s="135"/>
    </row>
    <row r="17" spans="1:43" x14ac:dyDescent="0.25">
      <c r="A17" s="16" t="s">
        <v>21</v>
      </c>
      <c r="B17" s="110">
        <f>2036201.14</f>
        <v>2036201.14</v>
      </c>
      <c r="C17" s="111"/>
      <c r="D17" s="112"/>
      <c r="E17" s="123"/>
      <c r="F17" s="124"/>
      <c r="G17" s="125"/>
      <c r="H17" s="17"/>
      <c r="I17" s="18"/>
      <c r="J17" s="19"/>
      <c r="K17" s="18"/>
      <c r="L17" s="18"/>
      <c r="M17" s="18"/>
      <c r="N17" s="107"/>
      <c r="O17" s="108"/>
      <c r="P17" s="109"/>
      <c r="Q17" s="123"/>
      <c r="R17" s="124"/>
      <c r="S17" s="125"/>
      <c r="T17" s="123"/>
      <c r="U17" s="124"/>
      <c r="V17" s="125"/>
      <c r="W17" s="107"/>
      <c r="X17" s="108"/>
      <c r="Y17" s="109"/>
      <c r="Z17" s="107"/>
      <c r="AA17" s="108"/>
      <c r="AB17" s="109"/>
      <c r="AC17" s="20"/>
      <c r="AD17" s="20"/>
      <c r="AE17" s="20"/>
      <c r="AF17" s="20"/>
      <c r="AG17" s="20"/>
      <c r="AH17" s="20"/>
      <c r="AI17" s="20"/>
      <c r="AJ17" s="20"/>
      <c r="AK17" s="20"/>
      <c r="AL17" s="110">
        <f>AL103</f>
        <v>708900.89999999991</v>
      </c>
      <c r="AM17" s="111"/>
      <c r="AN17" s="112"/>
      <c r="AO17" s="113">
        <f>AP103</f>
        <v>2745102.04</v>
      </c>
      <c r="AP17" s="113"/>
      <c r="AQ17" s="113"/>
    </row>
    <row r="18" spans="1:43" x14ac:dyDescent="0.25">
      <c r="A18" s="11" t="s">
        <v>22</v>
      </c>
      <c r="B18" s="114">
        <f>B16-B17+B12</f>
        <v>2159833.9499999997</v>
      </c>
      <c r="C18" s="115"/>
      <c r="D18" s="116"/>
      <c r="E18" s="117"/>
      <c r="F18" s="118"/>
      <c r="G18" s="119"/>
      <c r="H18" s="21"/>
      <c r="I18" s="22"/>
      <c r="J18" s="23"/>
      <c r="K18" s="22"/>
      <c r="L18" s="22"/>
      <c r="M18" s="22"/>
      <c r="N18" s="120"/>
      <c r="O18" s="121"/>
      <c r="P18" s="122"/>
      <c r="Q18" s="117"/>
      <c r="R18" s="118"/>
      <c r="S18" s="119"/>
      <c r="T18" s="117"/>
      <c r="U18" s="118"/>
      <c r="V18" s="119"/>
      <c r="W18" s="120"/>
      <c r="X18" s="121"/>
      <c r="Y18" s="122"/>
      <c r="Z18" s="120"/>
      <c r="AA18" s="121"/>
      <c r="AB18" s="122"/>
      <c r="AC18" s="24"/>
      <c r="AD18" s="24"/>
      <c r="AE18" s="24"/>
      <c r="AF18" s="24"/>
      <c r="AG18" s="24"/>
      <c r="AH18" s="24"/>
      <c r="AI18" s="24"/>
      <c r="AJ18" s="24"/>
      <c r="AK18" s="24">
        <f>0.01+0.01+0.13+0.01+4+80+80</f>
        <v>164.16</v>
      </c>
      <c r="AL18" s="114">
        <f>AL16-AL17</f>
        <v>143478.57000000018</v>
      </c>
      <c r="AM18" s="115"/>
      <c r="AN18" s="116"/>
      <c r="AO18" s="141">
        <f>AO16-AO17+AO12</f>
        <v>2303312.52</v>
      </c>
      <c r="AP18" s="141"/>
      <c r="AQ18" s="141"/>
    </row>
    <row r="19" spans="1:43" x14ac:dyDescent="0.25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</row>
    <row r="20" spans="1:43" x14ac:dyDescent="0.25">
      <c r="A20" s="14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</row>
    <row r="21" spans="1:43" x14ac:dyDescent="0.25">
      <c r="A21" s="144" t="s">
        <v>23</v>
      </c>
      <c r="B21" s="78" t="s">
        <v>2</v>
      </c>
      <c r="C21" s="78"/>
      <c r="D21" s="78"/>
      <c r="E21" s="79" t="s">
        <v>3</v>
      </c>
      <c r="F21" s="80"/>
      <c r="G21" s="81"/>
      <c r="H21" s="79" t="s">
        <v>4</v>
      </c>
      <c r="I21" s="80"/>
      <c r="J21" s="81"/>
      <c r="K21" s="79" t="s">
        <v>5</v>
      </c>
      <c r="L21" s="80"/>
      <c r="M21" s="81"/>
      <c r="N21" s="79" t="s">
        <v>6</v>
      </c>
      <c r="O21" s="80"/>
      <c r="P21" s="81"/>
      <c r="Q21" s="79" t="s">
        <v>7</v>
      </c>
      <c r="R21" s="80"/>
      <c r="S21" s="81"/>
      <c r="T21" s="79" t="s">
        <v>8</v>
      </c>
      <c r="U21" s="80"/>
      <c r="V21" s="81"/>
      <c r="W21" s="79" t="s">
        <v>9</v>
      </c>
      <c r="X21" s="80"/>
      <c r="Y21" s="81"/>
      <c r="Z21" s="79" t="s">
        <v>10</v>
      </c>
      <c r="AA21" s="80"/>
      <c r="AB21" s="81"/>
      <c r="AC21" s="79" t="s">
        <v>11</v>
      </c>
      <c r="AD21" s="80"/>
      <c r="AE21" s="81"/>
      <c r="AF21" s="79" t="s">
        <v>12</v>
      </c>
      <c r="AG21" s="80"/>
      <c r="AH21" s="81"/>
      <c r="AI21" s="79" t="s">
        <v>24</v>
      </c>
      <c r="AJ21" s="80"/>
      <c r="AK21" s="81"/>
      <c r="AL21" s="79" t="s">
        <v>13</v>
      </c>
      <c r="AM21" s="80"/>
      <c r="AN21" s="81"/>
      <c r="AO21" s="136" t="s">
        <v>25</v>
      </c>
      <c r="AP21" s="98" t="s">
        <v>14</v>
      </c>
      <c r="AQ21" s="98"/>
    </row>
    <row r="22" spans="1:43" x14ac:dyDescent="0.25">
      <c r="A22" s="145"/>
      <c r="B22" s="137" t="s">
        <v>26</v>
      </c>
      <c r="C22" s="138"/>
      <c r="D22" s="25" t="s">
        <v>27</v>
      </c>
      <c r="E22" s="25" t="s">
        <v>28</v>
      </c>
      <c r="F22" s="25" t="s">
        <v>29</v>
      </c>
      <c r="G22" s="25" t="s">
        <v>27</v>
      </c>
      <c r="H22" s="25" t="s">
        <v>28</v>
      </c>
      <c r="I22" s="25" t="s">
        <v>29</v>
      </c>
      <c r="J22" s="25"/>
      <c r="K22" s="25" t="s">
        <v>28</v>
      </c>
      <c r="L22" s="25" t="s">
        <v>29</v>
      </c>
      <c r="M22" s="25"/>
      <c r="N22" s="25" t="s">
        <v>28</v>
      </c>
      <c r="O22" s="25" t="s">
        <v>29</v>
      </c>
      <c r="P22" s="25"/>
      <c r="Q22" s="25" t="s">
        <v>28</v>
      </c>
      <c r="R22" s="25" t="s">
        <v>29</v>
      </c>
      <c r="S22" s="25"/>
      <c r="T22" s="25" t="s">
        <v>28</v>
      </c>
      <c r="U22" s="25" t="s">
        <v>29</v>
      </c>
      <c r="V22" s="25"/>
      <c r="W22" s="25" t="s">
        <v>28</v>
      </c>
      <c r="X22" s="25" t="s">
        <v>29</v>
      </c>
      <c r="Y22" s="25"/>
      <c r="Z22" s="25" t="s">
        <v>28</v>
      </c>
      <c r="AA22" s="25" t="s">
        <v>29</v>
      </c>
      <c r="AB22" s="25"/>
      <c r="AC22" s="25" t="s">
        <v>28</v>
      </c>
      <c r="AD22" s="25" t="s">
        <v>29</v>
      </c>
      <c r="AE22" s="25"/>
      <c r="AF22" s="25" t="s">
        <v>28</v>
      </c>
      <c r="AG22" s="25" t="s">
        <v>29</v>
      </c>
      <c r="AH22" s="25"/>
      <c r="AI22" s="25" t="s">
        <v>28</v>
      </c>
      <c r="AJ22" s="25" t="s">
        <v>29</v>
      </c>
      <c r="AK22" s="25"/>
      <c r="AL22" s="25" t="s">
        <v>28</v>
      </c>
      <c r="AM22" s="25" t="s">
        <v>29</v>
      </c>
      <c r="AN22" s="25" t="s">
        <v>27</v>
      </c>
      <c r="AO22" s="136"/>
      <c r="AP22" s="26" t="s">
        <v>26</v>
      </c>
      <c r="AQ22" s="26" t="s">
        <v>27</v>
      </c>
    </row>
    <row r="23" spans="1:43" x14ac:dyDescent="0.25">
      <c r="A23" s="27" t="s">
        <v>30</v>
      </c>
      <c r="B23" s="139">
        <v>158</v>
      </c>
      <c r="C23" s="140"/>
      <c r="D23" s="28">
        <f>17760.02+186880+2455.53+1205.11</f>
        <v>208300.65999999997</v>
      </c>
      <c r="E23" s="29"/>
      <c r="F23" s="29"/>
      <c r="G23" s="28"/>
      <c r="H23" s="29"/>
      <c r="I23" s="30"/>
      <c r="J23" s="28"/>
      <c r="K23" s="29"/>
      <c r="L23" s="30"/>
      <c r="M23" s="28"/>
      <c r="N23" s="29"/>
      <c r="O23" s="29"/>
      <c r="P23" s="28"/>
      <c r="Q23" s="29"/>
      <c r="R23" s="30"/>
      <c r="S23" s="28"/>
      <c r="T23" s="29"/>
      <c r="U23" s="30"/>
      <c r="V23" s="28"/>
      <c r="W23" s="29"/>
      <c r="X23" s="29"/>
      <c r="Y23" s="28"/>
      <c r="Z23" s="29"/>
      <c r="AA23" s="29"/>
      <c r="AB23" s="28"/>
      <c r="AC23" s="29"/>
      <c r="AD23" s="30"/>
      <c r="AE23" s="28"/>
      <c r="AF23" s="29"/>
      <c r="AG23" s="30"/>
      <c r="AH23" s="28"/>
      <c r="AI23" s="29"/>
      <c r="AJ23" s="30"/>
      <c r="AK23" s="28"/>
      <c r="AL23" s="29"/>
      <c r="AM23" s="30"/>
      <c r="AN23" s="31"/>
      <c r="AO23" s="32"/>
      <c r="AP23" s="33">
        <v>158</v>
      </c>
      <c r="AQ23" s="34">
        <f>208300.66</f>
        <v>208300.66</v>
      </c>
    </row>
    <row r="24" spans="1:43" x14ac:dyDescent="0.25">
      <c r="A24" s="7" t="s">
        <v>31</v>
      </c>
      <c r="B24" s="139">
        <v>5872</v>
      </c>
      <c r="C24" s="140"/>
      <c r="D24" s="28">
        <f>3713342.03</f>
        <v>3713342.03</v>
      </c>
      <c r="E24" s="29">
        <f>-10</f>
        <v>-10</v>
      </c>
      <c r="F24" s="29">
        <v>9</v>
      </c>
      <c r="G24" s="35">
        <f>40+40+120+20+115920+40+127.33</f>
        <v>116307.33</v>
      </c>
      <c r="H24" s="29">
        <v>-8</v>
      </c>
      <c r="I24" s="30">
        <v>20</v>
      </c>
      <c r="J24" s="35">
        <f>20+60+80+80+80+80+180+114720+280</f>
        <v>115580</v>
      </c>
      <c r="K24" s="29">
        <v>-7</v>
      </c>
      <c r="L24" s="30">
        <v>17</v>
      </c>
      <c r="M24" s="35">
        <f>80+40+80+40+80+360+80+80+60+80+80+40+80+40+1700+20+80+80+80+80+80+80+80+80</f>
        <v>3580</v>
      </c>
      <c r="N24" s="29">
        <v>-16</v>
      </c>
      <c r="O24" s="29">
        <v>9</v>
      </c>
      <c r="P24" s="35">
        <f>520+120+400+80+20+30+80+20+116620+100+60+160</f>
        <v>118210</v>
      </c>
      <c r="Q24" s="29">
        <v>-16</v>
      </c>
      <c r="R24" s="30">
        <v>13</v>
      </c>
      <c r="S24" s="35">
        <f>100+140+100+100+80+160+80+80+20+60+40+100+140+40+220+620</f>
        <v>2080</v>
      </c>
      <c r="T24" s="29">
        <v>-21</v>
      </c>
      <c r="U24" s="30">
        <v>132</v>
      </c>
      <c r="V24" s="35">
        <f>20+80+20+20+100+115940+40+280+40+40</f>
        <v>116580</v>
      </c>
      <c r="W24" s="29">
        <v>-22</v>
      </c>
      <c r="X24" s="29">
        <v>347</v>
      </c>
      <c r="Y24" s="35">
        <f>240+140+120+80+65+90+20+280</f>
        <v>1035</v>
      </c>
      <c r="Z24" s="29">
        <v>-29</v>
      </c>
      <c r="AA24" s="29">
        <v>721</v>
      </c>
      <c r="AB24" s="35">
        <f>160+65+120+80+20+60+120+80+40+80+20+120+120+140+125200+20</f>
        <v>126445</v>
      </c>
      <c r="AC24" s="29">
        <v>-14</v>
      </c>
      <c r="AD24" s="36">
        <v>175</v>
      </c>
      <c r="AE24" s="35">
        <f>180+140+60+20+20+4680+1480</f>
        <v>6580</v>
      </c>
      <c r="AF24" s="29">
        <v>-13</v>
      </c>
      <c r="AG24" s="36">
        <v>60</v>
      </c>
      <c r="AH24" s="35">
        <f>20+4305+60+160+100+60+136+160+20+40+900+137200</f>
        <v>143161</v>
      </c>
      <c r="AI24" s="29">
        <v>-7</v>
      </c>
      <c r="AJ24" s="36">
        <v>94</v>
      </c>
      <c r="AK24" s="35">
        <f>4864.16</f>
        <v>4864.16</v>
      </c>
      <c r="AL24" s="29">
        <f>-10-8-7-16-16-21-22-29-14-13-7</f>
        <v>-163</v>
      </c>
      <c r="AM24" s="36">
        <f>9+20+17+9+13+132+347+721+175+60+94</f>
        <v>1597</v>
      </c>
      <c r="AN24" s="31">
        <f>0+G24+J24+M24+P24+S24+V24+Y24+AB24+AE24+AH24+AK24</f>
        <v>754422.49000000011</v>
      </c>
      <c r="AO24" s="37">
        <f>AN24/AN27</f>
        <v>0.88507820349075284</v>
      </c>
      <c r="AP24" s="38">
        <f>5872+AL24+AM24</f>
        <v>7306</v>
      </c>
      <c r="AQ24" s="39">
        <f>3713342.03+AN24</f>
        <v>4467764.5199999996</v>
      </c>
    </row>
    <row r="25" spans="1:43" x14ac:dyDescent="0.25">
      <c r="A25" s="40" t="s">
        <v>32</v>
      </c>
      <c r="B25" s="139"/>
      <c r="C25" s="140"/>
      <c r="D25" s="28">
        <f>263771.64</f>
        <v>263771.64</v>
      </c>
      <c r="E25" s="29"/>
      <c r="F25" s="29"/>
      <c r="G25" s="35">
        <f>3456.99+2528.85+1258.22+447.4</f>
        <v>7691.46</v>
      </c>
      <c r="H25" s="29"/>
      <c r="I25" s="30"/>
      <c r="J25" s="35">
        <f>2097.79+989.67+2306.35</f>
        <v>5393.8099999999995</v>
      </c>
      <c r="K25" s="29"/>
      <c r="L25" s="30"/>
      <c r="M25" s="35">
        <f>2670.71+1353.08+748.68</f>
        <v>4772.47</v>
      </c>
      <c r="N25" s="29"/>
      <c r="O25" s="29"/>
      <c r="P25" s="35">
        <f>994.9+25.38+2243.52</f>
        <v>3263.8</v>
      </c>
      <c r="Q25" s="29"/>
      <c r="R25" s="30"/>
      <c r="S25" s="35">
        <f>766.4+2494.19+209.71+1884.67</f>
        <v>5354.97</v>
      </c>
      <c r="T25" s="29"/>
      <c r="U25" s="30"/>
      <c r="V25" s="35">
        <f>573.82+1968.57+184.59+1703.34</f>
        <v>4430.32</v>
      </c>
      <c r="W25" s="29"/>
      <c r="X25" s="29"/>
      <c r="Y25" s="35">
        <f>397.83+2362.86+161.21+2538.73</f>
        <v>5460.63</v>
      </c>
      <c r="Z25" s="29"/>
      <c r="AA25" s="29"/>
      <c r="AB25" s="35">
        <f>282.95+1202.2+129.87+1317.95</f>
        <v>2932.9700000000003</v>
      </c>
      <c r="AC25" s="29"/>
      <c r="AD25" s="30"/>
      <c r="AE25" s="35">
        <f>94.92-256.33-73.63+1288</f>
        <v>1052.96</v>
      </c>
      <c r="AF25" s="29"/>
      <c r="AG25" s="30"/>
      <c r="AH25" s="35">
        <f>23.74+111.2+903.26+1289.93</f>
        <v>2328.13</v>
      </c>
      <c r="AI25" s="29"/>
      <c r="AJ25" s="30"/>
      <c r="AK25" s="35">
        <f>1230.29+61.05+1658.2+85.92</f>
        <v>3035.46</v>
      </c>
      <c r="AL25" s="29"/>
      <c r="AM25" s="30"/>
      <c r="AN25" s="31">
        <f>0+G25+J25+M25+P25+S25+V25+Y25+AB25+AE25+AH25+AK25</f>
        <v>45716.979999999996</v>
      </c>
      <c r="AO25" s="37">
        <f>AN25/AN27</f>
        <v>5.3634539086212379E-2</v>
      </c>
      <c r="AP25" s="30"/>
      <c r="AQ25" s="39">
        <f>263771.64+AN25</f>
        <v>309488.62</v>
      </c>
    </row>
    <row r="26" spans="1:43" x14ac:dyDescent="0.25">
      <c r="A26" s="7" t="s">
        <v>126</v>
      </c>
      <c r="B26" s="139"/>
      <c r="C26" s="140"/>
      <c r="D26" s="28">
        <f>1034.73</f>
        <v>1034.73</v>
      </c>
      <c r="E26" s="29"/>
      <c r="F26" s="29"/>
      <c r="G26" s="28"/>
      <c r="H26" s="29"/>
      <c r="I26" s="30"/>
      <c r="J26" s="28"/>
      <c r="K26" s="29"/>
      <c r="L26" s="30"/>
      <c r="M26" s="28"/>
      <c r="N26" s="29"/>
      <c r="O26" s="29"/>
      <c r="P26" s="28"/>
      <c r="Q26" s="29"/>
      <c r="R26" s="30"/>
      <c r="S26" s="28"/>
      <c r="T26" s="29"/>
      <c r="U26" s="30"/>
      <c r="V26" s="28"/>
      <c r="W26" s="29"/>
      <c r="X26" s="29"/>
      <c r="Y26" s="28"/>
      <c r="Z26" s="29"/>
      <c r="AA26" s="29"/>
      <c r="AB26" s="28"/>
      <c r="AC26" s="29"/>
      <c r="AD26" s="30"/>
      <c r="AE26" s="28"/>
      <c r="AF26" s="29"/>
      <c r="AG26" s="30"/>
      <c r="AH26" s="28"/>
      <c r="AI26" s="29"/>
      <c r="AJ26" s="30"/>
      <c r="AK26" s="35">
        <f>52240</f>
        <v>52240</v>
      </c>
      <c r="AL26" s="29"/>
      <c r="AM26" s="30"/>
      <c r="AN26" s="31">
        <f>0+G26+AK26</f>
        <v>52240</v>
      </c>
      <c r="AO26" s="32">
        <f>AN26/AN27</f>
        <v>6.1287257423034827E-2</v>
      </c>
      <c r="AP26" s="41"/>
      <c r="AQ26" s="34">
        <f>1034.73+AN26</f>
        <v>53274.73</v>
      </c>
    </row>
    <row r="27" spans="1:43" x14ac:dyDescent="0.25">
      <c r="A27" s="42" t="s">
        <v>33</v>
      </c>
      <c r="B27" s="146">
        <f>SUM(B23:C26)</f>
        <v>6030</v>
      </c>
      <c r="C27" s="147"/>
      <c r="D27" s="43">
        <f>SUM(D23:D26)</f>
        <v>4186449.06</v>
      </c>
      <c r="E27" s="146">
        <f>B27+E24+F24</f>
        <v>6029</v>
      </c>
      <c r="F27" s="147"/>
      <c r="G27" s="43">
        <f>SUM(G23:G26)</f>
        <v>123998.79000000001</v>
      </c>
      <c r="H27" s="152">
        <f>E27+H24+I24</f>
        <v>6041</v>
      </c>
      <c r="I27" s="152"/>
      <c r="J27" s="43">
        <f>SUM(J24:J26)</f>
        <v>120973.81</v>
      </c>
      <c r="K27" s="152">
        <f>H27+K24+L24</f>
        <v>6051</v>
      </c>
      <c r="L27" s="152"/>
      <c r="M27" s="43">
        <f>SUM(M24:M26)</f>
        <v>8352.4700000000012</v>
      </c>
      <c r="N27" s="148">
        <f>K27+N24+O24</f>
        <v>6044</v>
      </c>
      <c r="O27" s="149"/>
      <c r="P27" s="43">
        <f>SUM(P24:P26)</f>
        <v>121473.8</v>
      </c>
      <c r="Q27" s="148">
        <f>N27+Q24+R24</f>
        <v>6041</v>
      </c>
      <c r="R27" s="149"/>
      <c r="S27" s="43">
        <f>SUM(S24:S26)</f>
        <v>7434.97</v>
      </c>
      <c r="T27" s="148">
        <f>Q27+T24+U24</f>
        <v>6152</v>
      </c>
      <c r="U27" s="149"/>
      <c r="V27" s="43">
        <f>SUM(V24:V26)</f>
        <v>121010.32</v>
      </c>
      <c r="W27" s="148">
        <f>T27+W24+X24</f>
        <v>6477</v>
      </c>
      <c r="X27" s="149"/>
      <c r="Y27" s="43">
        <f>SUM(Y24:Y26)</f>
        <v>6495.63</v>
      </c>
      <c r="Z27" s="148">
        <f>W27+Z24+AA24</f>
        <v>7169</v>
      </c>
      <c r="AA27" s="149"/>
      <c r="AB27" s="43">
        <f>SUM(AB23:AB26)</f>
        <v>129377.97</v>
      </c>
      <c r="AC27" s="152">
        <f>Z27+AC24+AD24</f>
        <v>7330</v>
      </c>
      <c r="AD27" s="152"/>
      <c r="AE27" s="43">
        <f>SUM(AE24:AE26)</f>
        <v>7632.96</v>
      </c>
      <c r="AF27" s="146">
        <f>AC27+AF24+AG24</f>
        <v>7377</v>
      </c>
      <c r="AG27" s="147"/>
      <c r="AH27" s="44">
        <f>SUM(AH24:AH26)</f>
        <v>145489.13</v>
      </c>
      <c r="AI27" s="148">
        <f>AF27+AI24+AJ24</f>
        <v>7464</v>
      </c>
      <c r="AJ27" s="149"/>
      <c r="AK27" s="44">
        <f>SUM(AK24:AK26)</f>
        <v>60139.62</v>
      </c>
      <c r="AL27" s="146">
        <f>B27+AL24+AM24</f>
        <v>7464</v>
      </c>
      <c r="AM27" s="147"/>
      <c r="AN27" s="43">
        <f>SUM(AN23:AN26)</f>
        <v>852379.47000000009</v>
      </c>
      <c r="AO27" s="45">
        <f>AN27/AN27</f>
        <v>1</v>
      </c>
      <c r="AP27" s="46">
        <f>SUM(AP23:AP26)</f>
        <v>7464</v>
      </c>
      <c r="AQ27" s="47">
        <f>SUM(AQ23:AQ26)</f>
        <v>5038828.53</v>
      </c>
    </row>
    <row r="28" spans="1:43" x14ac:dyDescent="0.25">
      <c r="A28" s="150"/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</row>
    <row r="29" spans="1:43" x14ac:dyDescent="0.25">
      <c r="A29" s="150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</row>
    <row r="30" spans="1:43" ht="15.75" x14ac:dyDescent="0.25">
      <c r="A30" s="76" t="s">
        <v>34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</row>
    <row r="31" spans="1:43" x14ac:dyDescent="0.25">
      <c r="A31" s="151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</row>
    <row r="32" spans="1:43" x14ac:dyDescent="0.25">
      <c r="A32" s="48" t="s">
        <v>21</v>
      </c>
      <c r="B32" s="78" t="s">
        <v>2</v>
      </c>
      <c r="C32" s="78"/>
      <c r="D32" s="78"/>
      <c r="E32" s="161" t="s">
        <v>3</v>
      </c>
      <c r="F32" s="162"/>
      <c r="G32" s="162"/>
      <c r="H32" s="161" t="s">
        <v>4</v>
      </c>
      <c r="I32" s="162"/>
      <c r="J32" s="163"/>
      <c r="K32" s="161" t="s">
        <v>5</v>
      </c>
      <c r="L32" s="162"/>
      <c r="M32" s="163"/>
      <c r="N32" s="161" t="s">
        <v>6</v>
      </c>
      <c r="O32" s="162"/>
      <c r="P32" s="163"/>
      <c r="Q32" s="79" t="s">
        <v>7</v>
      </c>
      <c r="R32" s="80"/>
      <c r="S32" s="81"/>
      <c r="T32" s="79" t="s">
        <v>8</v>
      </c>
      <c r="U32" s="80"/>
      <c r="V32" s="81"/>
      <c r="W32" s="79" t="s">
        <v>9</v>
      </c>
      <c r="X32" s="80"/>
      <c r="Y32" s="81"/>
      <c r="Z32" s="79" t="s">
        <v>10</v>
      </c>
      <c r="AA32" s="80"/>
      <c r="AB32" s="81"/>
      <c r="AC32" s="79" t="s">
        <v>11</v>
      </c>
      <c r="AD32" s="80"/>
      <c r="AE32" s="81"/>
      <c r="AF32" s="79" t="s">
        <v>12</v>
      </c>
      <c r="AG32" s="80"/>
      <c r="AH32" s="81"/>
      <c r="AI32" s="79" t="s">
        <v>24</v>
      </c>
      <c r="AJ32" s="80"/>
      <c r="AK32" s="81"/>
      <c r="AL32" s="79" t="s">
        <v>13</v>
      </c>
      <c r="AM32" s="80"/>
      <c r="AN32" s="81"/>
      <c r="AO32" s="49" t="s">
        <v>25</v>
      </c>
      <c r="AP32" s="98" t="s">
        <v>14</v>
      </c>
      <c r="AQ32" s="98"/>
    </row>
    <row r="33" spans="1:43" x14ac:dyDescent="0.25">
      <c r="A33" s="50" t="s">
        <v>35</v>
      </c>
      <c r="B33" s="160">
        <f>SUM(B34:D41)</f>
        <v>291683.03000000003</v>
      </c>
      <c r="C33" s="160"/>
      <c r="D33" s="160"/>
      <c r="E33" s="153">
        <f>SUM(E34:G41)</f>
        <v>16540.830000000002</v>
      </c>
      <c r="F33" s="154"/>
      <c r="G33" s="155"/>
      <c r="H33" s="153">
        <f>SUM(H34:J41)</f>
        <v>9994.66</v>
      </c>
      <c r="I33" s="154"/>
      <c r="J33" s="155"/>
      <c r="K33" s="153">
        <f>SUM(K34:M41)</f>
        <v>22394.66</v>
      </c>
      <c r="L33" s="154"/>
      <c r="M33" s="155"/>
      <c r="N33" s="153">
        <f>SUM(N34:P41)</f>
        <v>20217.91</v>
      </c>
      <c r="O33" s="154"/>
      <c r="P33" s="155"/>
      <c r="Q33" s="153">
        <f>SUM(Q34:S41)</f>
        <v>11771.41</v>
      </c>
      <c r="R33" s="154"/>
      <c r="S33" s="155"/>
      <c r="T33" s="153">
        <f>SUM(T34:V41)</f>
        <v>15994.66</v>
      </c>
      <c r="U33" s="154"/>
      <c r="V33" s="155"/>
      <c r="W33" s="153">
        <f>SUM(W34:Y41)</f>
        <v>16187.58</v>
      </c>
      <c r="X33" s="154"/>
      <c r="Y33" s="155"/>
      <c r="Z33" s="153">
        <f>SUM(Z34:AB41)</f>
        <v>15994.66</v>
      </c>
      <c r="AA33" s="154"/>
      <c r="AB33" s="155"/>
      <c r="AC33" s="153">
        <f>SUM(AC34:AE41)</f>
        <v>16457.16</v>
      </c>
      <c r="AD33" s="154"/>
      <c r="AE33" s="155"/>
      <c r="AF33" s="153">
        <f>SUM(AF34:AH41)</f>
        <v>16457.16</v>
      </c>
      <c r="AG33" s="154"/>
      <c r="AH33" s="155"/>
      <c r="AI33" s="153">
        <f>SUM(AI34:AK41)</f>
        <v>16168.3</v>
      </c>
      <c r="AJ33" s="154"/>
      <c r="AK33" s="155"/>
      <c r="AL33" s="156">
        <f>SUM(AL34:AN41)</f>
        <v>178178.99</v>
      </c>
      <c r="AM33" s="157"/>
      <c r="AN33" s="158"/>
      <c r="AO33" s="51">
        <f>AL33/AL103</f>
        <v>0.25134541372425967</v>
      </c>
      <c r="AP33" s="159">
        <f>SUM(AP34:AQ41)</f>
        <v>469862.02</v>
      </c>
      <c r="AQ33" s="159"/>
    </row>
    <row r="34" spans="1:43" x14ac:dyDescent="0.25">
      <c r="A34" s="52" t="s">
        <v>36</v>
      </c>
      <c r="B34" s="166">
        <f>72200.64</f>
        <v>72200.639999999999</v>
      </c>
      <c r="C34" s="166"/>
      <c r="D34" s="166"/>
      <c r="E34" s="82">
        <v>0</v>
      </c>
      <c r="F34" s="83"/>
      <c r="G34" s="84"/>
      <c r="H34" s="82">
        <v>0</v>
      </c>
      <c r="I34" s="83"/>
      <c r="J34" s="84"/>
      <c r="K34" s="82">
        <v>0</v>
      </c>
      <c r="L34" s="83"/>
      <c r="M34" s="84"/>
      <c r="N34" s="82">
        <v>0</v>
      </c>
      <c r="O34" s="83"/>
      <c r="P34" s="84"/>
      <c r="Q34" s="82">
        <v>0</v>
      </c>
      <c r="R34" s="83"/>
      <c r="S34" s="84"/>
      <c r="T34" s="82">
        <v>0</v>
      </c>
      <c r="U34" s="83"/>
      <c r="V34" s="84"/>
      <c r="W34" s="82">
        <v>0</v>
      </c>
      <c r="X34" s="83"/>
      <c r="Y34" s="84"/>
      <c r="Z34" s="82">
        <v>0</v>
      </c>
      <c r="AA34" s="83"/>
      <c r="AB34" s="84"/>
      <c r="AC34" s="82">
        <v>0</v>
      </c>
      <c r="AD34" s="83"/>
      <c r="AE34" s="84"/>
      <c r="AF34" s="82">
        <v>0</v>
      </c>
      <c r="AG34" s="83"/>
      <c r="AH34" s="84"/>
      <c r="AI34" s="164">
        <v>0</v>
      </c>
      <c r="AJ34" s="164"/>
      <c r="AK34" s="164"/>
      <c r="AL34" s="89">
        <f>0+E34+H34+K34+N34+Q34+T34+W34+Z34+AC34+AF34+AI34</f>
        <v>0</v>
      </c>
      <c r="AM34" s="90"/>
      <c r="AN34" s="91"/>
      <c r="AO34" s="53">
        <f>AL34/AL103</f>
        <v>0</v>
      </c>
      <c r="AP34" s="165">
        <f>72200.64+AL34</f>
        <v>72200.639999999999</v>
      </c>
      <c r="AQ34" s="165"/>
    </row>
    <row r="35" spans="1:43" x14ac:dyDescent="0.25">
      <c r="A35" s="54" t="s">
        <v>37</v>
      </c>
      <c r="B35" s="166">
        <v>36000</v>
      </c>
      <c r="C35" s="166"/>
      <c r="D35" s="166"/>
      <c r="E35" s="167">
        <f>6000</f>
        <v>6000</v>
      </c>
      <c r="F35" s="168"/>
      <c r="G35" s="169"/>
      <c r="H35" s="82">
        <v>0</v>
      </c>
      <c r="I35" s="83"/>
      <c r="J35" s="84"/>
      <c r="K35" s="82">
        <f>6000+6000</f>
        <v>12000</v>
      </c>
      <c r="L35" s="83"/>
      <c r="M35" s="84"/>
      <c r="N35" s="82">
        <f>6000</f>
        <v>6000</v>
      </c>
      <c r="O35" s="83"/>
      <c r="P35" s="84"/>
      <c r="Q35" s="82">
        <f>6000</f>
        <v>6000</v>
      </c>
      <c r="R35" s="83"/>
      <c r="S35" s="84"/>
      <c r="T35" s="82">
        <f>6000</f>
        <v>6000</v>
      </c>
      <c r="U35" s="83"/>
      <c r="V35" s="84"/>
      <c r="W35" s="82">
        <f>6000</f>
        <v>6000</v>
      </c>
      <c r="X35" s="83"/>
      <c r="Y35" s="84"/>
      <c r="Z35" s="82">
        <f>6000</f>
        <v>6000</v>
      </c>
      <c r="AA35" s="83"/>
      <c r="AB35" s="84"/>
      <c r="AC35" s="82">
        <f>6000</f>
        <v>6000</v>
      </c>
      <c r="AD35" s="83"/>
      <c r="AE35" s="84"/>
      <c r="AF35" s="82">
        <f>6000</f>
        <v>6000</v>
      </c>
      <c r="AG35" s="83"/>
      <c r="AH35" s="84"/>
      <c r="AI35" s="164">
        <f>6000</f>
        <v>6000</v>
      </c>
      <c r="AJ35" s="164"/>
      <c r="AK35" s="164"/>
      <c r="AL35" s="89">
        <f t="shared" ref="AL35:AL41" si="0">0+E35+H35+K35+N35+Q35+T35+W35+Z35+AC35+AF35+AI35</f>
        <v>66000</v>
      </c>
      <c r="AM35" s="90"/>
      <c r="AN35" s="91"/>
      <c r="AO35" s="53">
        <f>AL35/AL103</f>
        <v>9.3101870797455619E-2</v>
      </c>
      <c r="AP35" s="165">
        <f>36000+AL35</f>
        <v>102000</v>
      </c>
      <c r="AQ35" s="165"/>
    </row>
    <row r="36" spans="1:43" x14ac:dyDescent="0.25">
      <c r="A36" s="52" t="s">
        <v>38</v>
      </c>
      <c r="B36" s="166">
        <v>41057.96</v>
      </c>
      <c r="C36" s="166"/>
      <c r="D36" s="166"/>
      <c r="E36" s="82">
        <f>1260</f>
        <v>1260</v>
      </c>
      <c r="F36" s="83"/>
      <c r="G36" s="84"/>
      <c r="H36" s="82">
        <f>925</f>
        <v>925</v>
      </c>
      <c r="I36" s="83"/>
      <c r="J36" s="84"/>
      <c r="K36" s="82">
        <f>1325</f>
        <v>1325</v>
      </c>
      <c r="L36" s="83"/>
      <c r="M36" s="84"/>
      <c r="N36" s="82">
        <f>925</f>
        <v>925</v>
      </c>
      <c r="O36" s="83"/>
      <c r="P36" s="84"/>
      <c r="Q36" s="82">
        <f>925</f>
        <v>925</v>
      </c>
      <c r="R36" s="83"/>
      <c r="S36" s="84"/>
      <c r="T36" s="82">
        <f>925</f>
        <v>925</v>
      </c>
      <c r="U36" s="83"/>
      <c r="V36" s="84"/>
      <c r="W36" s="82">
        <f>1117.92</f>
        <v>1117.92</v>
      </c>
      <c r="X36" s="83"/>
      <c r="Y36" s="84"/>
      <c r="Z36" s="82">
        <f>925</f>
        <v>925</v>
      </c>
      <c r="AA36" s="83"/>
      <c r="AB36" s="84"/>
      <c r="AC36" s="82">
        <f>1387.5</f>
        <v>1387.5</v>
      </c>
      <c r="AD36" s="83"/>
      <c r="AE36" s="84"/>
      <c r="AF36" s="82">
        <f>1387.5</f>
        <v>1387.5</v>
      </c>
      <c r="AG36" s="83"/>
      <c r="AH36" s="84"/>
      <c r="AI36" s="164">
        <f>1098.64</f>
        <v>1098.6400000000001</v>
      </c>
      <c r="AJ36" s="164"/>
      <c r="AK36" s="164"/>
      <c r="AL36" s="89">
        <f t="shared" si="0"/>
        <v>12201.56</v>
      </c>
      <c r="AM36" s="90"/>
      <c r="AN36" s="91"/>
      <c r="AO36" s="53">
        <f>AL36/AL103</f>
        <v>1.7211940343142464E-2</v>
      </c>
      <c r="AP36" s="165">
        <f>41057.96+AL36</f>
        <v>53259.519999999997</v>
      </c>
      <c r="AQ36" s="165"/>
    </row>
    <row r="37" spans="1:43" x14ac:dyDescent="0.25">
      <c r="A37" s="52" t="s">
        <v>39</v>
      </c>
      <c r="B37" s="166">
        <v>97597.28</v>
      </c>
      <c r="C37" s="166"/>
      <c r="D37" s="166"/>
      <c r="E37" s="82">
        <v>4846.41</v>
      </c>
      <c r="F37" s="83"/>
      <c r="G37" s="84"/>
      <c r="H37" s="82">
        <f>4846.41</f>
        <v>4846.41</v>
      </c>
      <c r="I37" s="83"/>
      <c r="J37" s="84"/>
      <c r="K37" s="82">
        <f>4846.41</f>
        <v>4846.41</v>
      </c>
      <c r="L37" s="83"/>
      <c r="M37" s="84"/>
      <c r="N37" s="82">
        <f>4846.41</f>
        <v>4846.41</v>
      </c>
      <c r="O37" s="83"/>
      <c r="P37" s="84"/>
      <c r="Q37" s="82">
        <f>4846.41</f>
        <v>4846.41</v>
      </c>
      <c r="R37" s="83"/>
      <c r="S37" s="84"/>
      <c r="T37" s="82">
        <f>4846.41</f>
        <v>4846.41</v>
      </c>
      <c r="U37" s="83"/>
      <c r="V37" s="84"/>
      <c r="W37" s="82">
        <f>4846.41</f>
        <v>4846.41</v>
      </c>
      <c r="X37" s="83"/>
      <c r="Y37" s="84"/>
      <c r="Z37" s="82">
        <f>4846.41</f>
        <v>4846.41</v>
      </c>
      <c r="AA37" s="83"/>
      <c r="AB37" s="84"/>
      <c r="AC37" s="82">
        <f>4846.41</f>
        <v>4846.41</v>
      </c>
      <c r="AD37" s="83"/>
      <c r="AE37" s="84"/>
      <c r="AF37" s="82">
        <f>4846.41</f>
        <v>4846.41</v>
      </c>
      <c r="AG37" s="83"/>
      <c r="AH37" s="84"/>
      <c r="AI37" s="164">
        <f>4846.41</f>
        <v>4846.41</v>
      </c>
      <c r="AJ37" s="164"/>
      <c r="AK37" s="164"/>
      <c r="AL37" s="89">
        <f t="shared" si="0"/>
        <v>53310.510000000009</v>
      </c>
      <c r="AM37" s="90"/>
      <c r="AN37" s="91"/>
      <c r="AO37" s="53">
        <f>AL37/AL103</f>
        <v>7.5201639608582824E-2</v>
      </c>
      <c r="AP37" s="165">
        <f>97597.28+AL37</f>
        <v>150907.79</v>
      </c>
      <c r="AQ37" s="165"/>
    </row>
    <row r="38" spans="1:43" x14ac:dyDescent="0.25">
      <c r="A38" s="52" t="s">
        <v>40</v>
      </c>
      <c r="B38" s="166">
        <v>26669.75</v>
      </c>
      <c r="C38" s="166"/>
      <c r="D38" s="166"/>
      <c r="E38" s="82">
        <v>4434.42</v>
      </c>
      <c r="F38" s="83"/>
      <c r="G38" s="84"/>
      <c r="H38" s="82">
        <f>4223.25</f>
        <v>4223.25</v>
      </c>
      <c r="I38" s="83"/>
      <c r="J38" s="84"/>
      <c r="K38" s="82">
        <f>4223.25</f>
        <v>4223.25</v>
      </c>
      <c r="L38" s="83"/>
      <c r="M38" s="84"/>
      <c r="N38" s="82">
        <f>4223.25+4223.25</f>
        <v>8446.5</v>
      </c>
      <c r="O38" s="83"/>
      <c r="P38" s="84"/>
      <c r="Q38" s="82">
        <v>0</v>
      </c>
      <c r="R38" s="83"/>
      <c r="S38" s="84"/>
      <c r="T38" s="82">
        <f>4223.25</f>
        <v>4223.25</v>
      </c>
      <c r="U38" s="83"/>
      <c r="V38" s="84"/>
      <c r="W38" s="82">
        <f>4223.25</f>
        <v>4223.25</v>
      </c>
      <c r="X38" s="83"/>
      <c r="Y38" s="84"/>
      <c r="Z38" s="82">
        <f>4223.25</f>
        <v>4223.25</v>
      </c>
      <c r="AA38" s="83"/>
      <c r="AB38" s="84"/>
      <c r="AC38" s="82">
        <f>4223.25</f>
        <v>4223.25</v>
      </c>
      <c r="AD38" s="83"/>
      <c r="AE38" s="84"/>
      <c r="AF38" s="82">
        <f>4223.25</f>
        <v>4223.25</v>
      </c>
      <c r="AG38" s="83"/>
      <c r="AH38" s="84"/>
      <c r="AI38" s="164">
        <f>4223.25</f>
        <v>4223.25</v>
      </c>
      <c r="AJ38" s="164"/>
      <c r="AK38" s="164"/>
      <c r="AL38" s="89">
        <f t="shared" si="0"/>
        <v>46666.92</v>
      </c>
      <c r="AM38" s="90"/>
      <c r="AN38" s="91"/>
      <c r="AO38" s="53">
        <f>AL38/AL103</f>
        <v>6.5829962975078746E-2</v>
      </c>
      <c r="AP38" s="165">
        <f>26669.75+AL38</f>
        <v>73336.67</v>
      </c>
      <c r="AQ38" s="165"/>
    </row>
    <row r="39" spans="1:43" x14ac:dyDescent="0.25">
      <c r="A39" s="52" t="s">
        <v>41</v>
      </c>
      <c r="B39" s="166">
        <f>8289</f>
        <v>8289</v>
      </c>
      <c r="C39" s="166"/>
      <c r="D39" s="166"/>
      <c r="E39" s="82">
        <v>0</v>
      </c>
      <c r="F39" s="83"/>
      <c r="G39" s="84"/>
      <c r="H39" s="82">
        <v>0</v>
      </c>
      <c r="I39" s="83"/>
      <c r="J39" s="84"/>
      <c r="K39" s="82">
        <v>0</v>
      </c>
      <c r="L39" s="83"/>
      <c r="M39" s="84"/>
      <c r="N39" s="82">
        <v>0</v>
      </c>
      <c r="O39" s="83"/>
      <c r="P39" s="84"/>
      <c r="Q39" s="82">
        <v>0</v>
      </c>
      <c r="R39" s="83"/>
      <c r="S39" s="84"/>
      <c r="T39" s="82">
        <v>0</v>
      </c>
      <c r="U39" s="83"/>
      <c r="V39" s="84"/>
      <c r="W39" s="82">
        <v>0</v>
      </c>
      <c r="X39" s="83"/>
      <c r="Y39" s="84"/>
      <c r="Z39" s="82">
        <v>0</v>
      </c>
      <c r="AA39" s="83"/>
      <c r="AB39" s="84"/>
      <c r="AC39" s="82">
        <v>0</v>
      </c>
      <c r="AD39" s="83"/>
      <c r="AE39" s="84"/>
      <c r="AF39" s="82">
        <v>0</v>
      </c>
      <c r="AG39" s="83"/>
      <c r="AH39" s="84"/>
      <c r="AI39" s="164">
        <v>0</v>
      </c>
      <c r="AJ39" s="164"/>
      <c r="AK39" s="164"/>
      <c r="AL39" s="89">
        <f t="shared" si="0"/>
        <v>0</v>
      </c>
      <c r="AM39" s="90"/>
      <c r="AN39" s="91"/>
      <c r="AO39" s="53">
        <f>AL39/AL103</f>
        <v>0</v>
      </c>
      <c r="AP39" s="165">
        <f>8289+AL39</f>
        <v>8289</v>
      </c>
      <c r="AQ39" s="165"/>
    </row>
    <row r="40" spans="1:43" x14ac:dyDescent="0.25">
      <c r="A40" s="52" t="s">
        <v>42</v>
      </c>
      <c r="B40" s="166">
        <f>7863.4</f>
        <v>7863.4</v>
      </c>
      <c r="C40" s="166"/>
      <c r="D40" s="166"/>
      <c r="E40" s="82">
        <v>0</v>
      </c>
      <c r="F40" s="83"/>
      <c r="G40" s="84"/>
      <c r="H40" s="82">
        <v>0</v>
      </c>
      <c r="I40" s="83"/>
      <c r="J40" s="84"/>
      <c r="K40" s="82">
        <v>0</v>
      </c>
      <c r="L40" s="83"/>
      <c r="M40" s="84"/>
      <c r="N40" s="82">
        <v>0</v>
      </c>
      <c r="O40" s="83"/>
      <c r="P40" s="84"/>
      <c r="Q40" s="82">
        <v>0</v>
      </c>
      <c r="R40" s="83"/>
      <c r="S40" s="84"/>
      <c r="T40" s="82">
        <v>0</v>
      </c>
      <c r="U40" s="83"/>
      <c r="V40" s="84"/>
      <c r="W40" s="82">
        <v>0</v>
      </c>
      <c r="X40" s="83"/>
      <c r="Y40" s="84"/>
      <c r="Z40" s="82">
        <v>0</v>
      </c>
      <c r="AA40" s="83"/>
      <c r="AB40" s="84"/>
      <c r="AC40" s="82">
        <v>0</v>
      </c>
      <c r="AD40" s="83"/>
      <c r="AE40" s="84"/>
      <c r="AF40" s="82">
        <v>0</v>
      </c>
      <c r="AG40" s="83"/>
      <c r="AH40" s="84"/>
      <c r="AI40" s="164">
        <v>0</v>
      </c>
      <c r="AJ40" s="164"/>
      <c r="AK40" s="164"/>
      <c r="AL40" s="89">
        <f t="shared" si="0"/>
        <v>0</v>
      </c>
      <c r="AM40" s="90"/>
      <c r="AN40" s="91"/>
      <c r="AO40" s="53">
        <f>AL40/AL103</f>
        <v>0</v>
      </c>
      <c r="AP40" s="165">
        <f>7863.4+AL40</f>
        <v>7863.4</v>
      </c>
      <c r="AQ40" s="165"/>
    </row>
    <row r="41" spans="1:43" x14ac:dyDescent="0.25">
      <c r="A41" s="52" t="s">
        <v>43</v>
      </c>
      <c r="B41" s="166">
        <f>2005</f>
        <v>2005</v>
      </c>
      <c r="C41" s="166"/>
      <c r="D41" s="166"/>
      <c r="E41" s="82">
        <v>0</v>
      </c>
      <c r="F41" s="83"/>
      <c r="G41" s="84"/>
      <c r="H41" s="82">
        <v>0</v>
      </c>
      <c r="I41" s="83"/>
      <c r="J41" s="84"/>
      <c r="K41" s="82">
        <v>0</v>
      </c>
      <c r="L41" s="83"/>
      <c r="M41" s="84"/>
      <c r="N41" s="82">
        <v>0</v>
      </c>
      <c r="O41" s="83"/>
      <c r="P41" s="84"/>
      <c r="Q41" s="82">
        <v>0</v>
      </c>
      <c r="R41" s="83"/>
      <c r="S41" s="84"/>
      <c r="T41" s="82">
        <v>0</v>
      </c>
      <c r="U41" s="83"/>
      <c r="V41" s="84"/>
      <c r="W41" s="82">
        <v>0</v>
      </c>
      <c r="X41" s="83"/>
      <c r="Y41" s="84"/>
      <c r="Z41" s="82">
        <v>0</v>
      </c>
      <c r="AA41" s="83"/>
      <c r="AB41" s="84"/>
      <c r="AC41" s="82">
        <v>0</v>
      </c>
      <c r="AD41" s="83"/>
      <c r="AE41" s="84"/>
      <c r="AF41" s="82">
        <v>0</v>
      </c>
      <c r="AG41" s="83"/>
      <c r="AH41" s="84"/>
      <c r="AI41" s="164">
        <v>0</v>
      </c>
      <c r="AJ41" s="164"/>
      <c r="AK41" s="164"/>
      <c r="AL41" s="89">
        <f t="shared" si="0"/>
        <v>0</v>
      </c>
      <c r="AM41" s="90"/>
      <c r="AN41" s="91"/>
      <c r="AO41" s="53">
        <f>AL41/AL103</f>
        <v>0</v>
      </c>
      <c r="AP41" s="165">
        <f>2005+AL41</f>
        <v>2005</v>
      </c>
      <c r="AQ41" s="165"/>
    </row>
    <row r="42" spans="1:43" x14ac:dyDescent="0.25">
      <c r="A42" s="50" t="s">
        <v>44</v>
      </c>
      <c r="B42" s="160">
        <f>SUM(B43:D45)</f>
        <v>380413.85</v>
      </c>
      <c r="C42" s="160"/>
      <c r="D42" s="160"/>
      <c r="E42" s="160">
        <f>SUM(E43:G45)</f>
        <v>0</v>
      </c>
      <c r="F42" s="160"/>
      <c r="G42" s="160"/>
      <c r="H42" s="160">
        <f>SUM(H43:J45)</f>
        <v>0</v>
      </c>
      <c r="I42" s="160"/>
      <c r="J42" s="160"/>
      <c r="K42" s="160">
        <f>SUM(K43:M45)</f>
        <v>0</v>
      </c>
      <c r="L42" s="160"/>
      <c r="M42" s="160"/>
      <c r="N42" s="160">
        <f>SUM(N43:P45)</f>
        <v>25000</v>
      </c>
      <c r="O42" s="160"/>
      <c r="P42" s="160"/>
      <c r="Q42" s="160">
        <f>SUM(Q43:S45)</f>
        <v>25000</v>
      </c>
      <c r="R42" s="160"/>
      <c r="S42" s="160"/>
      <c r="T42" s="160">
        <f>SUM(T43:V45)</f>
        <v>40000</v>
      </c>
      <c r="U42" s="160"/>
      <c r="V42" s="160"/>
      <c r="W42" s="160">
        <f>SUM(W43:Y45)</f>
        <v>0</v>
      </c>
      <c r="X42" s="160"/>
      <c r="Y42" s="160"/>
      <c r="Z42" s="160">
        <f>SUM(Z43:AB45)</f>
        <v>0</v>
      </c>
      <c r="AA42" s="160"/>
      <c r="AB42" s="160"/>
      <c r="AC42" s="160">
        <f>SUM(AC43:AE45)</f>
        <v>0</v>
      </c>
      <c r="AD42" s="160"/>
      <c r="AE42" s="160"/>
      <c r="AF42" s="160">
        <f>SUM(AF43:AH45)</f>
        <v>70000</v>
      </c>
      <c r="AG42" s="160"/>
      <c r="AH42" s="160"/>
      <c r="AI42" s="160">
        <f>SUM(AI43:AK45)</f>
        <v>61002.5</v>
      </c>
      <c r="AJ42" s="160"/>
      <c r="AK42" s="160"/>
      <c r="AL42" s="156">
        <f>SUM(AL43:AN45)</f>
        <v>221002.5</v>
      </c>
      <c r="AM42" s="157"/>
      <c r="AN42" s="158"/>
      <c r="AO42" s="51">
        <f>AL42/AL103</f>
        <v>0.31175373031688919</v>
      </c>
      <c r="AP42" s="159">
        <f>SUM(AP43:AQ45)</f>
        <v>601416.35</v>
      </c>
      <c r="AQ42" s="159"/>
    </row>
    <row r="43" spans="1:43" x14ac:dyDescent="0.25">
      <c r="A43" s="52" t="s">
        <v>45</v>
      </c>
      <c r="B43" s="166">
        <f>214077.5</f>
        <v>214077.5</v>
      </c>
      <c r="C43" s="166"/>
      <c r="D43" s="166"/>
      <c r="E43" s="82">
        <v>0</v>
      </c>
      <c r="F43" s="83"/>
      <c r="G43" s="84"/>
      <c r="H43" s="82">
        <v>0</v>
      </c>
      <c r="I43" s="83"/>
      <c r="J43" s="84"/>
      <c r="K43" s="82">
        <v>0</v>
      </c>
      <c r="L43" s="83"/>
      <c r="M43" s="84"/>
      <c r="N43" s="82">
        <f>25000</f>
        <v>25000</v>
      </c>
      <c r="O43" s="83"/>
      <c r="P43" s="84"/>
      <c r="Q43" s="82">
        <f>25000</f>
        <v>25000</v>
      </c>
      <c r="R43" s="83"/>
      <c r="S43" s="84"/>
      <c r="T43" s="82">
        <f>40000</f>
        <v>40000</v>
      </c>
      <c r="U43" s="83"/>
      <c r="V43" s="84"/>
      <c r="W43" s="82">
        <v>0</v>
      </c>
      <c r="X43" s="83"/>
      <c r="Y43" s="84"/>
      <c r="Z43" s="82">
        <v>0</v>
      </c>
      <c r="AA43" s="83"/>
      <c r="AB43" s="84"/>
      <c r="AC43" s="82">
        <v>0</v>
      </c>
      <c r="AD43" s="83"/>
      <c r="AE43" s="84"/>
      <c r="AF43" s="82">
        <f>70000</f>
        <v>70000</v>
      </c>
      <c r="AG43" s="83"/>
      <c r="AH43" s="84"/>
      <c r="AI43" s="164">
        <f>61002.5</f>
        <v>61002.5</v>
      </c>
      <c r="AJ43" s="164"/>
      <c r="AK43" s="164"/>
      <c r="AL43" s="89">
        <f>E43+H43+K43+N43+Q43+T43+W43+Z43+AC43+AF43+AI43</f>
        <v>221002.5</v>
      </c>
      <c r="AM43" s="90"/>
      <c r="AN43" s="91"/>
      <c r="AO43" s="53">
        <f>AL43/AL103</f>
        <v>0.31175373031688919</v>
      </c>
      <c r="AP43" s="165">
        <f>214077.5+AL43</f>
        <v>435080</v>
      </c>
      <c r="AQ43" s="165"/>
    </row>
    <row r="44" spans="1:43" x14ac:dyDescent="0.25">
      <c r="A44" s="52" t="s">
        <v>46</v>
      </c>
      <c r="B44" s="166">
        <f>151996.63</f>
        <v>151996.63</v>
      </c>
      <c r="C44" s="166"/>
      <c r="D44" s="166"/>
      <c r="E44" s="82">
        <v>0</v>
      </c>
      <c r="F44" s="83"/>
      <c r="G44" s="84"/>
      <c r="H44" s="82">
        <v>0</v>
      </c>
      <c r="I44" s="83"/>
      <c r="J44" s="84"/>
      <c r="K44" s="82">
        <v>0</v>
      </c>
      <c r="L44" s="83"/>
      <c r="M44" s="84"/>
      <c r="N44" s="82">
        <v>0</v>
      </c>
      <c r="O44" s="83"/>
      <c r="P44" s="84"/>
      <c r="Q44" s="82">
        <v>0</v>
      </c>
      <c r="R44" s="83"/>
      <c r="S44" s="84"/>
      <c r="T44" s="82">
        <v>0</v>
      </c>
      <c r="U44" s="83"/>
      <c r="V44" s="84"/>
      <c r="W44" s="82">
        <v>0</v>
      </c>
      <c r="X44" s="83"/>
      <c r="Y44" s="84"/>
      <c r="Z44" s="82">
        <v>0</v>
      </c>
      <c r="AA44" s="83"/>
      <c r="AB44" s="84"/>
      <c r="AC44" s="82">
        <v>0</v>
      </c>
      <c r="AD44" s="83"/>
      <c r="AE44" s="84"/>
      <c r="AF44" s="82">
        <v>0</v>
      </c>
      <c r="AG44" s="83"/>
      <c r="AH44" s="84"/>
      <c r="AI44" s="164">
        <v>0</v>
      </c>
      <c r="AJ44" s="164"/>
      <c r="AK44" s="164"/>
      <c r="AL44" s="89">
        <f t="shared" ref="AL44:AL45" si="1">E44+H44+K44+N44+Q44+T44+W44+Z44+AC44+AF44+AI44</f>
        <v>0</v>
      </c>
      <c r="AM44" s="90"/>
      <c r="AN44" s="91"/>
      <c r="AO44" s="53">
        <f>AL44/AL103</f>
        <v>0</v>
      </c>
      <c r="AP44" s="165">
        <f>151996.63+AL44</f>
        <v>151996.63</v>
      </c>
      <c r="AQ44" s="165"/>
    </row>
    <row r="45" spans="1:43" x14ac:dyDescent="0.25">
      <c r="A45" s="52" t="s">
        <v>47</v>
      </c>
      <c r="B45" s="89">
        <v>14339.72</v>
      </c>
      <c r="C45" s="90"/>
      <c r="D45" s="91"/>
      <c r="E45" s="167">
        <v>0</v>
      </c>
      <c r="F45" s="168"/>
      <c r="G45" s="169"/>
      <c r="H45" s="82">
        <v>0</v>
      </c>
      <c r="I45" s="83"/>
      <c r="J45" s="84"/>
      <c r="K45" s="82">
        <v>0</v>
      </c>
      <c r="L45" s="83"/>
      <c r="M45" s="84"/>
      <c r="N45" s="82">
        <v>0</v>
      </c>
      <c r="O45" s="83"/>
      <c r="P45" s="84"/>
      <c r="Q45" s="82">
        <v>0</v>
      </c>
      <c r="R45" s="83"/>
      <c r="S45" s="84"/>
      <c r="T45" s="82">
        <v>0</v>
      </c>
      <c r="U45" s="83"/>
      <c r="V45" s="84"/>
      <c r="W45" s="82">
        <v>0</v>
      </c>
      <c r="X45" s="83"/>
      <c r="Y45" s="84"/>
      <c r="Z45" s="82">
        <v>0</v>
      </c>
      <c r="AA45" s="83"/>
      <c r="AB45" s="84"/>
      <c r="AC45" s="82">
        <v>0</v>
      </c>
      <c r="AD45" s="83"/>
      <c r="AE45" s="84"/>
      <c r="AF45" s="82">
        <v>0</v>
      </c>
      <c r="AG45" s="83"/>
      <c r="AH45" s="84"/>
      <c r="AI45" s="164">
        <v>0</v>
      </c>
      <c r="AJ45" s="164"/>
      <c r="AK45" s="164"/>
      <c r="AL45" s="89">
        <f t="shared" si="1"/>
        <v>0</v>
      </c>
      <c r="AM45" s="90"/>
      <c r="AN45" s="91"/>
      <c r="AO45" s="53">
        <f>AL45/AL104</f>
        <v>0</v>
      </c>
      <c r="AP45" s="165">
        <f>14339.72+AL45</f>
        <v>14339.72</v>
      </c>
      <c r="AQ45" s="165"/>
    </row>
    <row r="46" spans="1:43" x14ac:dyDescent="0.25">
      <c r="A46" s="50" t="s">
        <v>48</v>
      </c>
      <c r="B46" s="160">
        <f>SUM(B47:D49)</f>
        <v>77211.740000000005</v>
      </c>
      <c r="C46" s="160"/>
      <c r="D46" s="160"/>
      <c r="E46" s="160">
        <f>SUM(E47:G49)</f>
        <v>0</v>
      </c>
      <c r="F46" s="160"/>
      <c r="G46" s="160"/>
      <c r="H46" s="160">
        <f>SUM(H47:J49)</f>
        <v>0</v>
      </c>
      <c r="I46" s="160"/>
      <c r="J46" s="160"/>
      <c r="K46" s="160">
        <f>SUM(K47:M49)</f>
        <v>0</v>
      </c>
      <c r="L46" s="160"/>
      <c r="M46" s="160"/>
      <c r="N46" s="160">
        <f>SUM(N47:P49)</f>
        <v>0</v>
      </c>
      <c r="O46" s="160"/>
      <c r="P46" s="160"/>
      <c r="Q46" s="160">
        <f>SUM(Q47:S49)</f>
        <v>0</v>
      </c>
      <c r="R46" s="160"/>
      <c r="S46" s="160"/>
      <c r="T46" s="160">
        <f>SUM(T47:V49)</f>
        <v>0</v>
      </c>
      <c r="U46" s="160"/>
      <c r="V46" s="160"/>
      <c r="W46" s="160">
        <f>SUM(W47:Y49)</f>
        <v>0</v>
      </c>
      <c r="X46" s="160"/>
      <c r="Y46" s="160"/>
      <c r="Z46" s="160">
        <f>SUM(Z47:AB49)</f>
        <v>19.350000000000001</v>
      </c>
      <c r="AA46" s="160"/>
      <c r="AB46" s="160"/>
      <c r="AC46" s="160">
        <f>SUM(AC47:AE49)</f>
        <v>585.52</v>
      </c>
      <c r="AD46" s="160"/>
      <c r="AE46" s="160"/>
      <c r="AF46" s="160">
        <f>SUM(AF47:AH49)</f>
        <v>1305.8499999999999</v>
      </c>
      <c r="AG46" s="160"/>
      <c r="AH46" s="160"/>
      <c r="AI46" s="160">
        <f>SUM(AI47:AK49)</f>
        <v>167.46</v>
      </c>
      <c r="AJ46" s="160"/>
      <c r="AK46" s="160"/>
      <c r="AL46" s="156">
        <f>SUM(AL47:AN49)</f>
        <v>2078.1799999999998</v>
      </c>
      <c r="AM46" s="157"/>
      <c r="AN46" s="158"/>
      <c r="AO46" s="51">
        <f>AL46/AL103</f>
        <v>2.9315522099069139E-3</v>
      </c>
      <c r="AP46" s="159">
        <f>SUM(AP47:AQ49)</f>
        <v>79289.919999999998</v>
      </c>
      <c r="AQ46" s="159"/>
    </row>
    <row r="47" spans="1:43" x14ac:dyDescent="0.25">
      <c r="A47" s="52" t="s">
        <v>49</v>
      </c>
      <c r="B47" s="170">
        <v>3414.91</v>
      </c>
      <c r="C47" s="170"/>
      <c r="D47" s="170"/>
      <c r="E47" s="82">
        <v>0</v>
      </c>
      <c r="F47" s="83"/>
      <c r="G47" s="84"/>
      <c r="H47" s="82">
        <v>0</v>
      </c>
      <c r="I47" s="83"/>
      <c r="J47" s="84"/>
      <c r="K47" s="82">
        <v>0</v>
      </c>
      <c r="L47" s="83"/>
      <c r="M47" s="84"/>
      <c r="N47" s="82">
        <v>0</v>
      </c>
      <c r="O47" s="83"/>
      <c r="P47" s="84"/>
      <c r="Q47" s="82">
        <v>0</v>
      </c>
      <c r="R47" s="83"/>
      <c r="S47" s="84"/>
      <c r="T47" s="82">
        <v>0</v>
      </c>
      <c r="U47" s="83"/>
      <c r="V47" s="84"/>
      <c r="W47" s="82">
        <v>0</v>
      </c>
      <c r="X47" s="83"/>
      <c r="Y47" s="84"/>
      <c r="Z47" s="82">
        <v>0</v>
      </c>
      <c r="AA47" s="83"/>
      <c r="AB47" s="84"/>
      <c r="AC47" s="82">
        <f>585.52</f>
        <v>585.52</v>
      </c>
      <c r="AD47" s="83"/>
      <c r="AE47" s="84"/>
      <c r="AF47" s="82">
        <v>0</v>
      </c>
      <c r="AG47" s="83"/>
      <c r="AH47" s="84"/>
      <c r="AI47" s="164">
        <f>167.46</f>
        <v>167.46</v>
      </c>
      <c r="AJ47" s="164"/>
      <c r="AK47" s="164"/>
      <c r="AL47" s="89">
        <f>0+E47+H47+K47+N47+Q47+T47+W47+Z47+AC4+AC47+AF47+AI47</f>
        <v>752.98</v>
      </c>
      <c r="AM47" s="90"/>
      <c r="AN47" s="91"/>
      <c r="AO47" s="53">
        <f>AL47/AL103</f>
        <v>1.062179495046487E-3</v>
      </c>
      <c r="AP47" s="165">
        <f>3414.91+AL47</f>
        <v>4167.8899999999994</v>
      </c>
      <c r="AQ47" s="165"/>
    </row>
    <row r="48" spans="1:43" x14ac:dyDescent="0.25">
      <c r="A48" s="52" t="s">
        <v>50</v>
      </c>
      <c r="B48" s="166">
        <v>11615.83</v>
      </c>
      <c r="C48" s="166"/>
      <c r="D48" s="166"/>
      <c r="E48" s="82">
        <v>0</v>
      </c>
      <c r="F48" s="83"/>
      <c r="G48" s="84"/>
      <c r="H48" s="82">
        <v>0</v>
      </c>
      <c r="I48" s="83"/>
      <c r="J48" s="84"/>
      <c r="K48" s="82">
        <v>0</v>
      </c>
      <c r="L48" s="83"/>
      <c r="M48" s="84"/>
      <c r="N48" s="82">
        <v>0</v>
      </c>
      <c r="O48" s="83"/>
      <c r="P48" s="84"/>
      <c r="Q48" s="82">
        <v>0</v>
      </c>
      <c r="R48" s="83"/>
      <c r="S48" s="84"/>
      <c r="T48" s="82">
        <v>0</v>
      </c>
      <c r="U48" s="83"/>
      <c r="V48" s="84"/>
      <c r="W48" s="82">
        <v>0</v>
      </c>
      <c r="X48" s="83"/>
      <c r="Y48" s="84"/>
      <c r="Z48" s="82">
        <f>19.35</f>
        <v>19.350000000000001</v>
      </c>
      <c r="AA48" s="83"/>
      <c r="AB48" s="84"/>
      <c r="AC48" s="82">
        <v>0</v>
      </c>
      <c r="AD48" s="83"/>
      <c r="AE48" s="84"/>
      <c r="AF48" s="82">
        <f>1305.85</f>
        <v>1305.8499999999999</v>
      </c>
      <c r="AG48" s="83"/>
      <c r="AH48" s="84"/>
      <c r="AI48" s="164">
        <v>0</v>
      </c>
      <c r="AJ48" s="164"/>
      <c r="AK48" s="164"/>
      <c r="AL48" s="89">
        <f t="shared" ref="AL48:AL49" si="2">0+E48+H48+K48+N48+Q48+T48+W48+Z48+AC5+AC48+AF48+AI48</f>
        <v>1325.1999999999998</v>
      </c>
      <c r="AM48" s="90"/>
      <c r="AN48" s="91"/>
      <c r="AO48" s="53">
        <f>AL48/AL103</f>
        <v>1.8693727148604269E-3</v>
      </c>
      <c r="AP48" s="165">
        <f>11615.83+AL48</f>
        <v>12941.029999999999</v>
      </c>
      <c r="AQ48" s="165"/>
    </row>
    <row r="49" spans="1:43" x14ac:dyDescent="0.25">
      <c r="A49" s="52" t="s">
        <v>51</v>
      </c>
      <c r="B49" s="166">
        <v>62181</v>
      </c>
      <c r="C49" s="166"/>
      <c r="D49" s="166"/>
      <c r="E49" s="82">
        <v>0</v>
      </c>
      <c r="F49" s="83"/>
      <c r="G49" s="84"/>
      <c r="H49" s="82">
        <v>0</v>
      </c>
      <c r="I49" s="83"/>
      <c r="J49" s="84"/>
      <c r="K49" s="82">
        <v>0</v>
      </c>
      <c r="L49" s="83"/>
      <c r="M49" s="84"/>
      <c r="N49" s="82">
        <v>0</v>
      </c>
      <c r="O49" s="83"/>
      <c r="P49" s="84"/>
      <c r="Q49" s="82">
        <v>0</v>
      </c>
      <c r="R49" s="83"/>
      <c r="S49" s="84"/>
      <c r="T49" s="82">
        <v>0</v>
      </c>
      <c r="U49" s="83"/>
      <c r="V49" s="84"/>
      <c r="W49" s="82">
        <v>0</v>
      </c>
      <c r="X49" s="83"/>
      <c r="Y49" s="84"/>
      <c r="Z49" s="82">
        <v>0</v>
      </c>
      <c r="AA49" s="83"/>
      <c r="AB49" s="84"/>
      <c r="AC49" s="82">
        <v>0</v>
      </c>
      <c r="AD49" s="83"/>
      <c r="AE49" s="84"/>
      <c r="AF49" s="82">
        <v>0</v>
      </c>
      <c r="AG49" s="83"/>
      <c r="AH49" s="84"/>
      <c r="AI49" s="164">
        <v>0</v>
      </c>
      <c r="AJ49" s="164"/>
      <c r="AK49" s="164"/>
      <c r="AL49" s="89">
        <f t="shared" si="2"/>
        <v>0</v>
      </c>
      <c r="AM49" s="90"/>
      <c r="AN49" s="91"/>
      <c r="AO49" s="53">
        <f>AL49/AL103</f>
        <v>0</v>
      </c>
      <c r="AP49" s="165">
        <f>62181+AL49</f>
        <v>62181</v>
      </c>
      <c r="AQ49" s="165"/>
    </row>
    <row r="50" spans="1:43" x14ac:dyDescent="0.25">
      <c r="A50" s="50" t="s">
        <v>52</v>
      </c>
      <c r="B50" s="160">
        <f>SUM(B51:D63)</f>
        <v>241215.44999999998</v>
      </c>
      <c r="C50" s="160"/>
      <c r="D50" s="160"/>
      <c r="E50" s="160">
        <f>SUM(E51:G63)</f>
        <v>3895.7200000000003</v>
      </c>
      <c r="F50" s="160"/>
      <c r="G50" s="160"/>
      <c r="H50" s="160">
        <f>SUM(H51:J63)</f>
        <v>3671.7200000000003</v>
      </c>
      <c r="I50" s="160"/>
      <c r="J50" s="160"/>
      <c r="K50" s="160">
        <f>SUM(K51:M63)</f>
        <v>3677.12</v>
      </c>
      <c r="L50" s="160"/>
      <c r="M50" s="160"/>
      <c r="N50" s="160">
        <f>SUM(N51:P63)</f>
        <v>3721.62</v>
      </c>
      <c r="O50" s="160"/>
      <c r="P50" s="160"/>
      <c r="Q50" s="160">
        <f>SUM(Q51:S63)</f>
        <v>4178.0200000000004</v>
      </c>
      <c r="R50" s="160"/>
      <c r="S50" s="160"/>
      <c r="T50" s="160">
        <f>SUM(T51:V63)</f>
        <v>3677.57</v>
      </c>
      <c r="U50" s="160"/>
      <c r="V50" s="160"/>
      <c r="W50" s="160">
        <f>SUM(W51:Y63)</f>
        <v>3766.07</v>
      </c>
      <c r="X50" s="160"/>
      <c r="Y50" s="160"/>
      <c r="Z50" s="160">
        <f>SUM(Z51:AB63)</f>
        <v>3913.67</v>
      </c>
      <c r="AA50" s="160"/>
      <c r="AB50" s="160"/>
      <c r="AC50" s="160">
        <f>SUM(AC51:AE63)</f>
        <v>4223.72</v>
      </c>
      <c r="AD50" s="160"/>
      <c r="AE50" s="160"/>
      <c r="AF50" s="160">
        <f>SUM(AF51:AH63)</f>
        <v>7796.62</v>
      </c>
      <c r="AG50" s="160"/>
      <c r="AH50" s="160"/>
      <c r="AI50" s="160">
        <f>SUM(AI51:AK63)</f>
        <v>4283.3</v>
      </c>
      <c r="AJ50" s="160"/>
      <c r="AK50" s="160"/>
      <c r="AL50" s="156">
        <f>SUM(AL51:AN63)</f>
        <v>46805.149999999994</v>
      </c>
      <c r="AM50" s="157"/>
      <c r="AN50" s="158"/>
      <c r="AO50" s="51">
        <f>AL50/AL103</f>
        <v>6.6024954969023178E-2</v>
      </c>
      <c r="AP50" s="159">
        <f>SUM(AP51:AQ63)</f>
        <v>288020.60000000003</v>
      </c>
      <c r="AQ50" s="159"/>
    </row>
    <row r="51" spans="1:43" x14ac:dyDescent="0.25">
      <c r="A51" s="55" t="s">
        <v>53</v>
      </c>
      <c r="B51" s="166">
        <v>28211.279999999999</v>
      </c>
      <c r="C51" s="166"/>
      <c r="D51" s="166"/>
      <c r="E51" s="82">
        <v>0</v>
      </c>
      <c r="F51" s="83"/>
      <c r="G51" s="84"/>
      <c r="H51" s="82">
        <v>0</v>
      </c>
      <c r="I51" s="83"/>
      <c r="J51" s="84"/>
      <c r="K51" s="82">
        <v>0</v>
      </c>
      <c r="L51" s="83"/>
      <c r="M51" s="84"/>
      <c r="N51" s="82">
        <v>0</v>
      </c>
      <c r="O51" s="83"/>
      <c r="P51" s="84"/>
      <c r="Q51" s="82">
        <v>0</v>
      </c>
      <c r="R51" s="83"/>
      <c r="S51" s="84"/>
      <c r="T51" s="82">
        <v>0</v>
      </c>
      <c r="U51" s="83"/>
      <c r="V51" s="84"/>
      <c r="W51" s="82">
        <v>0</v>
      </c>
      <c r="X51" s="83"/>
      <c r="Y51" s="84"/>
      <c r="Z51" s="82">
        <v>0</v>
      </c>
      <c r="AA51" s="83"/>
      <c r="AB51" s="84"/>
      <c r="AC51" s="82">
        <v>0</v>
      </c>
      <c r="AD51" s="83"/>
      <c r="AE51" s="84"/>
      <c r="AF51" s="82">
        <v>0</v>
      </c>
      <c r="AG51" s="83"/>
      <c r="AH51" s="84"/>
      <c r="AI51" s="164">
        <v>0</v>
      </c>
      <c r="AJ51" s="164"/>
      <c r="AK51" s="164"/>
      <c r="AL51" s="89">
        <f>0+E51+H51+K51+N51+Q51+T51+W51+Z51+AC51+AF51+AI51</f>
        <v>0</v>
      </c>
      <c r="AM51" s="90"/>
      <c r="AN51" s="91"/>
      <c r="AO51" s="53">
        <f>AL51/AL103</f>
        <v>0</v>
      </c>
      <c r="AP51" s="165">
        <f>28211.28+AL51</f>
        <v>28211.279999999999</v>
      </c>
      <c r="AQ51" s="165"/>
    </row>
    <row r="52" spans="1:43" x14ac:dyDescent="0.25">
      <c r="A52" s="52" t="s">
        <v>54</v>
      </c>
      <c r="B52" s="166">
        <v>9340</v>
      </c>
      <c r="C52" s="166"/>
      <c r="D52" s="166"/>
      <c r="E52" s="82">
        <v>0</v>
      </c>
      <c r="F52" s="83"/>
      <c r="G52" s="84"/>
      <c r="H52" s="82">
        <v>0</v>
      </c>
      <c r="I52" s="83"/>
      <c r="J52" s="84"/>
      <c r="K52" s="82">
        <v>0</v>
      </c>
      <c r="L52" s="83"/>
      <c r="M52" s="84"/>
      <c r="N52" s="82">
        <v>0</v>
      </c>
      <c r="O52" s="83"/>
      <c r="P52" s="84"/>
      <c r="Q52" s="82">
        <v>0</v>
      </c>
      <c r="R52" s="83"/>
      <c r="S52" s="84"/>
      <c r="T52" s="82">
        <v>0</v>
      </c>
      <c r="U52" s="83"/>
      <c r="V52" s="84"/>
      <c r="W52" s="82">
        <v>0</v>
      </c>
      <c r="X52" s="83"/>
      <c r="Y52" s="84"/>
      <c r="Z52" s="82">
        <v>0</v>
      </c>
      <c r="AA52" s="83"/>
      <c r="AB52" s="84"/>
      <c r="AC52" s="82">
        <v>0</v>
      </c>
      <c r="AD52" s="83"/>
      <c r="AE52" s="84"/>
      <c r="AF52" s="82">
        <v>0</v>
      </c>
      <c r="AG52" s="83"/>
      <c r="AH52" s="84"/>
      <c r="AI52" s="164">
        <v>0</v>
      </c>
      <c r="AJ52" s="164"/>
      <c r="AK52" s="164"/>
      <c r="AL52" s="89">
        <f t="shared" ref="AL52:AL63" si="3">0+E52+H52+K52+N52+Q52+T52+W52+Z52+AC52+AF52+AI52</f>
        <v>0</v>
      </c>
      <c r="AM52" s="90"/>
      <c r="AN52" s="91"/>
      <c r="AO52" s="53">
        <f>AL52/AL103</f>
        <v>0</v>
      </c>
      <c r="AP52" s="165">
        <f>9340+AL52</f>
        <v>9340</v>
      </c>
      <c r="AQ52" s="165"/>
    </row>
    <row r="53" spans="1:43" x14ac:dyDescent="0.25">
      <c r="A53" s="52" t="s">
        <v>55</v>
      </c>
      <c r="B53" s="166">
        <v>16890</v>
      </c>
      <c r="C53" s="166"/>
      <c r="D53" s="166"/>
      <c r="E53" s="82">
        <f>450</f>
        <v>450</v>
      </c>
      <c r="F53" s="83"/>
      <c r="G53" s="84"/>
      <c r="H53" s="82">
        <f>450</f>
        <v>450</v>
      </c>
      <c r="I53" s="83"/>
      <c r="J53" s="84"/>
      <c r="K53" s="82">
        <f>450</f>
        <v>450</v>
      </c>
      <c r="L53" s="83"/>
      <c r="M53" s="84"/>
      <c r="N53" s="82">
        <f>450</f>
        <v>450</v>
      </c>
      <c r="O53" s="83"/>
      <c r="P53" s="84"/>
      <c r="Q53" s="82">
        <f>450</f>
        <v>450</v>
      </c>
      <c r="R53" s="83"/>
      <c r="S53" s="84"/>
      <c r="T53" s="82">
        <f>450</f>
        <v>450</v>
      </c>
      <c r="U53" s="83"/>
      <c r="V53" s="84"/>
      <c r="W53" s="82">
        <f>450</f>
        <v>450</v>
      </c>
      <c r="X53" s="83"/>
      <c r="Y53" s="84"/>
      <c r="Z53" s="82">
        <f>450</f>
        <v>450</v>
      </c>
      <c r="AA53" s="83"/>
      <c r="AB53" s="84"/>
      <c r="AC53" s="82">
        <f>450</f>
        <v>450</v>
      </c>
      <c r="AD53" s="83"/>
      <c r="AE53" s="84"/>
      <c r="AF53" s="82">
        <f>450</f>
        <v>450</v>
      </c>
      <c r="AG53" s="83"/>
      <c r="AH53" s="84"/>
      <c r="AI53" s="164">
        <f>450</f>
        <v>450</v>
      </c>
      <c r="AJ53" s="164"/>
      <c r="AK53" s="164"/>
      <c r="AL53" s="89">
        <f t="shared" si="3"/>
        <v>4950</v>
      </c>
      <c r="AM53" s="90"/>
      <c r="AN53" s="91"/>
      <c r="AO53" s="53">
        <f>AL53/AL103</f>
        <v>6.9826403098091714E-3</v>
      </c>
      <c r="AP53" s="165">
        <f>16890+AL53</f>
        <v>21840</v>
      </c>
      <c r="AQ53" s="165"/>
    </row>
    <row r="54" spans="1:43" x14ac:dyDescent="0.25">
      <c r="A54" s="52" t="s">
        <v>56</v>
      </c>
      <c r="B54" s="166">
        <v>43576.7</v>
      </c>
      <c r="C54" s="166"/>
      <c r="D54" s="166"/>
      <c r="E54" s="82">
        <v>0</v>
      </c>
      <c r="F54" s="83"/>
      <c r="G54" s="84"/>
      <c r="H54" s="82">
        <v>0</v>
      </c>
      <c r="I54" s="83"/>
      <c r="J54" s="84"/>
      <c r="K54" s="82">
        <v>0</v>
      </c>
      <c r="L54" s="83"/>
      <c r="M54" s="84"/>
      <c r="N54" s="82">
        <v>0</v>
      </c>
      <c r="O54" s="83"/>
      <c r="P54" s="84"/>
      <c r="Q54" s="82">
        <v>0</v>
      </c>
      <c r="R54" s="83"/>
      <c r="S54" s="84"/>
      <c r="T54" s="82">
        <v>0</v>
      </c>
      <c r="U54" s="83"/>
      <c r="V54" s="84"/>
      <c r="W54" s="82">
        <v>0</v>
      </c>
      <c r="X54" s="83"/>
      <c r="Y54" s="84"/>
      <c r="Z54" s="82">
        <v>0</v>
      </c>
      <c r="AA54" s="83"/>
      <c r="AB54" s="84"/>
      <c r="AC54" s="82">
        <v>0</v>
      </c>
      <c r="AD54" s="83"/>
      <c r="AE54" s="84"/>
      <c r="AF54" s="82">
        <f>3500</f>
        <v>3500</v>
      </c>
      <c r="AG54" s="83"/>
      <c r="AH54" s="84"/>
      <c r="AI54" s="164">
        <v>0</v>
      </c>
      <c r="AJ54" s="164"/>
      <c r="AK54" s="164"/>
      <c r="AL54" s="89">
        <f t="shared" si="3"/>
        <v>3500</v>
      </c>
      <c r="AM54" s="90"/>
      <c r="AN54" s="91"/>
      <c r="AO54" s="53">
        <f>AL54/AL103</f>
        <v>4.9372204210771922E-3</v>
      </c>
      <c r="AP54" s="165">
        <f>43576.7+AL54</f>
        <v>47076.7</v>
      </c>
      <c r="AQ54" s="165"/>
    </row>
    <row r="55" spans="1:43" x14ac:dyDescent="0.25">
      <c r="A55" s="52" t="s">
        <v>57</v>
      </c>
      <c r="B55" s="166">
        <v>96857.71</v>
      </c>
      <c r="C55" s="166"/>
      <c r="D55" s="166"/>
      <c r="E55" s="82">
        <f>2722.05</f>
        <v>2722.05</v>
      </c>
      <c r="F55" s="83"/>
      <c r="G55" s="84"/>
      <c r="H55" s="82">
        <f>2713.05</f>
        <v>2713.05</v>
      </c>
      <c r="I55" s="83"/>
      <c r="J55" s="84"/>
      <c r="K55" s="82">
        <f>2718.45</f>
        <v>2718.45</v>
      </c>
      <c r="L55" s="83"/>
      <c r="M55" s="84"/>
      <c r="N55" s="82">
        <f>2722.95</f>
        <v>2722.95</v>
      </c>
      <c r="O55" s="83"/>
      <c r="P55" s="84"/>
      <c r="Q55" s="82">
        <f>2719.35</f>
        <v>2719.35</v>
      </c>
      <c r="R55" s="83"/>
      <c r="S55" s="84"/>
      <c r="T55" s="82">
        <f>2718.9</f>
        <v>2718.9</v>
      </c>
      <c r="U55" s="83"/>
      <c r="V55" s="84"/>
      <c r="W55" s="82">
        <f>2768.4</f>
        <v>2768.4</v>
      </c>
      <c r="X55" s="83"/>
      <c r="Y55" s="84"/>
      <c r="Z55" s="82">
        <f>2916</f>
        <v>2916</v>
      </c>
      <c r="AA55" s="83"/>
      <c r="AB55" s="84"/>
      <c r="AC55" s="82">
        <f>3226.05</f>
        <v>3226.05</v>
      </c>
      <c r="AD55" s="83"/>
      <c r="AE55" s="84"/>
      <c r="AF55" s="82">
        <f>3298.95</f>
        <v>3298.95</v>
      </c>
      <c r="AG55" s="83"/>
      <c r="AH55" s="84"/>
      <c r="AI55" s="164">
        <f>3334.05</f>
        <v>3334.05</v>
      </c>
      <c r="AJ55" s="164"/>
      <c r="AK55" s="164"/>
      <c r="AL55" s="89">
        <f t="shared" si="3"/>
        <v>31858.2</v>
      </c>
      <c r="AM55" s="90"/>
      <c r="AN55" s="91"/>
      <c r="AO55" s="53">
        <f>AL55/AL103</f>
        <v>4.4940273033931832E-2</v>
      </c>
      <c r="AP55" s="165">
        <f>96857.71+AL55</f>
        <v>128715.91</v>
      </c>
      <c r="AQ55" s="165"/>
    </row>
    <row r="56" spans="1:43" x14ac:dyDescent="0.25">
      <c r="A56" s="52" t="s">
        <v>58</v>
      </c>
      <c r="B56" s="166">
        <v>9150.25</v>
      </c>
      <c r="C56" s="166"/>
      <c r="D56" s="166"/>
      <c r="E56" s="82">
        <f>293.67</f>
        <v>293.67</v>
      </c>
      <c r="F56" s="83"/>
      <c r="G56" s="84"/>
      <c r="H56" s="82">
        <f>293.67</f>
        <v>293.67</v>
      </c>
      <c r="I56" s="83"/>
      <c r="J56" s="84"/>
      <c r="K56" s="82">
        <f>293.67</f>
        <v>293.67</v>
      </c>
      <c r="L56" s="83"/>
      <c r="M56" s="84"/>
      <c r="N56" s="82">
        <f>293.67</f>
        <v>293.67</v>
      </c>
      <c r="O56" s="83"/>
      <c r="P56" s="84"/>
      <c r="Q56" s="82">
        <f>293.67</f>
        <v>293.67</v>
      </c>
      <c r="R56" s="83"/>
      <c r="S56" s="84"/>
      <c r="T56" s="82">
        <f>293.67</f>
        <v>293.67</v>
      </c>
      <c r="U56" s="83"/>
      <c r="V56" s="84"/>
      <c r="W56" s="82">
        <f>293.67</f>
        <v>293.67</v>
      </c>
      <c r="X56" s="83"/>
      <c r="Y56" s="84"/>
      <c r="Z56" s="82">
        <f>293.67</f>
        <v>293.67</v>
      </c>
      <c r="AA56" s="83"/>
      <c r="AB56" s="84"/>
      <c r="AC56" s="82">
        <f>293.67</f>
        <v>293.67</v>
      </c>
      <c r="AD56" s="83"/>
      <c r="AE56" s="84"/>
      <c r="AF56" s="82">
        <f>293.67</f>
        <v>293.67</v>
      </c>
      <c r="AG56" s="83"/>
      <c r="AH56" s="84"/>
      <c r="AI56" s="164">
        <f>245.25</f>
        <v>245.25</v>
      </c>
      <c r="AJ56" s="164"/>
      <c r="AK56" s="164"/>
      <c r="AL56" s="89">
        <f t="shared" si="3"/>
        <v>3181.9500000000003</v>
      </c>
      <c r="AM56" s="90"/>
      <c r="AN56" s="91"/>
      <c r="AO56" s="53">
        <f>AL56/AL103</f>
        <v>4.488568148241878E-3</v>
      </c>
      <c r="AP56" s="165">
        <f>9150.25+AL56</f>
        <v>12332.2</v>
      </c>
      <c r="AQ56" s="165"/>
    </row>
    <row r="57" spans="1:43" x14ac:dyDescent="0.25">
      <c r="A57" s="52" t="s">
        <v>59</v>
      </c>
      <c r="B57" s="166">
        <v>2618.94</v>
      </c>
      <c r="C57" s="166"/>
      <c r="D57" s="166"/>
      <c r="E57" s="82">
        <f>215+215</f>
        <v>430</v>
      </c>
      <c r="F57" s="83"/>
      <c r="G57" s="84"/>
      <c r="H57" s="82">
        <f>215</f>
        <v>215</v>
      </c>
      <c r="I57" s="83"/>
      <c r="J57" s="84"/>
      <c r="K57" s="82">
        <f>215</f>
        <v>215</v>
      </c>
      <c r="L57" s="83"/>
      <c r="M57" s="84"/>
      <c r="N57" s="82">
        <f>215</f>
        <v>215</v>
      </c>
      <c r="O57" s="83"/>
      <c r="P57" s="84"/>
      <c r="Q57" s="82">
        <f>215</f>
        <v>215</v>
      </c>
      <c r="R57" s="83"/>
      <c r="S57" s="84"/>
      <c r="T57" s="82">
        <f>215</f>
        <v>215</v>
      </c>
      <c r="U57" s="83"/>
      <c r="V57" s="84"/>
      <c r="W57" s="82">
        <f>215</f>
        <v>215</v>
      </c>
      <c r="X57" s="83"/>
      <c r="Y57" s="84"/>
      <c r="Z57" s="82">
        <f>215</f>
        <v>215</v>
      </c>
      <c r="AA57" s="83"/>
      <c r="AB57" s="84"/>
      <c r="AC57" s="82">
        <f>215</f>
        <v>215</v>
      </c>
      <c r="AD57" s="83"/>
      <c r="AE57" s="84"/>
      <c r="AF57" s="82">
        <f>215</f>
        <v>215</v>
      </c>
      <c r="AG57" s="83"/>
      <c r="AH57" s="84"/>
      <c r="AI57" s="164">
        <f>215</f>
        <v>215</v>
      </c>
      <c r="AJ57" s="164"/>
      <c r="AK57" s="164"/>
      <c r="AL57" s="89">
        <f t="shared" si="3"/>
        <v>2580</v>
      </c>
      <c r="AM57" s="90"/>
      <c r="AN57" s="91"/>
      <c r="AO57" s="53">
        <f>AL57/AL103</f>
        <v>3.6394367675369015E-3</v>
      </c>
      <c r="AP57" s="165">
        <f>2618.94+AL57</f>
        <v>5198.9400000000005</v>
      </c>
      <c r="AQ57" s="165"/>
    </row>
    <row r="58" spans="1:43" x14ac:dyDescent="0.25">
      <c r="A58" s="52" t="s">
        <v>60</v>
      </c>
      <c r="B58" s="89">
        <v>0</v>
      </c>
      <c r="C58" s="90"/>
      <c r="D58" s="91"/>
      <c r="E58" s="82">
        <v>0</v>
      </c>
      <c r="F58" s="83"/>
      <c r="G58" s="84"/>
      <c r="H58" s="82">
        <v>0</v>
      </c>
      <c r="I58" s="83"/>
      <c r="J58" s="84"/>
      <c r="K58" s="82">
        <v>0</v>
      </c>
      <c r="L58" s="83"/>
      <c r="M58" s="84"/>
      <c r="N58" s="82">
        <v>0</v>
      </c>
      <c r="O58" s="83"/>
      <c r="P58" s="84"/>
      <c r="Q58" s="82">
        <v>0</v>
      </c>
      <c r="R58" s="83"/>
      <c r="S58" s="84"/>
      <c r="T58" s="82">
        <v>0</v>
      </c>
      <c r="U58" s="83"/>
      <c r="V58" s="84"/>
      <c r="W58" s="82">
        <f>39</f>
        <v>39</v>
      </c>
      <c r="X58" s="83"/>
      <c r="Y58" s="84"/>
      <c r="Z58" s="82">
        <f>39</f>
        <v>39</v>
      </c>
      <c r="AA58" s="83"/>
      <c r="AB58" s="84"/>
      <c r="AC58" s="82">
        <f>39</f>
        <v>39</v>
      </c>
      <c r="AD58" s="83"/>
      <c r="AE58" s="84"/>
      <c r="AF58" s="82">
        <f>39</f>
        <v>39</v>
      </c>
      <c r="AG58" s="83"/>
      <c r="AH58" s="84"/>
      <c r="AI58" s="164">
        <f>39</f>
        <v>39</v>
      </c>
      <c r="AJ58" s="164"/>
      <c r="AK58" s="164"/>
      <c r="AL58" s="89">
        <f t="shared" si="3"/>
        <v>195</v>
      </c>
      <c r="AM58" s="90"/>
      <c r="AN58" s="91"/>
      <c r="AO58" s="53">
        <f>AL58/AL104</f>
        <v>1.3590879808740759E-3</v>
      </c>
      <c r="AP58" s="167">
        <f>0+AL58</f>
        <v>195</v>
      </c>
      <c r="AQ58" s="169"/>
    </row>
    <row r="59" spans="1:43" x14ac:dyDescent="0.25">
      <c r="A59" s="52" t="s">
        <v>61</v>
      </c>
      <c r="B59" s="166">
        <v>25282.46</v>
      </c>
      <c r="C59" s="166"/>
      <c r="D59" s="166"/>
      <c r="E59" s="82">
        <v>0</v>
      </c>
      <c r="F59" s="83"/>
      <c r="G59" s="84"/>
      <c r="H59" s="82">
        <v>0</v>
      </c>
      <c r="I59" s="83"/>
      <c r="J59" s="84"/>
      <c r="K59" s="82">
        <v>0</v>
      </c>
      <c r="L59" s="83"/>
      <c r="M59" s="84"/>
      <c r="N59" s="82">
        <v>0</v>
      </c>
      <c r="O59" s="83"/>
      <c r="P59" s="84"/>
      <c r="Q59" s="82">
        <f>500</f>
        <v>500</v>
      </c>
      <c r="R59" s="83"/>
      <c r="S59" s="84"/>
      <c r="T59" s="82">
        <v>0</v>
      </c>
      <c r="U59" s="83"/>
      <c r="V59" s="84"/>
      <c r="W59" s="82">
        <v>0</v>
      </c>
      <c r="X59" s="83"/>
      <c r="Y59" s="84"/>
      <c r="Z59" s="82">
        <v>0</v>
      </c>
      <c r="AA59" s="83"/>
      <c r="AB59" s="84"/>
      <c r="AC59" s="82">
        <v>0</v>
      </c>
      <c r="AD59" s="83"/>
      <c r="AE59" s="84"/>
      <c r="AF59" s="82">
        <v>0</v>
      </c>
      <c r="AG59" s="83"/>
      <c r="AH59" s="84"/>
      <c r="AI59" s="164">
        <v>0</v>
      </c>
      <c r="AJ59" s="164"/>
      <c r="AK59" s="164"/>
      <c r="AL59" s="89">
        <f t="shared" si="3"/>
        <v>500</v>
      </c>
      <c r="AM59" s="90"/>
      <c r="AN59" s="91"/>
      <c r="AO59" s="53">
        <f>AL59/AL103</f>
        <v>7.0531720301102749E-4</v>
      </c>
      <c r="AP59" s="165">
        <f>25282.46+AL59</f>
        <v>25782.46</v>
      </c>
      <c r="AQ59" s="165"/>
    </row>
    <row r="60" spans="1:43" x14ac:dyDescent="0.25">
      <c r="A60" s="52" t="s">
        <v>62</v>
      </c>
      <c r="B60" s="166">
        <v>1500</v>
      </c>
      <c r="C60" s="166"/>
      <c r="D60" s="166"/>
      <c r="E60" s="82">
        <v>0</v>
      </c>
      <c r="F60" s="83"/>
      <c r="G60" s="84"/>
      <c r="H60" s="82">
        <v>0</v>
      </c>
      <c r="I60" s="83"/>
      <c r="J60" s="84"/>
      <c r="K60" s="82">
        <v>0</v>
      </c>
      <c r="L60" s="83"/>
      <c r="M60" s="84"/>
      <c r="N60" s="82">
        <v>0</v>
      </c>
      <c r="O60" s="83"/>
      <c r="P60" s="84"/>
      <c r="Q60" s="82">
        <v>0</v>
      </c>
      <c r="R60" s="83"/>
      <c r="S60" s="84"/>
      <c r="T60" s="82">
        <v>0</v>
      </c>
      <c r="U60" s="83"/>
      <c r="V60" s="84"/>
      <c r="W60" s="82">
        <v>0</v>
      </c>
      <c r="X60" s="83"/>
      <c r="Y60" s="84"/>
      <c r="Z60" s="82">
        <v>0</v>
      </c>
      <c r="AA60" s="83"/>
      <c r="AB60" s="84"/>
      <c r="AC60" s="82">
        <v>0</v>
      </c>
      <c r="AD60" s="83"/>
      <c r="AE60" s="84"/>
      <c r="AF60" s="82">
        <v>0</v>
      </c>
      <c r="AG60" s="83"/>
      <c r="AH60" s="84"/>
      <c r="AI60" s="164">
        <v>0</v>
      </c>
      <c r="AJ60" s="164"/>
      <c r="AK60" s="164"/>
      <c r="AL60" s="89">
        <f t="shared" si="3"/>
        <v>0</v>
      </c>
      <c r="AM60" s="90"/>
      <c r="AN60" s="91"/>
      <c r="AO60" s="53">
        <f>AL60/AL103</f>
        <v>0</v>
      </c>
      <c r="AP60" s="165">
        <f>1500+AL60</f>
        <v>1500</v>
      </c>
      <c r="AQ60" s="165"/>
    </row>
    <row r="61" spans="1:43" x14ac:dyDescent="0.25">
      <c r="A61" s="52" t="s">
        <v>63</v>
      </c>
      <c r="B61" s="166">
        <v>5618.11</v>
      </c>
      <c r="C61" s="166"/>
      <c r="D61" s="166"/>
      <c r="E61" s="82">
        <v>0</v>
      </c>
      <c r="F61" s="83"/>
      <c r="G61" s="84"/>
      <c r="H61" s="82">
        <v>0</v>
      </c>
      <c r="I61" s="83"/>
      <c r="J61" s="84"/>
      <c r="K61" s="82">
        <v>0</v>
      </c>
      <c r="L61" s="83"/>
      <c r="M61" s="84"/>
      <c r="N61" s="82">
        <v>0</v>
      </c>
      <c r="O61" s="83"/>
      <c r="P61" s="84"/>
      <c r="Q61" s="82">
        <v>0</v>
      </c>
      <c r="R61" s="83"/>
      <c r="S61" s="84"/>
      <c r="T61" s="82">
        <v>0</v>
      </c>
      <c r="U61" s="83"/>
      <c r="V61" s="84"/>
      <c r="W61" s="82">
        <v>0</v>
      </c>
      <c r="X61" s="83"/>
      <c r="Y61" s="84"/>
      <c r="Z61" s="82">
        <v>0</v>
      </c>
      <c r="AA61" s="83"/>
      <c r="AB61" s="84"/>
      <c r="AC61" s="82">
        <v>0</v>
      </c>
      <c r="AD61" s="83"/>
      <c r="AE61" s="84"/>
      <c r="AF61" s="82">
        <v>0</v>
      </c>
      <c r="AG61" s="83"/>
      <c r="AH61" s="84"/>
      <c r="AI61" s="164">
        <v>0</v>
      </c>
      <c r="AJ61" s="164"/>
      <c r="AK61" s="164"/>
      <c r="AL61" s="89">
        <f t="shared" si="3"/>
        <v>0</v>
      </c>
      <c r="AM61" s="90"/>
      <c r="AN61" s="91"/>
      <c r="AO61" s="53">
        <f>AL61/AL103</f>
        <v>0</v>
      </c>
      <c r="AP61" s="165">
        <f>5618.11+AL61</f>
        <v>5618.11</v>
      </c>
      <c r="AQ61" s="165"/>
    </row>
    <row r="62" spans="1:43" x14ac:dyDescent="0.25">
      <c r="A62" s="52" t="s">
        <v>64</v>
      </c>
      <c r="B62" s="166">
        <v>0</v>
      </c>
      <c r="C62" s="166"/>
      <c r="D62" s="166"/>
      <c r="E62" s="82">
        <v>0</v>
      </c>
      <c r="F62" s="83"/>
      <c r="G62" s="84"/>
      <c r="H62" s="82">
        <v>0</v>
      </c>
      <c r="I62" s="83"/>
      <c r="J62" s="84"/>
      <c r="K62" s="82">
        <v>0</v>
      </c>
      <c r="L62" s="83"/>
      <c r="M62" s="84"/>
      <c r="N62" s="82">
        <f>40</f>
        <v>40</v>
      </c>
      <c r="O62" s="83"/>
      <c r="P62" s="84"/>
      <c r="Q62" s="82">
        <v>0</v>
      </c>
      <c r="R62" s="83"/>
      <c r="S62" s="84"/>
      <c r="T62" s="82">
        <v>0</v>
      </c>
      <c r="U62" s="83"/>
      <c r="V62" s="84"/>
      <c r="W62" s="82">
        <v>0</v>
      </c>
      <c r="X62" s="83"/>
      <c r="Y62" s="84"/>
      <c r="Z62" s="82">
        <v>0</v>
      </c>
      <c r="AA62" s="83"/>
      <c r="AB62" s="84"/>
      <c r="AC62" s="82">
        <v>0</v>
      </c>
      <c r="AD62" s="83"/>
      <c r="AE62" s="84"/>
      <c r="AF62" s="82">
        <v>0</v>
      </c>
      <c r="AG62" s="83"/>
      <c r="AH62" s="84"/>
      <c r="AI62" s="164">
        <v>0</v>
      </c>
      <c r="AJ62" s="164"/>
      <c r="AK62" s="164"/>
      <c r="AL62" s="89">
        <f t="shared" si="3"/>
        <v>40</v>
      </c>
      <c r="AM62" s="90"/>
      <c r="AN62" s="91"/>
      <c r="AO62" s="53">
        <f>AL62/AL103</f>
        <v>5.6425376240882195E-5</v>
      </c>
      <c r="AP62" s="165">
        <f>0+AL62</f>
        <v>40</v>
      </c>
      <c r="AQ62" s="165"/>
    </row>
    <row r="63" spans="1:43" x14ac:dyDescent="0.25">
      <c r="A63" s="52" t="s">
        <v>65</v>
      </c>
      <c r="B63" s="166">
        <v>2170</v>
      </c>
      <c r="C63" s="166"/>
      <c r="D63" s="166"/>
      <c r="E63" s="82">
        <v>0</v>
      </c>
      <c r="F63" s="83"/>
      <c r="G63" s="84"/>
      <c r="H63" s="82">
        <v>0</v>
      </c>
      <c r="I63" s="83"/>
      <c r="J63" s="84"/>
      <c r="K63" s="82">
        <v>0</v>
      </c>
      <c r="L63" s="83"/>
      <c r="M63" s="84"/>
      <c r="N63" s="82">
        <v>0</v>
      </c>
      <c r="O63" s="83"/>
      <c r="P63" s="84"/>
      <c r="Q63" s="82">
        <v>0</v>
      </c>
      <c r="R63" s="83"/>
      <c r="S63" s="84"/>
      <c r="T63" s="82">
        <v>0</v>
      </c>
      <c r="U63" s="83"/>
      <c r="V63" s="84"/>
      <c r="W63" s="82">
        <v>0</v>
      </c>
      <c r="X63" s="83"/>
      <c r="Y63" s="84"/>
      <c r="Z63" s="82">
        <v>0</v>
      </c>
      <c r="AA63" s="83"/>
      <c r="AB63" s="84"/>
      <c r="AC63" s="82">
        <v>0</v>
      </c>
      <c r="AD63" s="83"/>
      <c r="AE63" s="84"/>
      <c r="AF63" s="82">
        <v>0</v>
      </c>
      <c r="AG63" s="83"/>
      <c r="AH63" s="84"/>
      <c r="AI63" s="164">
        <v>0</v>
      </c>
      <c r="AJ63" s="164"/>
      <c r="AK63" s="164"/>
      <c r="AL63" s="89">
        <f t="shared" si="3"/>
        <v>0</v>
      </c>
      <c r="AM63" s="90"/>
      <c r="AN63" s="91"/>
      <c r="AO63" s="53">
        <f>AL63/AL103</f>
        <v>0</v>
      </c>
      <c r="AP63" s="165">
        <f>2170+AL63</f>
        <v>2170</v>
      </c>
      <c r="AQ63" s="165"/>
    </row>
    <row r="64" spans="1:43" x14ac:dyDescent="0.25">
      <c r="A64" s="50" t="s">
        <v>66</v>
      </c>
      <c r="B64" s="160">
        <f>SUM(B65:D68)</f>
        <v>192764.56999999998</v>
      </c>
      <c r="C64" s="160"/>
      <c r="D64" s="160"/>
      <c r="E64" s="153">
        <f>SUM(E65:G68)</f>
        <v>13428.149999999998</v>
      </c>
      <c r="F64" s="154"/>
      <c r="G64" s="155"/>
      <c r="H64" s="153">
        <f>SUM(H65:J68)</f>
        <v>12011.390000000001</v>
      </c>
      <c r="I64" s="154"/>
      <c r="J64" s="155"/>
      <c r="K64" s="153">
        <f>SUM(K65:M68)</f>
        <v>1386.5400000000002</v>
      </c>
      <c r="L64" s="154"/>
      <c r="M64" s="155"/>
      <c r="N64" s="153">
        <f>SUM(N65:P68)</f>
        <v>13324.27</v>
      </c>
      <c r="O64" s="154"/>
      <c r="P64" s="155"/>
      <c r="Q64" s="153">
        <f>SUM(Q65:S68)</f>
        <v>3314.84</v>
      </c>
      <c r="R64" s="154"/>
      <c r="S64" s="155"/>
      <c r="T64" s="153">
        <f>SUM(T65:V68)</f>
        <v>12706.07</v>
      </c>
      <c r="U64" s="154"/>
      <c r="V64" s="155"/>
      <c r="W64" s="153">
        <f>SUM(W65:Y68)</f>
        <v>959.34999999999991</v>
      </c>
      <c r="X64" s="154"/>
      <c r="Y64" s="155"/>
      <c r="Z64" s="153">
        <f>SUM(Z65:AB68)</f>
        <v>13477.11</v>
      </c>
      <c r="AA64" s="154"/>
      <c r="AB64" s="155"/>
      <c r="AC64" s="153">
        <f>SUM(AC65:AE68)</f>
        <v>1015.9</v>
      </c>
      <c r="AD64" s="154"/>
      <c r="AE64" s="155"/>
      <c r="AF64" s="153">
        <f>SUM(AF65:AH68)</f>
        <v>15040.84</v>
      </c>
      <c r="AG64" s="154"/>
      <c r="AH64" s="155"/>
      <c r="AI64" s="153">
        <f>SUM(AI65:AK68)</f>
        <v>6816.07</v>
      </c>
      <c r="AJ64" s="154"/>
      <c r="AK64" s="155"/>
      <c r="AL64" s="156">
        <f>SUM(AL65:AN68)</f>
        <v>93480.529999999984</v>
      </c>
      <c r="AM64" s="157"/>
      <c r="AN64" s="158"/>
      <c r="AO64" s="51">
        <f>AL64/AL103</f>
        <v>0.13186685191117686</v>
      </c>
      <c r="AP64" s="159">
        <f>SUM(AP65:AQ68)</f>
        <v>286245.09999999998</v>
      </c>
      <c r="AQ64" s="159"/>
    </row>
    <row r="65" spans="1:43" x14ac:dyDescent="0.25">
      <c r="A65" s="52" t="s">
        <v>67</v>
      </c>
      <c r="B65" s="166">
        <v>120948.56</v>
      </c>
      <c r="C65" s="166"/>
      <c r="D65" s="166"/>
      <c r="E65" s="82">
        <f>9.5+9.5+39.8+9.5+11623.59+3.98+42+1+1+9.5</f>
        <v>11749.369999999999</v>
      </c>
      <c r="F65" s="83"/>
      <c r="G65" s="84"/>
      <c r="H65" s="82">
        <f>89.55+9.5+9.5+45.77+42+11502.2+27.86</f>
        <v>11726.380000000001</v>
      </c>
      <c r="I65" s="83"/>
      <c r="J65" s="84"/>
      <c r="K65" s="82">
        <f>9.5+7.96+9.5+9.5+9.5+11.94+145.27+9.5+250.74+42+1.99+9.5</f>
        <v>516.90000000000009</v>
      </c>
      <c r="L65" s="83"/>
      <c r="M65" s="84"/>
      <c r="N65" s="82">
        <f>11851.69</f>
        <v>11851.69</v>
      </c>
      <c r="O65" s="83"/>
      <c r="P65" s="84"/>
      <c r="Q65" s="82">
        <f>9.95+10+10+15.92+36.5+10+13.93+69.65</f>
        <v>175.95000000000002</v>
      </c>
      <c r="R65" s="83"/>
      <c r="S65" s="84"/>
      <c r="T65" s="82">
        <f>1.99+7.96+10+1.99+10+1.99+1.99+10+10+11589.76+3.98</f>
        <v>11649.66</v>
      </c>
      <c r="U65" s="83"/>
      <c r="V65" s="84"/>
      <c r="W65" s="82">
        <f>35.82+11.94+10+1.99+10+27.86</f>
        <v>97.61</v>
      </c>
      <c r="X65" s="83"/>
      <c r="Y65" s="84"/>
      <c r="Z65" s="82">
        <f>10+7.96+5.97+12535.01+10</f>
        <v>12568.94</v>
      </c>
      <c r="AA65" s="83"/>
      <c r="AB65" s="84"/>
      <c r="AC65" s="82">
        <f>1.99+10+10+469.64+147.26+10+10</f>
        <v>658.89</v>
      </c>
      <c r="AD65" s="83"/>
      <c r="AE65" s="84"/>
      <c r="AF65" s="82">
        <f>10+10+89.55+10+5.97+13729.01+10</f>
        <v>13864.53</v>
      </c>
      <c r="AG65" s="83"/>
      <c r="AH65" s="84"/>
      <c r="AI65" s="164">
        <f>1.99+10+10+463.67+1.5+1.99+1.5+1.5</f>
        <v>492.15000000000003</v>
      </c>
      <c r="AJ65" s="164"/>
      <c r="AK65" s="164"/>
      <c r="AL65" s="89">
        <f>0+E65+H65+K65+N65+Q65+T65+W65+Z65+AC65+AF65+AI65</f>
        <v>75352.069999999992</v>
      </c>
      <c r="AM65" s="90"/>
      <c r="AN65" s="91"/>
      <c r="AO65" s="53">
        <f>AL65/AL103</f>
        <v>0.1062942225069823</v>
      </c>
      <c r="AP65" s="165">
        <f>120948.56+AL65</f>
        <v>196300.63</v>
      </c>
      <c r="AQ65" s="165"/>
    </row>
    <row r="66" spans="1:43" x14ac:dyDescent="0.25">
      <c r="A66" s="52" t="s">
        <v>68</v>
      </c>
      <c r="B66" s="166">
        <v>47642.8</v>
      </c>
      <c r="C66" s="166"/>
      <c r="D66" s="166"/>
      <c r="E66" s="82">
        <f>77.46+240.13+70.87+219.71+77.46+70.87+240.13+219.71+203.66+203.66</f>
        <v>1623.66</v>
      </c>
      <c r="F66" s="83"/>
      <c r="G66" s="84"/>
      <c r="H66" s="82">
        <f>113.42+94.16</f>
        <v>207.57999999999998</v>
      </c>
      <c r="I66" s="83"/>
      <c r="J66" s="84"/>
      <c r="K66" s="82">
        <f>67.5+77.46+209.25+159.05+252.91</f>
        <v>766.17</v>
      </c>
      <c r="L66" s="83"/>
      <c r="M66" s="84"/>
      <c r="N66" s="82">
        <f>240.13+209.25+77.46+67.5+252.91</f>
        <v>847.25</v>
      </c>
      <c r="O66" s="83"/>
      <c r="P66" s="84"/>
      <c r="Q66" s="82">
        <f>209.25+67.5+240.13+77.46+252.91</f>
        <v>847.25</v>
      </c>
      <c r="R66" s="83"/>
      <c r="S66" s="84"/>
      <c r="T66" s="82">
        <f>67.5+209.25+77.46+240.13+56.2+97.25+210.76</f>
        <v>958.55</v>
      </c>
      <c r="U66" s="83"/>
      <c r="V66" s="84"/>
      <c r="W66" s="82">
        <f>240.13+77.46+209.25+67.5+219.74</f>
        <v>814.07999999999993</v>
      </c>
      <c r="X66" s="83"/>
      <c r="Y66" s="84"/>
      <c r="Z66" s="82">
        <f>77.46+67.5+240.13+209.25+270.09</f>
        <v>864.42999999999984</v>
      </c>
      <c r="AA66" s="83"/>
      <c r="AB66" s="84"/>
      <c r="AC66" s="82">
        <f>240.13+77.46</f>
        <v>317.58999999999997</v>
      </c>
      <c r="AD66" s="83"/>
      <c r="AE66" s="84"/>
      <c r="AF66" s="82">
        <f>135+240.13+418.5+77.46+142.82+59.97</f>
        <v>1073.8800000000001</v>
      </c>
      <c r="AG66" s="83"/>
      <c r="AH66" s="84"/>
      <c r="AI66" s="164">
        <f>67.5+77.46+1050+209.25+3255.5+240.13</f>
        <v>4899.84</v>
      </c>
      <c r="AJ66" s="164"/>
      <c r="AK66" s="164"/>
      <c r="AL66" s="89">
        <f t="shared" ref="AL66:AL68" si="4">0+E66+H66+K66+N66+Q66+T66+W66+Z66+AC66+AF66+AI66</f>
        <v>13220.279999999999</v>
      </c>
      <c r="AM66" s="90"/>
      <c r="AN66" s="91"/>
      <c r="AO66" s="53">
        <f>AL66/AL103</f>
        <v>1.8648981825245249E-2</v>
      </c>
      <c r="AP66" s="165">
        <f>47642.8+AL66</f>
        <v>60863.08</v>
      </c>
      <c r="AQ66" s="165"/>
    </row>
    <row r="67" spans="1:43" x14ac:dyDescent="0.25">
      <c r="A67" s="52" t="s">
        <v>69</v>
      </c>
      <c r="B67" s="166">
        <v>24147.84</v>
      </c>
      <c r="C67" s="166"/>
      <c r="D67" s="166"/>
      <c r="E67" s="82">
        <f>48.46</f>
        <v>48.46</v>
      </c>
      <c r="F67" s="83"/>
      <c r="G67" s="84"/>
      <c r="H67" s="82">
        <f>72.49</f>
        <v>72.489999999999995</v>
      </c>
      <c r="I67" s="83"/>
      <c r="J67" s="84"/>
      <c r="K67" s="82">
        <f>103.47</f>
        <v>103.47</v>
      </c>
      <c r="L67" s="83"/>
      <c r="M67" s="84"/>
      <c r="N67" s="82">
        <f>163</f>
        <v>163</v>
      </c>
      <c r="O67" s="83"/>
      <c r="P67" s="84"/>
      <c r="Q67" s="82">
        <f>808.1+1448.28+35.26</f>
        <v>2291.6400000000003</v>
      </c>
      <c r="R67" s="83"/>
      <c r="S67" s="84"/>
      <c r="T67" s="82">
        <f>97.86</f>
        <v>97.86</v>
      </c>
      <c r="U67" s="83"/>
      <c r="V67" s="84"/>
      <c r="W67" s="82">
        <f>46.61</f>
        <v>46.61</v>
      </c>
      <c r="X67" s="83"/>
      <c r="Y67" s="84"/>
      <c r="Z67" s="82">
        <f>43.74</f>
        <v>43.74</v>
      </c>
      <c r="AA67" s="83"/>
      <c r="AB67" s="84"/>
      <c r="AC67" s="82">
        <f>39.42</f>
        <v>39.42</v>
      </c>
      <c r="AD67" s="83"/>
      <c r="AE67" s="84"/>
      <c r="AF67" s="82">
        <f>102.43</f>
        <v>102.43</v>
      </c>
      <c r="AG67" s="83"/>
      <c r="AH67" s="84"/>
      <c r="AI67" s="164">
        <f>108+1226.21+89.87</f>
        <v>1424.08</v>
      </c>
      <c r="AJ67" s="164"/>
      <c r="AK67" s="164"/>
      <c r="AL67" s="89">
        <f t="shared" si="4"/>
        <v>4433.2000000000007</v>
      </c>
      <c r="AM67" s="90"/>
      <c r="AN67" s="91"/>
      <c r="AO67" s="53">
        <f>AL67/AL103</f>
        <v>6.2536244487769749E-3</v>
      </c>
      <c r="AP67" s="165">
        <f>24147.84+AL67</f>
        <v>28581.040000000001</v>
      </c>
      <c r="AQ67" s="165"/>
    </row>
    <row r="68" spans="1:43" x14ac:dyDescent="0.25">
      <c r="A68" s="52" t="s">
        <v>70</v>
      </c>
      <c r="B68" s="166">
        <v>25.37</v>
      </c>
      <c r="C68" s="166"/>
      <c r="D68" s="166"/>
      <c r="E68" s="82">
        <f>6.66</f>
        <v>6.66</v>
      </c>
      <c r="F68" s="83"/>
      <c r="G68" s="84"/>
      <c r="H68" s="82">
        <f>1.37+1.09+2.48</f>
        <v>4.9399999999999995</v>
      </c>
      <c r="I68" s="83"/>
      <c r="J68" s="84"/>
      <c r="K68" s="82">
        <v>0</v>
      </c>
      <c r="L68" s="83"/>
      <c r="M68" s="84"/>
      <c r="N68" s="82">
        <f>462.33</f>
        <v>462.33</v>
      </c>
      <c r="O68" s="83"/>
      <c r="P68" s="84"/>
      <c r="Q68" s="82">
        <v>0</v>
      </c>
      <c r="R68" s="83"/>
      <c r="S68" s="84"/>
      <c r="T68" s="82">
        <v>0</v>
      </c>
      <c r="U68" s="83"/>
      <c r="V68" s="84"/>
      <c r="W68" s="82">
        <f>1.05</f>
        <v>1.05</v>
      </c>
      <c r="X68" s="83"/>
      <c r="Y68" s="84"/>
      <c r="Z68" s="82">
        <v>0</v>
      </c>
      <c r="AA68" s="83"/>
      <c r="AB68" s="84"/>
      <c r="AC68" s="82">
        <v>0</v>
      </c>
      <c r="AD68" s="83"/>
      <c r="AE68" s="84"/>
      <c r="AF68" s="82">
        <v>0</v>
      </c>
      <c r="AG68" s="83"/>
      <c r="AH68" s="84"/>
      <c r="AI68" s="164">
        <v>0</v>
      </c>
      <c r="AJ68" s="164"/>
      <c r="AK68" s="164"/>
      <c r="AL68" s="89">
        <f t="shared" si="4"/>
        <v>474.98</v>
      </c>
      <c r="AM68" s="90"/>
      <c r="AN68" s="91"/>
      <c r="AO68" s="53">
        <f>AL68/AL103</f>
        <v>6.700231301723557E-4</v>
      </c>
      <c r="AP68" s="165">
        <f>25.37+AL68</f>
        <v>500.35</v>
      </c>
      <c r="AQ68" s="165"/>
    </row>
    <row r="69" spans="1:43" x14ac:dyDescent="0.25">
      <c r="A69" s="50" t="s">
        <v>71</v>
      </c>
      <c r="B69" s="160">
        <f>SUM(B70:D83)</f>
        <v>379800.62</v>
      </c>
      <c r="C69" s="160"/>
      <c r="D69" s="160"/>
      <c r="E69" s="153">
        <f>SUM(E70:G83)</f>
        <v>11747.81</v>
      </c>
      <c r="F69" s="154"/>
      <c r="G69" s="155"/>
      <c r="H69" s="153">
        <f>SUM(H70:J83)</f>
        <v>9765.11</v>
      </c>
      <c r="I69" s="154"/>
      <c r="J69" s="155"/>
      <c r="K69" s="153">
        <f>SUM(K70:M83)</f>
        <v>11378.32</v>
      </c>
      <c r="L69" s="154"/>
      <c r="M69" s="155"/>
      <c r="N69" s="153">
        <f>SUM(N70:P83)</f>
        <v>10209.619999999999</v>
      </c>
      <c r="O69" s="154"/>
      <c r="P69" s="155"/>
      <c r="Q69" s="153">
        <f>SUM(Q70:S83)</f>
        <v>10249.41</v>
      </c>
      <c r="R69" s="154"/>
      <c r="S69" s="155"/>
      <c r="T69" s="153">
        <f>SUM(T70:V83)</f>
        <v>10155.92</v>
      </c>
      <c r="U69" s="154"/>
      <c r="V69" s="155"/>
      <c r="W69" s="153">
        <f>SUM(W70:Y83)</f>
        <v>12112.19</v>
      </c>
      <c r="X69" s="154"/>
      <c r="Y69" s="155"/>
      <c r="Z69" s="153">
        <f>SUM(Z70:AB83)</f>
        <v>9880.83</v>
      </c>
      <c r="AA69" s="154"/>
      <c r="AB69" s="155"/>
      <c r="AC69" s="153">
        <f>SUM(AC70:AE83)</f>
        <v>11844.41</v>
      </c>
      <c r="AD69" s="154"/>
      <c r="AE69" s="155"/>
      <c r="AF69" s="153">
        <f>SUM(AF70:AH83)</f>
        <v>13633.25</v>
      </c>
      <c r="AG69" s="154"/>
      <c r="AH69" s="155"/>
      <c r="AI69" s="153">
        <f>SUM(AI70:AK83)</f>
        <v>18365.440000000002</v>
      </c>
      <c r="AJ69" s="154"/>
      <c r="AK69" s="155"/>
      <c r="AL69" s="156">
        <f>SUM(AL70:AN83)</f>
        <v>129342.31</v>
      </c>
      <c r="AM69" s="157"/>
      <c r="AN69" s="158"/>
      <c r="AO69" s="51">
        <f>AL69/AL103</f>
        <v>0.1824547126403705</v>
      </c>
      <c r="AP69" s="159">
        <f>SUM(AP70:AQ83)</f>
        <v>509142.92999999993</v>
      </c>
      <c r="AQ69" s="159"/>
    </row>
    <row r="70" spans="1:43" x14ac:dyDescent="0.25">
      <c r="A70" s="55" t="s">
        <v>72</v>
      </c>
      <c r="B70" s="166">
        <v>9608.91</v>
      </c>
      <c r="C70" s="166"/>
      <c r="D70" s="166"/>
      <c r="E70" s="82">
        <v>0</v>
      </c>
      <c r="F70" s="83"/>
      <c r="G70" s="84"/>
      <c r="H70" s="82">
        <v>0</v>
      </c>
      <c r="I70" s="83"/>
      <c r="J70" s="84"/>
      <c r="K70" s="82">
        <v>0</v>
      </c>
      <c r="L70" s="83"/>
      <c r="M70" s="84"/>
      <c r="N70" s="82">
        <v>0</v>
      </c>
      <c r="O70" s="83"/>
      <c r="P70" s="84"/>
      <c r="Q70" s="82">
        <v>0</v>
      </c>
      <c r="R70" s="83"/>
      <c r="S70" s="84"/>
      <c r="T70" s="82">
        <v>0</v>
      </c>
      <c r="U70" s="83"/>
      <c r="V70" s="84"/>
      <c r="W70" s="82">
        <v>0</v>
      </c>
      <c r="X70" s="83"/>
      <c r="Y70" s="84"/>
      <c r="Z70" s="82">
        <v>0</v>
      </c>
      <c r="AA70" s="83"/>
      <c r="AB70" s="84"/>
      <c r="AC70" s="82">
        <v>0</v>
      </c>
      <c r="AD70" s="83"/>
      <c r="AE70" s="84"/>
      <c r="AF70" s="82">
        <v>0</v>
      </c>
      <c r="AG70" s="83"/>
      <c r="AH70" s="84"/>
      <c r="AI70" s="164">
        <v>0</v>
      </c>
      <c r="AJ70" s="164"/>
      <c r="AK70" s="164"/>
      <c r="AL70" s="89">
        <f>0+E70+H70+K70+N70+Q70+T70+W70+Z70+AC70+AF70+AI70</f>
        <v>0</v>
      </c>
      <c r="AM70" s="90"/>
      <c r="AN70" s="91"/>
      <c r="AO70" s="53">
        <f>AL70/AL103</f>
        <v>0</v>
      </c>
      <c r="AP70" s="165">
        <f>9608.91+AL70</f>
        <v>9608.91</v>
      </c>
      <c r="AQ70" s="165"/>
    </row>
    <row r="71" spans="1:43" x14ac:dyDescent="0.25">
      <c r="A71" s="55" t="s">
        <v>73</v>
      </c>
      <c r="B71" s="166">
        <v>9110</v>
      </c>
      <c r="C71" s="166"/>
      <c r="D71" s="166"/>
      <c r="E71" s="82">
        <v>0</v>
      </c>
      <c r="F71" s="83"/>
      <c r="G71" s="84"/>
      <c r="H71" s="82">
        <v>0</v>
      </c>
      <c r="I71" s="83"/>
      <c r="J71" s="84"/>
      <c r="K71" s="82">
        <v>0</v>
      </c>
      <c r="L71" s="83"/>
      <c r="M71" s="84"/>
      <c r="N71" s="82">
        <v>0</v>
      </c>
      <c r="O71" s="83"/>
      <c r="P71" s="84"/>
      <c r="Q71" s="82">
        <v>0</v>
      </c>
      <c r="R71" s="83"/>
      <c r="S71" s="84"/>
      <c r="T71" s="82">
        <v>0</v>
      </c>
      <c r="U71" s="83"/>
      <c r="V71" s="84"/>
      <c r="W71" s="82">
        <v>0</v>
      </c>
      <c r="X71" s="83"/>
      <c r="Y71" s="84"/>
      <c r="Z71" s="82">
        <v>0</v>
      </c>
      <c r="AA71" s="83"/>
      <c r="AB71" s="84"/>
      <c r="AC71" s="82">
        <v>0</v>
      </c>
      <c r="AD71" s="83"/>
      <c r="AE71" s="84"/>
      <c r="AF71" s="82">
        <f>1709.05</f>
        <v>1709.05</v>
      </c>
      <c r="AG71" s="83"/>
      <c r="AH71" s="84"/>
      <c r="AI71" s="164">
        <v>0</v>
      </c>
      <c r="AJ71" s="164"/>
      <c r="AK71" s="164"/>
      <c r="AL71" s="89">
        <f t="shared" ref="AL71:AL83" si="5">0+E71+H71+K71+N71+Q71+T71+W71+Z71+AC71+AF71+AI71</f>
        <v>1709.05</v>
      </c>
      <c r="AM71" s="90"/>
      <c r="AN71" s="91"/>
      <c r="AO71" s="53">
        <f>AL71/AL103</f>
        <v>2.4108447316119929E-3</v>
      </c>
      <c r="AP71" s="165">
        <f>9110+AL71</f>
        <v>10819.05</v>
      </c>
      <c r="AQ71" s="165"/>
    </row>
    <row r="72" spans="1:43" x14ac:dyDescent="0.25">
      <c r="A72" s="55" t="s">
        <v>74</v>
      </c>
      <c r="B72" s="166">
        <v>4130.22</v>
      </c>
      <c r="C72" s="166"/>
      <c r="D72" s="166"/>
      <c r="E72" s="82">
        <f>271.63</f>
        <v>271.63</v>
      </c>
      <c r="F72" s="83"/>
      <c r="G72" s="84"/>
      <c r="H72" s="82">
        <f>271.63+1285.2</f>
        <v>1556.83</v>
      </c>
      <c r="I72" s="83"/>
      <c r="J72" s="84"/>
      <c r="K72" s="82">
        <f>271.63</f>
        <v>271.63</v>
      </c>
      <c r="L72" s="83"/>
      <c r="M72" s="84"/>
      <c r="N72" s="82">
        <v>0</v>
      </c>
      <c r="O72" s="83"/>
      <c r="P72" s="84"/>
      <c r="Q72" s="82">
        <v>0</v>
      </c>
      <c r="R72" s="83"/>
      <c r="S72" s="84"/>
      <c r="T72" s="82">
        <v>0</v>
      </c>
      <c r="U72" s="83"/>
      <c r="V72" s="84"/>
      <c r="W72" s="82">
        <v>0</v>
      </c>
      <c r="X72" s="83"/>
      <c r="Y72" s="84"/>
      <c r="Z72" s="82">
        <v>0</v>
      </c>
      <c r="AA72" s="83"/>
      <c r="AB72" s="84"/>
      <c r="AC72" s="82">
        <v>0</v>
      </c>
      <c r="AD72" s="83"/>
      <c r="AE72" s="84"/>
      <c r="AF72" s="82">
        <v>0</v>
      </c>
      <c r="AG72" s="83"/>
      <c r="AH72" s="84"/>
      <c r="AI72" s="164">
        <v>0</v>
      </c>
      <c r="AJ72" s="164"/>
      <c r="AK72" s="164"/>
      <c r="AL72" s="89">
        <f t="shared" si="5"/>
        <v>2100.09</v>
      </c>
      <c r="AM72" s="90"/>
      <c r="AN72" s="91"/>
      <c r="AO72" s="53">
        <f>AL72/AL103</f>
        <v>2.9624592097428574E-3</v>
      </c>
      <c r="AP72" s="165">
        <f>4130.22+AL72</f>
        <v>6230.31</v>
      </c>
      <c r="AQ72" s="165"/>
    </row>
    <row r="73" spans="1:43" x14ac:dyDescent="0.25">
      <c r="A73" s="55" t="s">
        <v>75</v>
      </c>
      <c r="B73" s="89">
        <v>0</v>
      </c>
      <c r="C73" s="90"/>
      <c r="D73" s="91"/>
      <c r="E73" s="82">
        <v>0</v>
      </c>
      <c r="F73" s="83"/>
      <c r="G73" s="84"/>
      <c r="H73" s="82">
        <v>99</v>
      </c>
      <c r="I73" s="83"/>
      <c r="J73" s="84"/>
      <c r="K73" s="82">
        <v>0</v>
      </c>
      <c r="L73" s="83"/>
      <c r="M73" s="84"/>
      <c r="N73" s="82">
        <v>0</v>
      </c>
      <c r="O73" s="83"/>
      <c r="P73" s="84"/>
      <c r="Q73" s="82">
        <v>0</v>
      </c>
      <c r="R73" s="83"/>
      <c r="S73" s="84"/>
      <c r="T73" s="82">
        <v>0</v>
      </c>
      <c r="U73" s="83"/>
      <c r="V73" s="84"/>
      <c r="W73" s="82">
        <v>0</v>
      </c>
      <c r="X73" s="83"/>
      <c r="Y73" s="84"/>
      <c r="Z73" s="82">
        <v>0</v>
      </c>
      <c r="AA73" s="83"/>
      <c r="AB73" s="84"/>
      <c r="AC73" s="82">
        <v>0</v>
      </c>
      <c r="AD73" s="83"/>
      <c r="AE73" s="84"/>
      <c r="AF73" s="82">
        <v>0</v>
      </c>
      <c r="AG73" s="83"/>
      <c r="AH73" s="84"/>
      <c r="AI73" s="164">
        <f>160</f>
        <v>160</v>
      </c>
      <c r="AJ73" s="164"/>
      <c r="AK73" s="164"/>
      <c r="AL73" s="89">
        <f t="shared" si="5"/>
        <v>259</v>
      </c>
      <c r="AM73" s="90"/>
      <c r="AN73" s="91"/>
      <c r="AO73" s="53">
        <f>AL73/AL103</f>
        <v>3.6535431115971223E-4</v>
      </c>
      <c r="AP73" s="167">
        <f>0+AL73</f>
        <v>259</v>
      </c>
      <c r="AQ73" s="169"/>
    </row>
    <row r="74" spans="1:43" x14ac:dyDescent="0.25">
      <c r="A74" s="52" t="s">
        <v>76</v>
      </c>
      <c r="B74" s="166">
        <v>6043.01</v>
      </c>
      <c r="C74" s="166"/>
      <c r="D74" s="166"/>
      <c r="E74" s="82">
        <f>191.6+35.42</f>
        <v>227.01999999999998</v>
      </c>
      <c r="F74" s="83"/>
      <c r="G74" s="84"/>
      <c r="H74" s="82">
        <f>51.3</f>
        <v>51.3</v>
      </c>
      <c r="I74" s="83"/>
      <c r="J74" s="84"/>
      <c r="K74" s="82">
        <v>0</v>
      </c>
      <c r="L74" s="83"/>
      <c r="M74" s="84"/>
      <c r="N74" s="82">
        <v>0</v>
      </c>
      <c r="O74" s="83"/>
      <c r="P74" s="84"/>
      <c r="Q74" s="82">
        <f>43.8</f>
        <v>43.8</v>
      </c>
      <c r="R74" s="83"/>
      <c r="S74" s="84"/>
      <c r="T74" s="82">
        <v>0</v>
      </c>
      <c r="U74" s="83"/>
      <c r="V74" s="84"/>
      <c r="W74" s="82">
        <f>47.8</f>
        <v>47.8</v>
      </c>
      <c r="X74" s="83"/>
      <c r="Y74" s="84"/>
      <c r="Z74" s="82">
        <f>48.3+179.8</f>
        <v>228.10000000000002</v>
      </c>
      <c r="AA74" s="83"/>
      <c r="AB74" s="84"/>
      <c r="AC74" s="82">
        <f>31.9</f>
        <v>31.9</v>
      </c>
      <c r="AD74" s="83"/>
      <c r="AE74" s="84"/>
      <c r="AF74" s="82">
        <v>0</v>
      </c>
      <c r="AG74" s="83"/>
      <c r="AH74" s="84"/>
      <c r="AI74" s="164">
        <f>107.9+49.8+82</f>
        <v>239.7</v>
      </c>
      <c r="AJ74" s="164"/>
      <c r="AK74" s="164"/>
      <c r="AL74" s="89">
        <f t="shared" si="5"/>
        <v>869.61999999999989</v>
      </c>
      <c r="AM74" s="90"/>
      <c r="AN74" s="91"/>
      <c r="AO74" s="53">
        <f>AL74/AL103</f>
        <v>1.2267158921648992E-3</v>
      </c>
      <c r="AP74" s="165">
        <f>6043.01+AL74</f>
        <v>6912.63</v>
      </c>
      <c r="AQ74" s="165"/>
    </row>
    <row r="75" spans="1:43" x14ac:dyDescent="0.25">
      <c r="A75" s="55" t="s">
        <v>77</v>
      </c>
      <c r="B75" s="166">
        <v>53374.36</v>
      </c>
      <c r="C75" s="166"/>
      <c r="D75" s="166"/>
      <c r="E75" s="82">
        <f>1263.86+290.51</f>
        <v>1554.37</v>
      </c>
      <c r="F75" s="83"/>
      <c r="G75" s="84"/>
      <c r="H75" s="82">
        <f>1413.96+54.44</f>
        <v>1468.4</v>
      </c>
      <c r="I75" s="83"/>
      <c r="J75" s="84"/>
      <c r="K75" s="82">
        <f>1413.96+54.26</f>
        <v>1468.22</v>
      </c>
      <c r="L75" s="83"/>
      <c r="M75" s="84"/>
      <c r="N75" s="82">
        <f>1414.91+54.37</f>
        <v>1469.28</v>
      </c>
      <c r="O75" s="83"/>
      <c r="P75" s="84"/>
      <c r="Q75" s="82">
        <f>1416.52+54.46</f>
        <v>1470.98</v>
      </c>
      <c r="R75" s="83"/>
      <c r="S75" s="84"/>
      <c r="T75" s="82">
        <f>1416.52+54.39</f>
        <v>1470.91</v>
      </c>
      <c r="U75" s="83"/>
      <c r="V75" s="84"/>
      <c r="W75" s="82">
        <f>54.38+1416.52</f>
        <v>1470.9</v>
      </c>
      <c r="X75" s="83"/>
      <c r="Y75" s="84"/>
      <c r="Z75" s="82">
        <f>1416.52+57.32</f>
        <v>1473.84</v>
      </c>
      <c r="AA75" s="83"/>
      <c r="AB75" s="84"/>
      <c r="AC75" s="82">
        <f>1490.55+60.27</f>
        <v>1550.82</v>
      </c>
      <c r="AD75" s="83"/>
      <c r="AE75" s="84"/>
      <c r="AF75" s="82">
        <f>1490.55+136.47</f>
        <v>1627.02</v>
      </c>
      <c r="AG75" s="83"/>
      <c r="AH75" s="84"/>
      <c r="AI75" s="164">
        <f>1490.55+3608.7</f>
        <v>5099.25</v>
      </c>
      <c r="AJ75" s="164"/>
      <c r="AK75" s="164"/>
      <c r="AL75" s="89">
        <f t="shared" si="5"/>
        <v>20123.989999999998</v>
      </c>
      <c r="AM75" s="90"/>
      <c r="AN75" s="91"/>
      <c r="AO75" s="53">
        <f>AL75/AL103</f>
        <v>2.838759268044377E-2</v>
      </c>
      <c r="AP75" s="165">
        <f>53374.36+AL75</f>
        <v>73498.350000000006</v>
      </c>
      <c r="AQ75" s="165"/>
    </row>
    <row r="76" spans="1:43" x14ac:dyDescent="0.25">
      <c r="A76" s="55" t="s">
        <v>78</v>
      </c>
      <c r="B76" s="166">
        <v>13234.67</v>
      </c>
      <c r="C76" s="166"/>
      <c r="D76" s="166"/>
      <c r="E76" s="82">
        <f>114.99+49.99+154.41</f>
        <v>319.39</v>
      </c>
      <c r="F76" s="83"/>
      <c r="G76" s="84"/>
      <c r="H76" s="82">
        <f>114.99+49.99+155.27</f>
        <v>320.25</v>
      </c>
      <c r="I76" s="83"/>
      <c r="J76" s="84"/>
      <c r="K76" s="82">
        <f>49.99+114.99+149.34</f>
        <v>314.32</v>
      </c>
      <c r="L76" s="83"/>
      <c r="M76" s="84"/>
      <c r="N76" s="82">
        <f>52.23+114.99+116.06</f>
        <v>283.27999999999997</v>
      </c>
      <c r="O76" s="83"/>
      <c r="P76" s="84"/>
      <c r="Q76" s="82">
        <f>52.23+114.99</f>
        <v>167.22</v>
      </c>
      <c r="R76" s="83"/>
      <c r="S76" s="84"/>
      <c r="T76" s="82">
        <f>59.66+52.23+114.99</f>
        <v>226.88</v>
      </c>
      <c r="U76" s="83"/>
      <c r="V76" s="84"/>
      <c r="W76" s="82">
        <f>58.3+114.99+52.23+97.26</f>
        <v>322.77999999999997</v>
      </c>
      <c r="X76" s="83"/>
      <c r="Y76" s="84"/>
      <c r="Z76" s="82">
        <f>52.23+114.47</f>
        <v>166.7</v>
      </c>
      <c r="AA76" s="83"/>
      <c r="AB76" s="84"/>
      <c r="AC76" s="82">
        <f>52.23+59.58+114.99+74.9</f>
        <v>301.70000000000005</v>
      </c>
      <c r="AD76" s="83"/>
      <c r="AE76" s="84"/>
      <c r="AF76" s="82">
        <f>52.23+114.99+177.57</f>
        <v>344.78999999999996</v>
      </c>
      <c r="AG76" s="83"/>
      <c r="AH76" s="84"/>
      <c r="AI76" s="164">
        <f>52.23+127.71</f>
        <v>179.94</v>
      </c>
      <c r="AJ76" s="164"/>
      <c r="AK76" s="164"/>
      <c r="AL76" s="89">
        <f t="shared" si="5"/>
        <v>2947.2500000000005</v>
      </c>
      <c r="AM76" s="90"/>
      <c r="AN76" s="91"/>
      <c r="AO76" s="53">
        <f>AL76/AL103</f>
        <v>4.1574922531485018E-3</v>
      </c>
      <c r="AP76" s="165">
        <f>13234.67+AL76</f>
        <v>16181.92</v>
      </c>
      <c r="AQ76" s="165"/>
    </row>
    <row r="77" spans="1:43" x14ac:dyDescent="0.25">
      <c r="A77" s="55" t="s">
        <v>79</v>
      </c>
      <c r="B77" s="166">
        <v>7492.77</v>
      </c>
      <c r="C77" s="166"/>
      <c r="D77" s="166"/>
      <c r="E77" s="82">
        <f>23+11.39+23+23+11.39</f>
        <v>91.78</v>
      </c>
      <c r="F77" s="83"/>
      <c r="G77" s="84"/>
      <c r="H77" s="82">
        <f>10.8+23+23+26.9</f>
        <v>83.699999999999989</v>
      </c>
      <c r="I77" s="83"/>
      <c r="J77" s="84"/>
      <c r="K77" s="82">
        <f>23+23</f>
        <v>46</v>
      </c>
      <c r="L77" s="83"/>
      <c r="M77" s="84"/>
      <c r="N77" s="82">
        <v>0</v>
      </c>
      <c r="O77" s="83"/>
      <c r="P77" s="84"/>
      <c r="Q77" s="82">
        <v>0</v>
      </c>
      <c r="R77" s="83"/>
      <c r="S77" s="84"/>
      <c r="T77" s="82">
        <v>0</v>
      </c>
      <c r="U77" s="83"/>
      <c r="V77" s="84"/>
      <c r="W77" s="82">
        <f>14.99</f>
        <v>14.99</v>
      </c>
      <c r="X77" s="83"/>
      <c r="Y77" s="84"/>
      <c r="Z77" s="82">
        <f>23</f>
        <v>23</v>
      </c>
      <c r="AA77" s="83"/>
      <c r="AB77" s="84"/>
      <c r="AC77" s="82">
        <f>23+23</f>
        <v>46</v>
      </c>
      <c r="AD77" s="83"/>
      <c r="AE77" s="84"/>
      <c r="AF77" s="82">
        <f>22+23</f>
        <v>45</v>
      </c>
      <c r="AG77" s="83"/>
      <c r="AH77" s="84"/>
      <c r="AI77" s="164">
        <f>23+23</f>
        <v>46</v>
      </c>
      <c r="AJ77" s="164"/>
      <c r="AK77" s="164"/>
      <c r="AL77" s="89">
        <f t="shared" si="5"/>
        <v>396.47</v>
      </c>
      <c r="AM77" s="90"/>
      <c r="AN77" s="91"/>
      <c r="AO77" s="53">
        <f>AL77/AL103</f>
        <v>5.5927422295556418E-4</v>
      </c>
      <c r="AP77" s="165">
        <f>7492.77+AL77</f>
        <v>7889.2400000000007</v>
      </c>
      <c r="AQ77" s="165"/>
    </row>
    <row r="78" spans="1:43" x14ac:dyDescent="0.25">
      <c r="A78" s="55" t="s">
        <v>80</v>
      </c>
      <c r="B78" s="166">
        <v>4171.6000000000004</v>
      </c>
      <c r="C78" s="166"/>
      <c r="D78" s="166"/>
      <c r="E78" s="82">
        <v>0</v>
      </c>
      <c r="F78" s="83"/>
      <c r="G78" s="84"/>
      <c r="H78" s="82">
        <v>0</v>
      </c>
      <c r="I78" s="83"/>
      <c r="J78" s="84"/>
      <c r="K78" s="82">
        <v>0</v>
      </c>
      <c r="L78" s="83"/>
      <c r="M78" s="84"/>
      <c r="N78" s="82">
        <v>0</v>
      </c>
      <c r="O78" s="83"/>
      <c r="P78" s="84"/>
      <c r="Q78" s="82">
        <v>0</v>
      </c>
      <c r="R78" s="83"/>
      <c r="S78" s="84"/>
      <c r="T78" s="82">
        <v>0</v>
      </c>
      <c r="U78" s="83"/>
      <c r="V78" s="84"/>
      <c r="W78" s="82">
        <v>0</v>
      </c>
      <c r="X78" s="83"/>
      <c r="Y78" s="84"/>
      <c r="Z78" s="82">
        <v>0</v>
      </c>
      <c r="AA78" s="83"/>
      <c r="AB78" s="84"/>
      <c r="AC78" s="82">
        <v>0</v>
      </c>
      <c r="AD78" s="83"/>
      <c r="AE78" s="84"/>
      <c r="AF78" s="82">
        <v>0</v>
      </c>
      <c r="AG78" s="83"/>
      <c r="AH78" s="84"/>
      <c r="AI78" s="164">
        <v>0</v>
      </c>
      <c r="AJ78" s="164"/>
      <c r="AK78" s="164"/>
      <c r="AL78" s="89">
        <f t="shared" si="5"/>
        <v>0</v>
      </c>
      <c r="AM78" s="90"/>
      <c r="AN78" s="91"/>
      <c r="AO78" s="53">
        <f>AL78/AL103</f>
        <v>0</v>
      </c>
      <c r="AP78" s="165">
        <f>4171.6+AL78</f>
        <v>4171.6000000000004</v>
      </c>
      <c r="AQ78" s="165"/>
    </row>
    <row r="79" spans="1:43" x14ac:dyDescent="0.25">
      <c r="A79" s="55" t="s">
        <v>81</v>
      </c>
      <c r="B79" s="166">
        <v>3563.88</v>
      </c>
      <c r="C79" s="166"/>
      <c r="D79" s="166"/>
      <c r="E79" s="82">
        <f>4.99+32.58+19.77+100</f>
        <v>157.34</v>
      </c>
      <c r="F79" s="83"/>
      <c r="G79" s="84"/>
      <c r="H79" s="82">
        <f>27.9</f>
        <v>27.9</v>
      </c>
      <c r="I79" s="83"/>
      <c r="J79" s="84"/>
      <c r="K79" s="82">
        <v>0</v>
      </c>
      <c r="L79" s="83"/>
      <c r="M79" s="84"/>
      <c r="N79" s="82">
        <v>0</v>
      </c>
      <c r="O79" s="83"/>
      <c r="P79" s="84"/>
      <c r="Q79" s="82">
        <v>0</v>
      </c>
      <c r="R79" s="83"/>
      <c r="S79" s="84"/>
      <c r="T79" s="82">
        <v>0</v>
      </c>
      <c r="U79" s="83"/>
      <c r="V79" s="84"/>
      <c r="W79" s="82">
        <v>0</v>
      </c>
      <c r="X79" s="83"/>
      <c r="Y79" s="84"/>
      <c r="Z79" s="82">
        <v>0</v>
      </c>
      <c r="AA79" s="83"/>
      <c r="AB79" s="84"/>
      <c r="AC79" s="82">
        <f>100</f>
        <v>100</v>
      </c>
      <c r="AD79" s="83"/>
      <c r="AE79" s="84"/>
      <c r="AF79" s="82">
        <v>0</v>
      </c>
      <c r="AG79" s="83"/>
      <c r="AH79" s="84"/>
      <c r="AI79" s="164">
        <v>0</v>
      </c>
      <c r="AJ79" s="164"/>
      <c r="AK79" s="164"/>
      <c r="AL79" s="89">
        <f t="shared" si="5"/>
        <v>285.24</v>
      </c>
      <c r="AM79" s="90"/>
      <c r="AN79" s="91"/>
      <c r="AO79" s="53">
        <f>AL79/AL103</f>
        <v>4.0236935797373098E-4</v>
      </c>
      <c r="AP79" s="165">
        <f>3563.88+AL79</f>
        <v>3849.12</v>
      </c>
      <c r="AQ79" s="165"/>
    </row>
    <row r="80" spans="1:43" x14ac:dyDescent="0.25">
      <c r="A80" s="55" t="s">
        <v>82</v>
      </c>
      <c r="B80" s="89">
        <v>0</v>
      </c>
      <c r="C80" s="90"/>
      <c r="D80" s="91"/>
      <c r="E80" s="82">
        <f>2359.55</f>
        <v>2359.5500000000002</v>
      </c>
      <c r="F80" s="83"/>
      <c r="G80" s="84"/>
      <c r="H80" s="82">
        <v>0</v>
      </c>
      <c r="I80" s="83"/>
      <c r="J80" s="84"/>
      <c r="K80" s="82">
        <v>0</v>
      </c>
      <c r="L80" s="83"/>
      <c r="M80" s="84"/>
      <c r="N80" s="82">
        <v>0</v>
      </c>
      <c r="O80" s="83"/>
      <c r="P80" s="84"/>
      <c r="Q80" s="82">
        <v>0</v>
      </c>
      <c r="R80" s="83"/>
      <c r="S80" s="84"/>
      <c r="T80" s="82">
        <v>0</v>
      </c>
      <c r="U80" s="83"/>
      <c r="V80" s="84"/>
      <c r="W80" s="82">
        <v>0</v>
      </c>
      <c r="X80" s="83"/>
      <c r="Y80" s="84"/>
      <c r="Z80" s="82">
        <v>0</v>
      </c>
      <c r="AA80" s="83"/>
      <c r="AB80" s="84"/>
      <c r="AC80" s="82">
        <v>0</v>
      </c>
      <c r="AD80" s="83"/>
      <c r="AE80" s="84"/>
      <c r="AF80" s="82">
        <v>0</v>
      </c>
      <c r="AG80" s="83"/>
      <c r="AH80" s="84"/>
      <c r="AI80" s="164">
        <v>0</v>
      </c>
      <c r="AJ80" s="164"/>
      <c r="AK80" s="164"/>
      <c r="AL80" s="89">
        <f t="shared" si="5"/>
        <v>2359.5500000000002</v>
      </c>
      <c r="AM80" s="90"/>
      <c r="AN80" s="91"/>
      <c r="AO80" s="53">
        <f>AL80/AL103</f>
        <v>3.3284624127293398E-3</v>
      </c>
      <c r="AP80" s="165">
        <f>0+AL80</f>
        <v>2359.5500000000002</v>
      </c>
      <c r="AQ80" s="165"/>
    </row>
    <row r="81" spans="1:43" x14ac:dyDescent="0.25">
      <c r="A81" s="55" t="s">
        <v>83</v>
      </c>
      <c r="B81" s="166">
        <v>2056.7600000000002</v>
      </c>
      <c r="C81" s="166"/>
      <c r="D81" s="166"/>
      <c r="E81" s="82">
        <v>0</v>
      </c>
      <c r="F81" s="83"/>
      <c r="G81" s="84"/>
      <c r="H81" s="82">
        <v>0</v>
      </c>
      <c r="I81" s="83"/>
      <c r="J81" s="84"/>
      <c r="K81" s="82">
        <v>0</v>
      </c>
      <c r="L81" s="83"/>
      <c r="M81" s="84"/>
      <c r="N81" s="82">
        <v>0</v>
      </c>
      <c r="O81" s="83"/>
      <c r="P81" s="84"/>
      <c r="Q81" s="82">
        <v>0</v>
      </c>
      <c r="R81" s="83"/>
      <c r="S81" s="84"/>
      <c r="T81" s="82">
        <v>0</v>
      </c>
      <c r="U81" s="83"/>
      <c r="V81" s="84"/>
      <c r="W81" s="82">
        <v>0</v>
      </c>
      <c r="X81" s="83"/>
      <c r="Y81" s="84"/>
      <c r="Z81" s="82">
        <v>0</v>
      </c>
      <c r="AA81" s="83"/>
      <c r="AB81" s="84"/>
      <c r="AC81" s="82">
        <v>0</v>
      </c>
      <c r="AD81" s="83"/>
      <c r="AE81" s="84"/>
      <c r="AF81" s="82">
        <v>0</v>
      </c>
      <c r="AG81" s="83"/>
      <c r="AH81" s="84"/>
      <c r="AI81" s="164">
        <v>0</v>
      </c>
      <c r="AJ81" s="164"/>
      <c r="AK81" s="164"/>
      <c r="AL81" s="89">
        <f t="shared" si="5"/>
        <v>0</v>
      </c>
      <c r="AM81" s="90"/>
      <c r="AN81" s="91"/>
      <c r="AO81" s="53">
        <f>AL81/AL103</f>
        <v>0</v>
      </c>
      <c r="AP81" s="165">
        <f>2056.76+AL81</f>
        <v>2056.7600000000002</v>
      </c>
      <c r="AQ81" s="165"/>
    </row>
    <row r="82" spans="1:43" x14ac:dyDescent="0.25">
      <c r="A82" s="55" t="s">
        <v>84</v>
      </c>
      <c r="B82" s="166">
        <v>147202.01999999999</v>
      </c>
      <c r="C82" s="166"/>
      <c r="D82" s="166"/>
      <c r="E82" s="82">
        <f>1386.11+400</f>
        <v>1786.11</v>
      </c>
      <c r="F82" s="83"/>
      <c r="G82" s="84"/>
      <c r="H82" s="82">
        <f>600+1904.25+2113.13</f>
        <v>4617.38</v>
      </c>
      <c r="I82" s="83"/>
      <c r="J82" s="84"/>
      <c r="K82" s="82">
        <f>600+2242.97+2528.19</f>
        <v>5371.16</v>
      </c>
      <c r="L82" s="83"/>
      <c r="M82" s="84"/>
      <c r="N82" s="82">
        <f>600+2571.62+2246.21</f>
        <v>5417.83</v>
      </c>
      <c r="O82" s="83"/>
      <c r="P82" s="84"/>
      <c r="Q82" s="82">
        <f>600+2654.97+2246.21</f>
        <v>5501.18</v>
      </c>
      <c r="R82" s="83"/>
      <c r="S82" s="84"/>
      <c r="T82" s="82">
        <f>600+2759.14+2246.23</f>
        <v>5605.37</v>
      </c>
      <c r="U82" s="83"/>
      <c r="V82" s="84"/>
      <c r="W82" s="82">
        <f>2759.14+2441.19+600+1280.38</f>
        <v>7080.71</v>
      </c>
      <c r="X82" s="83"/>
      <c r="Y82" s="84"/>
      <c r="Z82" s="82">
        <f>600+1876.62+2246.23</f>
        <v>4722.8500000000004</v>
      </c>
      <c r="AA82" s="83"/>
      <c r="AB82" s="84"/>
      <c r="AC82" s="82">
        <f>600+2759.14+2246.23</f>
        <v>5605.37</v>
      </c>
      <c r="AD82" s="83"/>
      <c r="AE82" s="84"/>
      <c r="AF82" s="82">
        <f>600+2999.19+2285.84</f>
        <v>5885.0300000000007</v>
      </c>
      <c r="AG82" s="83"/>
      <c r="AH82" s="84"/>
      <c r="AI82" s="164">
        <f>600+2839.26+2259.43+521.01+1617.35+1267.33</f>
        <v>9104.380000000001</v>
      </c>
      <c r="AJ82" s="164"/>
      <c r="AK82" s="164"/>
      <c r="AL82" s="89">
        <f t="shared" si="5"/>
        <v>60697.369999999995</v>
      </c>
      <c r="AM82" s="90"/>
      <c r="AN82" s="91"/>
      <c r="AO82" s="53">
        <f>AL82/AL103</f>
        <v>8.5621798477050884E-2</v>
      </c>
      <c r="AP82" s="165">
        <f>147202.02+AL82</f>
        <v>207899.38999999998</v>
      </c>
      <c r="AQ82" s="165"/>
    </row>
    <row r="83" spans="1:43" x14ac:dyDescent="0.25">
      <c r="A83" s="55" t="s">
        <v>85</v>
      </c>
      <c r="B83" s="166">
        <v>119812.42</v>
      </c>
      <c r="C83" s="166"/>
      <c r="D83" s="166"/>
      <c r="E83" s="82">
        <f>35+47+47+14.1+94+488.27+380.7+503+47.63+66.81+66.81+31.4+45.25+47.63+1493.53+1493.53+78.96</f>
        <v>4980.62</v>
      </c>
      <c r="F83" s="83"/>
      <c r="G83" s="84"/>
      <c r="H83" s="82">
        <f>183.3+201.63+528+606.3+21.12</f>
        <v>1540.35</v>
      </c>
      <c r="I83" s="83"/>
      <c r="J83" s="84"/>
      <c r="K83" s="82">
        <f>184.98+532+449.62+93.29+61.2+371.3+677+1537.6</f>
        <v>3906.99</v>
      </c>
      <c r="L83" s="83"/>
      <c r="M83" s="84"/>
      <c r="N83" s="82">
        <f>449.62+97.24+1754.17+61.2+677</f>
        <v>3039.23</v>
      </c>
      <c r="O83" s="83"/>
      <c r="P83" s="84"/>
      <c r="Q83" s="82">
        <f>449.62+97.24+56.2+1754.17+709</f>
        <v>3066.23</v>
      </c>
      <c r="R83" s="83"/>
      <c r="S83" s="84"/>
      <c r="T83" s="82">
        <f>449.62+1854.14+549</f>
        <v>2852.76</v>
      </c>
      <c r="U83" s="83"/>
      <c r="V83" s="84"/>
      <c r="W83" s="82">
        <f>58.59+113.06+449.62+19.16+1835.58+699</f>
        <v>3175.0099999999998</v>
      </c>
      <c r="X83" s="83"/>
      <c r="Y83" s="84"/>
      <c r="Z83" s="82">
        <f>480.15+27.75+60.01+1891.33+108.1+699</f>
        <v>3266.3399999999997</v>
      </c>
      <c r="AA83" s="83"/>
      <c r="AB83" s="84"/>
      <c r="AC83" s="82">
        <f>449.62+500+97.25+2007.05+699+399.5+56.2</f>
        <v>4208.62</v>
      </c>
      <c r="AD83" s="83"/>
      <c r="AE83" s="84"/>
      <c r="AF83" s="82">
        <f>479.76+2158.5+815.4+568.7</f>
        <v>4022.3600000000006</v>
      </c>
      <c r="AG83" s="83"/>
      <c r="AH83" s="84"/>
      <c r="AI83" s="164">
        <f>459.67+142.82+57.45+2057.42+317.75+501.06</f>
        <v>3536.17</v>
      </c>
      <c r="AJ83" s="164"/>
      <c r="AK83" s="164"/>
      <c r="AL83" s="89">
        <f t="shared" si="5"/>
        <v>37594.679999999993</v>
      </c>
      <c r="AM83" s="90"/>
      <c r="AN83" s="91"/>
      <c r="AO83" s="53">
        <f>AL83/AL103</f>
        <v>5.3032349091389215E-2</v>
      </c>
      <c r="AP83" s="165">
        <f>119812.42+AL83</f>
        <v>157407.09999999998</v>
      </c>
      <c r="AQ83" s="165"/>
    </row>
    <row r="84" spans="1:43" x14ac:dyDescent="0.25">
      <c r="A84" s="50" t="s">
        <v>86</v>
      </c>
      <c r="B84" s="160">
        <f>SUM(B85:D89)</f>
        <v>21260.080000000002</v>
      </c>
      <c r="C84" s="160"/>
      <c r="D84" s="160"/>
      <c r="E84" s="153">
        <f>SUM(E85:G89)</f>
        <v>189.5</v>
      </c>
      <c r="F84" s="154"/>
      <c r="G84" s="155"/>
      <c r="H84" s="153">
        <f>SUM(H85:J89)</f>
        <v>34</v>
      </c>
      <c r="I84" s="154"/>
      <c r="J84" s="155"/>
      <c r="K84" s="153">
        <f>SUM(K85:M89)</f>
        <v>165.2</v>
      </c>
      <c r="L84" s="154"/>
      <c r="M84" s="155"/>
      <c r="N84" s="153">
        <f>SUM(N85:P89)</f>
        <v>0</v>
      </c>
      <c r="O84" s="154"/>
      <c r="P84" s="155"/>
      <c r="Q84" s="153">
        <f>SUM(Q85:S89)</f>
        <v>174.45999999999998</v>
      </c>
      <c r="R84" s="154"/>
      <c r="S84" s="155"/>
      <c r="T84" s="153">
        <f>SUM(T85:V89)</f>
        <v>237.11</v>
      </c>
      <c r="U84" s="154"/>
      <c r="V84" s="155"/>
      <c r="W84" s="153">
        <f>SUM(W85:Y89)</f>
        <v>116.2</v>
      </c>
      <c r="X84" s="154"/>
      <c r="Y84" s="155"/>
      <c r="Z84" s="153">
        <f>SUM(Z85:AB89)</f>
        <v>285.23</v>
      </c>
      <c r="AA84" s="154"/>
      <c r="AB84" s="155"/>
      <c r="AC84" s="153">
        <f>SUM(AC85:AE89)</f>
        <v>67.099999999999994</v>
      </c>
      <c r="AD84" s="154"/>
      <c r="AE84" s="155"/>
      <c r="AF84" s="153">
        <f>SUM(AF85:AH89)</f>
        <v>17</v>
      </c>
      <c r="AG84" s="154"/>
      <c r="AH84" s="155"/>
      <c r="AI84" s="153">
        <f>SUM(AI85:AK89)</f>
        <v>131.54</v>
      </c>
      <c r="AJ84" s="154"/>
      <c r="AK84" s="155"/>
      <c r="AL84" s="156">
        <f>SUM(AL85:AN89)</f>
        <v>1417.3400000000001</v>
      </c>
      <c r="AM84" s="157"/>
      <c r="AN84" s="158"/>
      <c r="AO84" s="51">
        <f>AL84/AL103</f>
        <v>1.9993485690312997E-3</v>
      </c>
      <c r="AP84" s="159">
        <f>SUM(AP85:AQ89)</f>
        <v>22677.420000000002</v>
      </c>
      <c r="AQ84" s="159"/>
    </row>
    <row r="85" spans="1:43" x14ac:dyDescent="0.25">
      <c r="A85" s="52" t="s">
        <v>87</v>
      </c>
      <c r="B85" s="166">
        <v>4832.0600000000004</v>
      </c>
      <c r="C85" s="166"/>
      <c r="D85" s="166"/>
      <c r="E85" s="82">
        <v>0</v>
      </c>
      <c r="F85" s="83"/>
      <c r="G85" s="84"/>
      <c r="H85" s="82">
        <v>0</v>
      </c>
      <c r="I85" s="83"/>
      <c r="J85" s="84"/>
      <c r="K85" s="82">
        <v>0</v>
      </c>
      <c r="L85" s="83"/>
      <c r="M85" s="84"/>
      <c r="N85" s="82">
        <v>0</v>
      </c>
      <c r="O85" s="83"/>
      <c r="P85" s="84"/>
      <c r="Q85" s="82">
        <v>0</v>
      </c>
      <c r="R85" s="83"/>
      <c r="S85" s="84"/>
      <c r="T85" s="82">
        <v>0</v>
      </c>
      <c r="U85" s="83"/>
      <c r="V85" s="84"/>
      <c r="W85" s="82">
        <v>0</v>
      </c>
      <c r="X85" s="83"/>
      <c r="Y85" s="84"/>
      <c r="Z85" s="82">
        <v>0</v>
      </c>
      <c r="AA85" s="83"/>
      <c r="AB85" s="84"/>
      <c r="AC85" s="82">
        <v>0</v>
      </c>
      <c r="AD85" s="83"/>
      <c r="AE85" s="84"/>
      <c r="AF85" s="82">
        <v>0</v>
      </c>
      <c r="AG85" s="83"/>
      <c r="AH85" s="84"/>
      <c r="AI85" s="164">
        <v>0</v>
      </c>
      <c r="AJ85" s="164"/>
      <c r="AK85" s="164"/>
      <c r="AL85" s="89">
        <f>0+E85+H85+K85+N85+Q85+T85+W85+Z85+AC85+AF85+AI85</f>
        <v>0</v>
      </c>
      <c r="AM85" s="90"/>
      <c r="AN85" s="91"/>
      <c r="AO85" s="53">
        <f>AL85/AL103</f>
        <v>0</v>
      </c>
      <c r="AP85" s="165">
        <f>4832.06+AL85</f>
        <v>4832.0600000000004</v>
      </c>
      <c r="AQ85" s="165"/>
    </row>
    <row r="86" spans="1:43" x14ac:dyDescent="0.25">
      <c r="A86" s="52" t="s">
        <v>88</v>
      </c>
      <c r="B86" s="89">
        <v>0</v>
      </c>
      <c r="C86" s="90"/>
      <c r="D86" s="91"/>
      <c r="E86" s="82">
        <v>0</v>
      </c>
      <c r="F86" s="83"/>
      <c r="G86" s="84"/>
      <c r="H86" s="82">
        <v>0</v>
      </c>
      <c r="I86" s="83"/>
      <c r="J86" s="84"/>
      <c r="K86" s="82">
        <v>0</v>
      </c>
      <c r="L86" s="83"/>
      <c r="M86" s="84"/>
      <c r="N86" s="82">
        <v>0</v>
      </c>
      <c r="O86" s="83"/>
      <c r="P86" s="84"/>
      <c r="Q86" s="82">
        <v>0</v>
      </c>
      <c r="R86" s="83"/>
      <c r="S86" s="84"/>
      <c r="T86" s="82">
        <v>0</v>
      </c>
      <c r="U86" s="83"/>
      <c r="V86" s="84"/>
      <c r="W86" s="82">
        <v>0</v>
      </c>
      <c r="X86" s="83"/>
      <c r="Y86" s="84"/>
      <c r="Z86" s="82">
        <v>0</v>
      </c>
      <c r="AA86" s="83"/>
      <c r="AB86" s="84"/>
      <c r="AC86" s="82">
        <v>0</v>
      </c>
      <c r="AD86" s="83"/>
      <c r="AE86" s="84"/>
      <c r="AF86" s="82">
        <v>0</v>
      </c>
      <c r="AG86" s="83"/>
      <c r="AH86" s="84"/>
      <c r="AI86" s="164">
        <v>0</v>
      </c>
      <c r="AJ86" s="164"/>
      <c r="AK86" s="164"/>
      <c r="AL86" s="89">
        <f t="shared" ref="AL86:AL89" si="6">0+E86+H86+K86+N86+Q86+T86+W86+Z86+AC86+AF86+AI86</f>
        <v>0</v>
      </c>
      <c r="AM86" s="90"/>
      <c r="AN86" s="91"/>
      <c r="AO86" s="53">
        <f>AL86/AL103</f>
        <v>0</v>
      </c>
      <c r="AP86" s="165">
        <f>0+AL86</f>
        <v>0</v>
      </c>
      <c r="AQ86" s="165"/>
    </row>
    <row r="87" spans="1:43" x14ac:dyDescent="0.25">
      <c r="A87" s="52" t="s">
        <v>89</v>
      </c>
      <c r="B87" s="89">
        <v>1100</v>
      </c>
      <c r="C87" s="90"/>
      <c r="D87" s="91"/>
      <c r="E87" s="82">
        <f>17</f>
        <v>17</v>
      </c>
      <c r="F87" s="83"/>
      <c r="G87" s="84"/>
      <c r="H87" s="82">
        <f>17+17</f>
        <v>34</v>
      </c>
      <c r="I87" s="83"/>
      <c r="J87" s="84"/>
      <c r="K87" s="82">
        <f>17+27</f>
        <v>44</v>
      </c>
      <c r="L87" s="83"/>
      <c r="M87" s="84"/>
      <c r="N87" s="82">
        <v>0</v>
      </c>
      <c r="O87" s="83"/>
      <c r="P87" s="84"/>
      <c r="Q87" s="82">
        <f>17+15</f>
        <v>32</v>
      </c>
      <c r="R87" s="83"/>
      <c r="S87" s="84"/>
      <c r="T87" s="82">
        <f>17+15+31.04+29.71+17.66</f>
        <v>110.41</v>
      </c>
      <c r="U87" s="83"/>
      <c r="V87" s="84"/>
      <c r="W87" s="82">
        <f>15+17</f>
        <v>32</v>
      </c>
      <c r="X87" s="83"/>
      <c r="Y87" s="84"/>
      <c r="Z87" s="82">
        <f>17+14</f>
        <v>31</v>
      </c>
      <c r="AA87" s="83"/>
      <c r="AB87" s="84"/>
      <c r="AC87" s="82">
        <f>17+15</f>
        <v>32</v>
      </c>
      <c r="AD87" s="83"/>
      <c r="AE87" s="84"/>
      <c r="AF87" s="82">
        <f>17</f>
        <v>17</v>
      </c>
      <c r="AG87" s="83"/>
      <c r="AH87" s="84"/>
      <c r="AI87" s="164">
        <f>22.54+17</f>
        <v>39.54</v>
      </c>
      <c r="AJ87" s="164"/>
      <c r="AK87" s="164"/>
      <c r="AL87" s="89">
        <f t="shared" si="6"/>
        <v>388.95</v>
      </c>
      <c r="AM87" s="90"/>
      <c r="AN87" s="91"/>
      <c r="AO87" s="53">
        <f>AL87/AL103</f>
        <v>5.4866625222227828E-4</v>
      </c>
      <c r="AP87" s="165">
        <f>1100+AL87</f>
        <v>1488.95</v>
      </c>
      <c r="AQ87" s="165"/>
    </row>
    <row r="88" spans="1:43" x14ac:dyDescent="0.25">
      <c r="A88" s="52" t="s">
        <v>90</v>
      </c>
      <c r="B88" s="89">
        <v>14793.96</v>
      </c>
      <c r="C88" s="90"/>
      <c r="D88" s="91"/>
      <c r="E88" s="82">
        <f>35.1+107.4</f>
        <v>142.5</v>
      </c>
      <c r="F88" s="83"/>
      <c r="G88" s="84"/>
      <c r="H88" s="82">
        <v>0</v>
      </c>
      <c r="I88" s="83"/>
      <c r="J88" s="84"/>
      <c r="K88" s="82">
        <f>44.3+35.1</f>
        <v>79.400000000000006</v>
      </c>
      <c r="L88" s="83"/>
      <c r="M88" s="84"/>
      <c r="N88" s="82">
        <v>0</v>
      </c>
      <c r="O88" s="83"/>
      <c r="P88" s="84"/>
      <c r="Q88" s="82">
        <f>9.2+35.1+38.2</f>
        <v>82.5</v>
      </c>
      <c r="R88" s="83"/>
      <c r="S88" s="84"/>
      <c r="T88" s="82">
        <f>45.8+80.9</f>
        <v>126.7</v>
      </c>
      <c r="U88" s="83"/>
      <c r="V88" s="84"/>
      <c r="W88" s="82">
        <f>49.1+35.1</f>
        <v>84.2</v>
      </c>
      <c r="X88" s="83"/>
      <c r="Y88" s="84"/>
      <c r="Z88" s="82">
        <f>74.1+35.1+12.85+70.2+20.35</f>
        <v>212.6</v>
      </c>
      <c r="AA88" s="83"/>
      <c r="AB88" s="84"/>
      <c r="AC88" s="82">
        <f>35.1</f>
        <v>35.1</v>
      </c>
      <c r="AD88" s="83"/>
      <c r="AE88" s="84"/>
      <c r="AF88" s="82">
        <v>0</v>
      </c>
      <c r="AG88" s="83"/>
      <c r="AH88" s="84"/>
      <c r="AI88" s="164">
        <f>79</f>
        <v>79</v>
      </c>
      <c r="AJ88" s="164"/>
      <c r="AK88" s="164"/>
      <c r="AL88" s="89">
        <f t="shared" si="6"/>
        <v>842</v>
      </c>
      <c r="AM88" s="90"/>
      <c r="AN88" s="91"/>
      <c r="AO88" s="53">
        <f>AL88/AL103</f>
        <v>1.1877541698705702E-3</v>
      </c>
      <c r="AP88" s="165">
        <f>14793.96+AL88</f>
        <v>15635.96</v>
      </c>
      <c r="AQ88" s="165"/>
    </row>
    <row r="89" spans="1:43" x14ac:dyDescent="0.25">
      <c r="A89" s="52" t="s">
        <v>91</v>
      </c>
      <c r="B89" s="89">
        <v>534.05999999999995</v>
      </c>
      <c r="C89" s="90"/>
      <c r="D89" s="91"/>
      <c r="E89" s="82">
        <f>16+14</f>
        <v>30</v>
      </c>
      <c r="F89" s="83"/>
      <c r="G89" s="84"/>
      <c r="H89" s="82">
        <v>0</v>
      </c>
      <c r="I89" s="83"/>
      <c r="J89" s="84"/>
      <c r="K89" s="82">
        <f>11.6+15.2+15</f>
        <v>41.8</v>
      </c>
      <c r="L89" s="83"/>
      <c r="M89" s="84"/>
      <c r="N89" s="82">
        <v>0</v>
      </c>
      <c r="O89" s="83"/>
      <c r="P89" s="84"/>
      <c r="Q89" s="82">
        <f>11+15.3+33.66</f>
        <v>59.959999999999994</v>
      </c>
      <c r="R89" s="83"/>
      <c r="S89" s="84"/>
      <c r="T89" s="82">
        <v>0</v>
      </c>
      <c r="U89" s="83"/>
      <c r="V89" s="84"/>
      <c r="W89" s="82">
        <v>0</v>
      </c>
      <c r="X89" s="83"/>
      <c r="Y89" s="84"/>
      <c r="Z89" s="82">
        <f>33.23+8.4</f>
        <v>41.629999999999995</v>
      </c>
      <c r="AA89" s="83"/>
      <c r="AB89" s="84"/>
      <c r="AC89" s="82">
        <v>0</v>
      </c>
      <c r="AD89" s="83"/>
      <c r="AE89" s="84"/>
      <c r="AF89" s="82">
        <v>0</v>
      </c>
      <c r="AG89" s="83"/>
      <c r="AH89" s="84"/>
      <c r="AI89" s="164">
        <f>7.28+5.72</f>
        <v>13</v>
      </c>
      <c r="AJ89" s="164"/>
      <c r="AK89" s="164"/>
      <c r="AL89" s="89">
        <f t="shared" si="6"/>
        <v>186.39</v>
      </c>
      <c r="AM89" s="90"/>
      <c r="AN89" s="91"/>
      <c r="AO89" s="53">
        <f>AL89/AL103</f>
        <v>2.6292814693845077E-4</v>
      </c>
      <c r="AP89" s="165">
        <f>534.06+AL89</f>
        <v>720.44999999999993</v>
      </c>
      <c r="AQ89" s="165"/>
    </row>
    <row r="90" spans="1:43" x14ac:dyDescent="0.25">
      <c r="A90" s="50" t="s">
        <v>92</v>
      </c>
      <c r="B90" s="156">
        <f>SUM(B91:D94)</f>
        <v>273602.88</v>
      </c>
      <c r="C90" s="157"/>
      <c r="D90" s="158"/>
      <c r="E90" s="153">
        <f>SUM(E91:G94)</f>
        <v>10089.06</v>
      </c>
      <c r="F90" s="154"/>
      <c r="G90" s="155"/>
      <c r="H90" s="153">
        <f t="shared" ref="H90" si="7">SUM(H91:J94)</f>
        <v>200</v>
      </c>
      <c r="I90" s="154"/>
      <c r="J90" s="155"/>
      <c r="K90" s="153">
        <f t="shared" ref="K90" si="8">SUM(K91:M94)</f>
        <v>300</v>
      </c>
      <c r="L90" s="154"/>
      <c r="M90" s="155"/>
      <c r="N90" s="153">
        <f t="shared" ref="N90" si="9">SUM(N91:P94)</f>
        <v>0</v>
      </c>
      <c r="O90" s="154"/>
      <c r="P90" s="155"/>
      <c r="Q90" s="153">
        <f t="shared" ref="Q90" si="10">SUM(Q91:S94)</f>
        <v>5783.0499999999993</v>
      </c>
      <c r="R90" s="154"/>
      <c r="S90" s="155"/>
      <c r="T90" s="153">
        <f t="shared" ref="T90" si="11">SUM(T91:V94)</f>
        <v>0</v>
      </c>
      <c r="U90" s="154"/>
      <c r="V90" s="155"/>
      <c r="W90" s="153">
        <f t="shared" ref="W90" si="12">SUM(W91:Y94)</f>
        <v>0</v>
      </c>
      <c r="X90" s="154"/>
      <c r="Y90" s="155"/>
      <c r="Z90" s="153">
        <f t="shared" ref="Z90" si="13">SUM(Z91:AB94)</f>
        <v>461</v>
      </c>
      <c r="AA90" s="154"/>
      <c r="AB90" s="155"/>
      <c r="AC90" s="153">
        <f t="shared" ref="AC90" si="14">SUM(AC91:AE94)</f>
        <v>0</v>
      </c>
      <c r="AD90" s="154"/>
      <c r="AE90" s="155"/>
      <c r="AF90" s="153">
        <f t="shared" ref="AF90" si="15">SUM(AF91:AH94)</f>
        <v>0</v>
      </c>
      <c r="AG90" s="154"/>
      <c r="AH90" s="155"/>
      <c r="AI90" s="153">
        <f t="shared" ref="AI90" si="16">SUM(AI91:AK94)</f>
        <v>0</v>
      </c>
      <c r="AJ90" s="154"/>
      <c r="AK90" s="155"/>
      <c r="AL90" s="156">
        <f>SUM(AL91:AN94)</f>
        <v>16833.11</v>
      </c>
      <c r="AM90" s="157"/>
      <c r="AN90" s="158"/>
      <c r="AO90" s="51">
        <f>AL90/AL103</f>
        <v>2.3745364126353915E-2</v>
      </c>
      <c r="AP90" s="159">
        <f>SUM(AP91:AQ94)</f>
        <v>290435.99</v>
      </c>
      <c r="AQ90" s="159"/>
    </row>
    <row r="91" spans="1:43" x14ac:dyDescent="0.25">
      <c r="A91" s="52" t="s">
        <v>93</v>
      </c>
      <c r="B91" s="89">
        <f>93359.5</f>
        <v>93359.5</v>
      </c>
      <c r="C91" s="90"/>
      <c r="D91" s="91"/>
      <c r="E91" s="82">
        <f>9027.03+667.8</f>
        <v>9694.83</v>
      </c>
      <c r="F91" s="83"/>
      <c r="G91" s="84"/>
      <c r="H91" s="82">
        <v>0</v>
      </c>
      <c r="I91" s="83"/>
      <c r="J91" s="84"/>
      <c r="K91" s="82">
        <v>0</v>
      </c>
      <c r="L91" s="83"/>
      <c r="M91" s="84"/>
      <c r="N91" s="82">
        <v>0</v>
      </c>
      <c r="O91" s="83"/>
      <c r="P91" s="84"/>
      <c r="Q91" s="82">
        <f>4279.9+1503.15</f>
        <v>5783.0499999999993</v>
      </c>
      <c r="R91" s="83"/>
      <c r="S91" s="84"/>
      <c r="T91" s="82">
        <v>0</v>
      </c>
      <c r="U91" s="83"/>
      <c r="V91" s="84"/>
      <c r="W91" s="82">
        <v>0</v>
      </c>
      <c r="X91" s="83"/>
      <c r="Y91" s="84"/>
      <c r="Z91" s="82">
        <f>200+201</f>
        <v>401</v>
      </c>
      <c r="AA91" s="83"/>
      <c r="AB91" s="84"/>
      <c r="AC91" s="82">
        <v>0</v>
      </c>
      <c r="AD91" s="83"/>
      <c r="AE91" s="84"/>
      <c r="AF91" s="82">
        <v>0</v>
      </c>
      <c r="AG91" s="83"/>
      <c r="AH91" s="84"/>
      <c r="AI91" s="164">
        <v>0</v>
      </c>
      <c r="AJ91" s="164"/>
      <c r="AK91" s="164"/>
      <c r="AL91" s="89">
        <f>0+E91+H91+K91+N91+Q91+T91+W91+Z91+AC91+AF91+AI91</f>
        <v>15878.88</v>
      </c>
      <c r="AM91" s="90"/>
      <c r="AN91" s="91"/>
      <c r="AO91" s="53">
        <f>AL91/AL103</f>
        <v>2.2399294457095487E-2</v>
      </c>
      <c r="AP91" s="165">
        <f>93359.5+AL91</f>
        <v>109238.38</v>
      </c>
      <c r="AQ91" s="165"/>
    </row>
    <row r="92" spans="1:43" x14ac:dyDescent="0.25">
      <c r="A92" s="52" t="s">
        <v>94</v>
      </c>
      <c r="B92" s="89">
        <v>1000</v>
      </c>
      <c r="C92" s="90"/>
      <c r="D92" s="91"/>
      <c r="E92" s="82">
        <v>0</v>
      </c>
      <c r="F92" s="83"/>
      <c r="G92" s="84"/>
      <c r="H92" s="82">
        <f>200</f>
        <v>200</v>
      </c>
      <c r="I92" s="83"/>
      <c r="J92" s="84"/>
      <c r="K92" s="82">
        <v>0</v>
      </c>
      <c r="L92" s="83"/>
      <c r="M92" s="84"/>
      <c r="N92" s="82">
        <v>0</v>
      </c>
      <c r="O92" s="83"/>
      <c r="P92" s="84"/>
      <c r="Q92" s="82">
        <v>0</v>
      </c>
      <c r="R92" s="83"/>
      <c r="S92" s="84"/>
      <c r="T92" s="82">
        <v>0</v>
      </c>
      <c r="U92" s="83"/>
      <c r="V92" s="84"/>
      <c r="W92" s="82">
        <v>0</v>
      </c>
      <c r="X92" s="83"/>
      <c r="Y92" s="84"/>
      <c r="Z92" s="82">
        <v>0</v>
      </c>
      <c r="AA92" s="83"/>
      <c r="AB92" s="84"/>
      <c r="AC92" s="82">
        <v>0</v>
      </c>
      <c r="AD92" s="83"/>
      <c r="AE92" s="84"/>
      <c r="AF92" s="82">
        <v>0</v>
      </c>
      <c r="AG92" s="83"/>
      <c r="AH92" s="84"/>
      <c r="AI92" s="164">
        <v>0</v>
      </c>
      <c r="AJ92" s="164"/>
      <c r="AK92" s="164"/>
      <c r="AL92" s="89">
        <f t="shared" ref="AL92:AL94" si="17">0+E92+H92+K92+N92+Q92+T92+W92+Z92+AC92+AF92+AI92</f>
        <v>200</v>
      </c>
      <c r="AM92" s="90"/>
      <c r="AN92" s="91"/>
      <c r="AO92" s="53">
        <f>AL92/AL103</f>
        <v>2.8212688120441098E-4</v>
      </c>
      <c r="AP92" s="165">
        <f>1000+AL92</f>
        <v>1200</v>
      </c>
      <c r="AQ92" s="165"/>
    </row>
    <row r="93" spans="1:43" x14ac:dyDescent="0.25">
      <c r="A93" s="52" t="s">
        <v>95</v>
      </c>
      <c r="B93" s="89">
        <v>179183.38</v>
      </c>
      <c r="C93" s="90"/>
      <c r="D93" s="91"/>
      <c r="E93" s="82">
        <f>20+20+20+20+20+20+100+174.23</f>
        <v>394.23</v>
      </c>
      <c r="F93" s="83"/>
      <c r="G93" s="84"/>
      <c r="H93" s="82">
        <v>0</v>
      </c>
      <c r="I93" s="83"/>
      <c r="J93" s="84"/>
      <c r="K93" s="82">
        <f>120+180</f>
        <v>300</v>
      </c>
      <c r="L93" s="83"/>
      <c r="M93" s="84"/>
      <c r="N93" s="82">
        <v>0</v>
      </c>
      <c r="O93" s="83"/>
      <c r="P93" s="84"/>
      <c r="Q93" s="82">
        <v>0</v>
      </c>
      <c r="R93" s="83"/>
      <c r="S93" s="84"/>
      <c r="T93" s="82">
        <v>0</v>
      </c>
      <c r="U93" s="83"/>
      <c r="V93" s="84"/>
      <c r="W93" s="82">
        <v>0</v>
      </c>
      <c r="X93" s="83"/>
      <c r="Y93" s="84"/>
      <c r="Z93" s="82">
        <v>0</v>
      </c>
      <c r="AA93" s="83"/>
      <c r="AB93" s="84"/>
      <c r="AC93" s="82">
        <v>0</v>
      </c>
      <c r="AD93" s="83"/>
      <c r="AE93" s="84"/>
      <c r="AF93" s="82">
        <v>0</v>
      </c>
      <c r="AG93" s="83"/>
      <c r="AH93" s="84"/>
      <c r="AI93" s="164">
        <v>0</v>
      </c>
      <c r="AJ93" s="164"/>
      <c r="AK93" s="164"/>
      <c r="AL93" s="89">
        <f t="shared" si="17"/>
        <v>694.23</v>
      </c>
      <c r="AM93" s="90"/>
      <c r="AN93" s="91"/>
      <c r="AO93" s="53">
        <f>AL93/AL103</f>
        <v>9.7930472369269113E-4</v>
      </c>
      <c r="AP93" s="165">
        <f>179183.38+AL93</f>
        <v>179877.61000000002</v>
      </c>
      <c r="AQ93" s="165"/>
    </row>
    <row r="94" spans="1:43" x14ac:dyDescent="0.25">
      <c r="A94" s="52" t="s">
        <v>96</v>
      </c>
      <c r="B94" s="89">
        <v>60</v>
      </c>
      <c r="C94" s="90"/>
      <c r="D94" s="91"/>
      <c r="E94" s="82">
        <v>0</v>
      </c>
      <c r="F94" s="83"/>
      <c r="G94" s="84"/>
      <c r="H94" s="82">
        <v>0</v>
      </c>
      <c r="I94" s="83"/>
      <c r="J94" s="84"/>
      <c r="K94" s="82">
        <v>0</v>
      </c>
      <c r="L94" s="83"/>
      <c r="M94" s="84"/>
      <c r="N94" s="82">
        <v>0</v>
      </c>
      <c r="O94" s="83"/>
      <c r="P94" s="84"/>
      <c r="Q94" s="82">
        <v>0</v>
      </c>
      <c r="R94" s="83"/>
      <c r="S94" s="84"/>
      <c r="T94" s="82">
        <v>0</v>
      </c>
      <c r="U94" s="83"/>
      <c r="V94" s="84"/>
      <c r="W94" s="82">
        <v>0</v>
      </c>
      <c r="X94" s="83"/>
      <c r="Y94" s="84"/>
      <c r="Z94" s="82">
        <f>60</f>
        <v>60</v>
      </c>
      <c r="AA94" s="83"/>
      <c r="AB94" s="84"/>
      <c r="AC94" s="82">
        <v>0</v>
      </c>
      <c r="AD94" s="83"/>
      <c r="AE94" s="84"/>
      <c r="AF94" s="82">
        <v>0</v>
      </c>
      <c r="AG94" s="83"/>
      <c r="AH94" s="84"/>
      <c r="AI94" s="164">
        <v>0</v>
      </c>
      <c r="AJ94" s="164"/>
      <c r="AK94" s="164"/>
      <c r="AL94" s="89">
        <f t="shared" si="17"/>
        <v>60</v>
      </c>
      <c r="AM94" s="90"/>
      <c r="AN94" s="91"/>
      <c r="AO94" s="53">
        <f>AL94/AL103</f>
        <v>8.463806436132329E-5</v>
      </c>
      <c r="AP94" s="165">
        <f>60+AL94</f>
        <v>120</v>
      </c>
      <c r="AQ94" s="165"/>
    </row>
    <row r="95" spans="1:43" x14ac:dyDescent="0.25">
      <c r="A95" s="50" t="s">
        <v>97</v>
      </c>
      <c r="B95" s="156">
        <f>SUM(B96:D102)</f>
        <v>178248.91999999998</v>
      </c>
      <c r="C95" s="157"/>
      <c r="D95" s="158"/>
      <c r="E95" s="153">
        <f>SUM(E96:G102)</f>
        <v>4770.4400000000005</v>
      </c>
      <c r="F95" s="154"/>
      <c r="G95" s="155"/>
      <c r="H95" s="153">
        <f t="shared" ref="H95" si="18">SUM(H96:J102)</f>
        <v>6178.1900000000005</v>
      </c>
      <c r="I95" s="154"/>
      <c r="J95" s="155"/>
      <c r="K95" s="153">
        <f t="shared" ref="K95" si="19">SUM(K96:M102)</f>
        <v>8814.16</v>
      </c>
      <c r="L95" s="154"/>
      <c r="M95" s="155"/>
      <c r="N95" s="153">
        <f t="shared" ref="N95" si="20">SUM(N96:P102)</f>
        <v>0</v>
      </c>
      <c r="O95" s="154"/>
      <c r="P95" s="155"/>
      <c r="Q95" s="153">
        <f t="shared" ref="Q95" si="21">SUM(Q96:S102)</f>
        <v>0</v>
      </c>
      <c r="R95" s="154"/>
      <c r="S95" s="155"/>
      <c r="T95" s="153">
        <f t="shared" ref="T95" si="22">SUM(T96:V102)</f>
        <v>0</v>
      </c>
      <c r="U95" s="154"/>
      <c r="V95" s="155"/>
      <c r="W95" s="153">
        <f t="shared" ref="W95" si="23">SUM(W96:Y102)</f>
        <v>0</v>
      </c>
      <c r="X95" s="154"/>
      <c r="Y95" s="155"/>
      <c r="Z95" s="153">
        <f t="shared" ref="Z95" si="24">SUM(Z96:AB102)</f>
        <v>0</v>
      </c>
      <c r="AA95" s="154"/>
      <c r="AB95" s="155"/>
      <c r="AC95" s="153">
        <f t="shared" ref="AC95" si="25">SUM(AC96:AE102)</f>
        <v>0</v>
      </c>
      <c r="AD95" s="154"/>
      <c r="AE95" s="155"/>
      <c r="AF95" s="153">
        <f t="shared" ref="AF95" si="26">SUM(AF96:AH102)</f>
        <v>0</v>
      </c>
      <c r="AG95" s="154"/>
      <c r="AH95" s="155"/>
      <c r="AI95" s="153">
        <f t="shared" ref="AI95" si="27">SUM(AI96:AK102)</f>
        <v>0</v>
      </c>
      <c r="AJ95" s="154"/>
      <c r="AK95" s="155"/>
      <c r="AL95" s="156">
        <f>SUM(AL96:AN102)</f>
        <v>19762.79</v>
      </c>
      <c r="AM95" s="157"/>
      <c r="AN95" s="158"/>
      <c r="AO95" s="51">
        <f>AL95/AL103</f>
        <v>2.7878071532988609E-2</v>
      </c>
      <c r="AP95" s="159">
        <f>SUM(AP96:AQ102)</f>
        <v>198011.71000000002</v>
      </c>
      <c r="AQ95" s="159"/>
    </row>
    <row r="96" spans="1:43" x14ac:dyDescent="0.25">
      <c r="A96" s="55" t="s">
        <v>98</v>
      </c>
      <c r="B96" s="89">
        <v>74980.759999999995</v>
      </c>
      <c r="C96" s="90"/>
      <c r="D96" s="91"/>
      <c r="E96" s="82">
        <v>2616.9499999999998</v>
      </c>
      <c r="F96" s="83"/>
      <c r="G96" s="84"/>
      <c r="H96" s="82">
        <f>1710.68+355.51+1760.11</f>
        <v>3826.3</v>
      </c>
      <c r="I96" s="83"/>
      <c r="J96" s="84"/>
      <c r="K96" s="82">
        <f>1556.68+1195.41</f>
        <v>2752.09</v>
      </c>
      <c r="L96" s="83"/>
      <c r="M96" s="84"/>
      <c r="N96" s="82">
        <v>0</v>
      </c>
      <c r="O96" s="83"/>
      <c r="P96" s="84"/>
      <c r="Q96" s="82">
        <v>0</v>
      </c>
      <c r="R96" s="83"/>
      <c r="S96" s="84"/>
      <c r="T96" s="82">
        <v>0</v>
      </c>
      <c r="U96" s="83"/>
      <c r="V96" s="84"/>
      <c r="W96" s="82">
        <v>0</v>
      </c>
      <c r="X96" s="83"/>
      <c r="Y96" s="84"/>
      <c r="Z96" s="82">
        <v>0</v>
      </c>
      <c r="AA96" s="83"/>
      <c r="AB96" s="84"/>
      <c r="AC96" s="82">
        <v>0</v>
      </c>
      <c r="AD96" s="83"/>
      <c r="AE96" s="84"/>
      <c r="AF96" s="82">
        <v>0</v>
      </c>
      <c r="AG96" s="83"/>
      <c r="AH96" s="84"/>
      <c r="AI96" s="164">
        <v>0</v>
      </c>
      <c r="AJ96" s="164"/>
      <c r="AK96" s="164"/>
      <c r="AL96" s="89">
        <f>0+E96+H96+K96+N96+Q96+T96+W96+Z96+AC96+AF96+AI96</f>
        <v>9195.34</v>
      </c>
      <c r="AM96" s="90"/>
      <c r="AN96" s="91"/>
      <c r="AO96" s="53">
        <f>AL96/AL103</f>
        <v>1.2971262979070843E-2</v>
      </c>
      <c r="AP96" s="165">
        <f>74980.76+AL96</f>
        <v>84176.099999999991</v>
      </c>
      <c r="AQ96" s="165"/>
    </row>
    <row r="97" spans="1:44" x14ac:dyDescent="0.25">
      <c r="A97" s="55" t="s">
        <v>99</v>
      </c>
      <c r="B97" s="89">
        <v>19327.43</v>
      </c>
      <c r="C97" s="90"/>
      <c r="D97" s="91"/>
      <c r="E97" s="82">
        <v>0</v>
      </c>
      <c r="F97" s="83"/>
      <c r="G97" s="84"/>
      <c r="H97" s="82">
        <f>1034</f>
        <v>1034</v>
      </c>
      <c r="I97" s="83"/>
      <c r="J97" s="84"/>
      <c r="K97" s="82">
        <v>0</v>
      </c>
      <c r="L97" s="83"/>
      <c r="M97" s="84"/>
      <c r="N97" s="82">
        <v>0</v>
      </c>
      <c r="O97" s="83"/>
      <c r="P97" s="84"/>
      <c r="Q97" s="82">
        <v>0</v>
      </c>
      <c r="R97" s="83"/>
      <c r="S97" s="84"/>
      <c r="T97" s="82">
        <v>0</v>
      </c>
      <c r="U97" s="83"/>
      <c r="V97" s="84"/>
      <c r="W97" s="82">
        <v>0</v>
      </c>
      <c r="X97" s="83"/>
      <c r="Y97" s="84"/>
      <c r="Z97" s="82">
        <v>0</v>
      </c>
      <c r="AA97" s="83"/>
      <c r="AB97" s="84"/>
      <c r="AC97" s="82">
        <v>0</v>
      </c>
      <c r="AD97" s="83"/>
      <c r="AE97" s="84"/>
      <c r="AF97" s="82">
        <v>0</v>
      </c>
      <c r="AG97" s="83"/>
      <c r="AH97" s="84"/>
      <c r="AI97" s="164">
        <v>0</v>
      </c>
      <c r="AJ97" s="164"/>
      <c r="AK97" s="164"/>
      <c r="AL97" s="89">
        <f t="shared" ref="AL97:AL102" si="28">0+E97+H97+K97+N97+Q97+T97+W97+Z97+AC97+AF97+AI97</f>
        <v>1034</v>
      </c>
      <c r="AM97" s="90"/>
      <c r="AN97" s="91"/>
      <c r="AO97" s="53">
        <f>AL97/AL103</f>
        <v>1.4585959758268048E-3</v>
      </c>
      <c r="AP97" s="165">
        <f>19327.43+AL97</f>
        <v>20361.43</v>
      </c>
      <c r="AQ97" s="165"/>
    </row>
    <row r="98" spans="1:44" x14ac:dyDescent="0.25">
      <c r="A98" s="55" t="s">
        <v>100</v>
      </c>
      <c r="B98" s="89">
        <v>24884.52</v>
      </c>
      <c r="C98" s="90"/>
      <c r="D98" s="91"/>
      <c r="E98" s="82">
        <f>751.76</f>
        <v>751.76</v>
      </c>
      <c r="F98" s="83"/>
      <c r="G98" s="84"/>
      <c r="H98" s="82">
        <f>1317.89</f>
        <v>1317.89</v>
      </c>
      <c r="I98" s="83"/>
      <c r="J98" s="84"/>
      <c r="K98" s="82">
        <f>858</f>
        <v>858</v>
      </c>
      <c r="L98" s="83"/>
      <c r="M98" s="84"/>
      <c r="N98" s="82">
        <v>0</v>
      </c>
      <c r="O98" s="83"/>
      <c r="P98" s="84"/>
      <c r="Q98" s="82">
        <v>0</v>
      </c>
      <c r="R98" s="83"/>
      <c r="S98" s="84"/>
      <c r="T98" s="82">
        <v>0</v>
      </c>
      <c r="U98" s="83"/>
      <c r="V98" s="84"/>
      <c r="W98" s="82">
        <v>0</v>
      </c>
      <c r="X98" s="83"/>
      <c r="Y98" s="84"/>
      <c r="Z98" s="82">
        <v>0</v>
      </c>
      <c r="AA98" s="83"/>
      <c r="AB98" s="84"/>
      <c r="AC98" s="82">
        <v>0</v>
      </c>
      <c r="AD98" s="83"/>
      <c r="AE98" s="84"/>
      <c r="AF98" s="82">
        <v>0</v>
      </c>
      <c r="AG98" s="83"/>
      <c r="AH98" s="84"/>
      <c r="AI98" s="164">
        <v>0</v>
      </c>
      <c r="AJ98" s="164"/>
      <c r="AK98" s="164"/>
      <c r="AL98" s="89">
        <f t="shared" si="28"/>
        <v>2927.65</v>
      </c>
      <c r="AM98" s="90"/>
      <c r="AN98" s="91"/>
      <c r="AO98" s="53">
        <f>AL98/AL103</f>
        <v>4.1298438187904688E-3</v>
      </c>
      <c r="AP98" s="165">
        <f>24884.52+AL98</f>
        <v>27812.170000000002</v>
      </c>
      <c r="AQ98" s="165"/>
    </row>
    <row r="99" spans="1:44" x14ac:dyDescent="0.25">
      <c r="A99" s="55" t="s">
        <v>101</v>
      </c>
      <c r="B99" s="89">
        <v>6131.04</v>
      </c>
      <c r="C99" s="90"/>
      <c r="D99" s="91"/>
      <c r="E99" s="82">
        <v>0</v>
      </c>
      <c r="F99" s="83"/>
      <c r="G99" s="84"/>
      <c r="H99" s="82">
        <v>0</v>
      </c>
      <c r="I99" s="83"/>
      <c r="J99" s="84"/>
      <c r="K99" s="82">
        <f>1527.85</f>
        <v>1527.85</v>
      </c>
      <c r="L99" s="83"/>
      <c r="M99" s="84"/>
      <c r="N99" s="82">
        <v>0</v>
      </c>
      <c r="O99" s="83"/>
      <c r="P99" s="84"/>
      <c r="Q99" s="82">
        <v>0</v>
      </c>
      <c r="R99" s="83"/>
      <c r="S99" s="84"/>
      <c r="T99" s="82">
        <v>0</v>
      </c>
      <c r="U99" s="83"/>
      <c r="V99" s="84"/>
      <c r="W99" s="82">
        <v>0</v>
      </c>
      <c r="X99" s="83"/>
      <c r="Y99" s="84"/>
      <c r="Z99" s="82">
        <v>0</v>
      </c>
      <c r="AA99" s="83"/>
      <c r="AB99" s="84"/>
      <c r="AC99" s="82">
        <v>0</v>
      </c>
      <c r="AD99" s="83"/>
      <c r="AE99" s="84"/>
      <c r="AF99" s="82">
        <v>0</v>
      </c>
      <c r="AG99" s="83"/>
      <c r="AH99" s="84"/>
      <c r="AI99" s="164">
        <v>0</v>
      </c>
      <c r="AJ99" s="164"/>
      <c r="AK99" s="164"/>
      <c r="AL99" s="89">
        <f t="shared" si="28"/>
        <v>1527.85</v>
      </c>
      <c r="AM99" s="90"/>
      <c r="AN99" s="91"/>
      <c r="AO99" s="56">
        <f>AL99/AL103</f>
        <v>2.1552377772407964E-3</v>
      </c>
      <c r="AP99" s="165">
        <f>6131.04+AL99</f>
        <v>7658.8899999999994</v>
      </c>
      <c r="AQ99" s="165"/>
    </row>
    <row r="100" spans="1:44" x14ac:dyDescent="0.25">
      <c r="A100" s="55" t="s">
        <v>102</v>
      </c>
      <c r="B100" s="89">
        <v>8096.72</v>
      </c>
      <c r="C100" s="90"/>
      <c r="D100" s="91"/>
      <c r="E100" s="82">
        <v>0</v>
      </c>
      <c r="F100" s="83"/>
      <c r="G100" s="84"/>
      <c r="H100" s="82">
        <v>0</v>
      </c>
      <c r="I100" s="83"/>
      <c r="J100" s="84"/>
      <c r="K100" s="82">
        <f>774.85</f>
        <v>774.85</v>
      </c>
      <c r="L100" s="83"/>
      <c r="M100" s="84"/>
      <c r="N100" s="82">
        <v>0</v>
      </c>
      <c r="O100" s="83"/>
      <c r="P100" s="84"/>
      <c r="Q100" s="82">
        <v>0</v>
      </c>
      <c r="R100" s="83"/>
      <c r="S100" s="84"/>
      <c r="T100" s="82">
        <v>0</v>
      </c>
      <c r="U100" s="83"/>
      <c r="V100" s="84"/>
      <c r="W100" s="82">
        <v>0</v>
      </c>
      <c r="X100" s="83"/>
      <c r="Y100" s="84"/>
      <c r="Z100" s="82">
        <v>0</v>
      </c>
      <c r="AA100" s="83"/>
      <c r="AB100" s="84"/>
      <c r="AC100" s="82">
        <v>0</v>
      </c>
      <c r="AD100" s="83"/>
      <c r="AE100" s="84"/>
      <c r="AF100" s="82">
        <v>0</v>
      </c>
      <c r="AG100" s="83"/>
      <c r="AH100" s="84"/>
      <c r="AI100" s="164">
        <v>0</v>
      </c>
      <c r="AJ100" s="164"/>
      <c r="AK100" s="164"/>
      <c r="AL100" s="89">
        <f t="shared" si="28"/>
        <v>774.85</v>
      </c>
      <c r="AM100" s="90"/>
      <c r="AN100" s="91"/>
      <c r="AO100" s="53">
        <f>AL100/AL103</f>
        <v>1.0930300695061893E-3</v>
      </c>
      <c r="AP100" s="165">
        <f>8096.72+AL100</f>
        <v>8871.57</v>
      </c>
      <c r="AQ100" s="165"/>
    </row>
    <row r="101" spans="1:44" x14ac:dyDescent="0.25">
      <c r="A101" s="55" t="s">
        <v>103</v>
      </c>
      <c r="B101" s="89">
        <v>14414.08</v>
      </c>
      <c r="C101" s="90"/>
      <c r="D101" s="91"/>
      <c r="E101" s="82">
        <v>0</v>
      </c>
      <c r="F101" s="83"/>
      <c r="G101" s="84"/>
      <c r="H101" s="82">
        <v>0</v>
      </c>
      <c r="I101" s="83"/>
      <c r="J101" s="84"/>
      <c r="K101" s="82">
        <v>0</v>
      </c>
      <c r="L101" s="83"/>
      <c r="M101" s="84"/>
      <c r="N101" s="82">
        <v>0</v>
      </c>
      <c r="O101" s="83"/>
      <c r="P101" s="84"/>
      <c r="Q101" s="82">
        <v>0</v>
      </c>
      <c r="R101" s="83"/>
      <c r="S101" s="84"/>
      <c r="T101" s="82">
        <v>0</v>
      </c>
      <c r="U101" s="83"/>
      <c r="V101" s="84"/>
      <c r="W101" s="82">
        <v>0</v>
      </c>
      <c r="X101" s="83"/>
      <c r="Y101" s="84"/>
      <c r="Z101" s="82">
        <v>0</v>
      </c>
      <c r="AA101" s="83"/>
      <c r="AB101" s="84"/>
      <c r="AC101" s="82">
        <v>0</v>
      </c>
      <c r="AD101" s="83"/>
      <c r="AE101" s="84"/>
      <c r="AF101" s="82">
        <v>0</v>
      </c>
      <c r="AG101" s="83"/>
      <c r="AH101" s="84"/>
      <c r="AI101" s="164">
        <v>0</v>
      </c>
      <c r="AJ101" s="164"/>
      <c r="AK101" s="164"/>
      <c r="AL101" s="89">
        <f t="shared" si="28"/>
        <v>0</v>
      </c>
      <c r="AM101" s="90"/>
      <c r="AN101" s="91"/>
      <c r="AO101" s="53">
        <f>AL101/AL103</f>
        <v>0</v>
      </c>
      <c r="AP101" s="165">
        <f>14414.08+AL101</f>
        <v>14414.08</v>
      </c>
      <c r="AQ101" s="165"/>
    </row>
    <row r="102" spans="1:44" x14ac:dyDescent="0.25">
      <c r="A102" s="55" t="s">
        <v>104</v>
      </c>
      <c r="B102" s="89">
        <v>30414.37</v>
      </c>
      <c r="C102" s="90"/>
      <c r="D102" s="91"/>
      <c r="E102" s="82">
        <f>1045.9+241.2+12.73+21.9+30+50</f>
        <v>1401.7300000000002</v>
      </c>
      <c r="F102" s="83"/>
      <c r="G102" s="84"/>
      <c r="H102" s="82">
        <v>0</v>
      </c>
      <c r="I102" s="83"/>
      <c r="J102" s="84"/>
      <c r="K102" s="82">
        <f>2901.37</f>
        <v>2901.37</v>
      </c>
      <c r="L102" s="83"/>
      <c r="M102" s="84"/>
      <c r="N102" s="82">
        <v>0</v>
      </c>
      <c r="O102" s="83"/>
      <c r="P102" s="84"/>
      <c r="Q102" s="82">
        <v>0</v>
      </c>
      <c r="R102" s="83"/>
      <c r="S102" s="84"/>
      <c r="T102" s="82">
        <v>0</v>
      </c>
      <c r="U102" s="83"/>
      <c r="V102" s="84"/>
      <c r="W102" s="82">
        <v>0</v>
      </c>
      <c r="X102" s="83"/>
      <c r="Y102" s="84"/>
      <c r="Z102" s="82">
        <v>0</v>
      </c>
      <c r="AA102" s="83"/>
      <c r="AB102" s="84"/>
      <c r="AC102" s="82">
        <v>0</v>
      </c>
      <c r="AD102" s="83"/>
      <c r="AE102" s="84"/>
      <c r="AF102" s="82">
        <v>0</v>
      </c>
      <c r="AG102" s="83"/>
      <c r="AH102" s="84"/>
      <c r="AI102" s="164">
        <v>0</v>
      </c>
      <c r="AJ102" s="164"/>
      <c r="AK102" s="164"/>
      <c r="AL102" s="89">
        <f t="shared" si="28"/>
        <v>4303.1000000000004</v>
      </c>
      <c r="AM102" s="90"/>
      <c r="AN102" s="91"/>
      <c r="AO102" s="53">
        <f>AL102/AL103</f>
        <v>6.0701009125535051E-3</v>
      </c>
      <c r="AP102" s="165">
        <f>30414.37+AL102</f>
        <v>34717.47</v>
      </c>
      <c r="AQ102" s="165"/>
    </row>
    <row r="103" spans="1:44" x14ac:dyDescent="0.25">
      <c r="A103" s="57" t="s">
        <v>105</v>
      </c>
      <c r="B103" s="171">
        <v>665976.37</v>
      </c>
      <c r="C103" s="172"/>
      <c r="D103" s="173"/>
      <c r="E103" s="171">
        <f>E33+E42+E46+E50+E64+E69+E84+E90+E95</f>
        <v>60661.509999999995</v>
      </c>
      <c r="F103" s="172"/>
      <c r="G103" s="173"/>
      <c r="H103" s="171">
        <f>H33+H42+H46+H50+H64+H69+H84+H90+H95</f>
        <v>41855.070000000007</v>
      </c>
      <c r="I103" s="172"/>
      <c r="J103" s="173"/>
      <c r="K103" s="171">
        <f>K33+K42+K46+K50+K64+K69+K84+K90+K95</f>
        <v>48116</v>
      </c>
      <c r="L103" s="172"/>
      <c r="M103" s="173"/>
      <c r="N103" s="171">
        <f>N33+N42+N46+N50+N64+N69+N84+N90+N95</f>
        <v>72473.42</v>
      </c>
      <c r="O103" s="172"/>
      <c r="P103" s="173"/>
      <c r="Q103" s="171">
        <f>Q33+Q42+Q46+Q50+Q64+Q69+Q84+Q90+Q95</f>
        <v>60471.19</v>
      </c>
      <c r="R103" s="172"/>
      <c r="S103" s="173"/>
      <c r="T103" s="171">
        <f>T33+T42+T46+T50+T64+T69+T84+T90+T95</f>
        <v>82771.33</v>
      </c>
      <c r="U103" s="172"/>
      <c r="V103" s="173"/>
      <c r="W103" s="171">
        <f>W33+W42+W46+W50+W64+W69+W84+W90+W95</f>
        <v>33141.39</v>
      </c>
      <c r="X103" s="172"/>
      <c r="Y103" s="173"/>
      <c r="Z103" s="171">
        <f>Z33+Z42+Z46+Z50+Z64+Z69+Z84+Z90+Z95</f>
        <v>44031.850000000006</v>
      </c>
      <c r="AA103" s="172"/>
      <c r="AB103" s="173"/>
      <c r="AC103" s="171">
        <f>AC33+AC42+AC46+AC50+AC64+AC69+AC84+AC90+AC95</f>
        <v>34193.810000000005</v>
      </c>
      <c r="AD103" s="172"/>
      <c r="AE103" s="173"/>
      <c r="AF103" s="171">
        <f>AF33+AF42+AF46+AF50+AF64+AF69+AF84+AF90+AF95</f>
        <v>124250.72</v>
      </c>
      <c r="AG103" s="172"/>
      <c r="AH103" s="173"/>
      <c r="AI103" s="171">
        <f>AI33+AI42+AI46+AI50+AI64+AI69+AI84+AI90+AI95</f>
        <v>106934.61</v>
      </c>
      <c r="AJ103" s="172"/>
      <c r="AK103" s="173"/>
      <c r="AL103" s="171">
        <f>SUM(AL33+AL42+AL46+AL50+AL64+AL69+AL84+AL90+AL95)</f>
        <v>708900.89999999991</v>
      </c>
      <c r="AM103" s="172"/>
      <c r="AN103" s="173"/>
      <c r="AO103" s="58">
        <f>AL103/AL103</f>
        <v>1</v>
      </c>
      <c r="AP103" s="174">
        <f>SUM(AP33+AP42+AP46+AP50+AP64+AP69+AP84+AP90+AP95)</f>
        <v>2745102.04</v>
      </c>
      <c r="AQ103" s="174"/>
    </row>
    <row r="104" spans="1:44" x14ac:dyDescent="0.25">
      <c r="A104" s="59" t="s">
        <v>106</v>
      </c>
      <c r="B104" s="175">
        <f>D27-B105</f>
        <v>2150247.92</v>
      </c>
      <c r="C104" s="176"/>
      <c r="D104" s="177"/>
      <c r="E104" s="190">
        <f>G27-E103</f>
        <v>63337.280000000013</v>
      </c>
      <c r="F104" s="190"/>
      <c r="G104" s="190"/>
      <c r="H104" s="190">
        <f>J27-H103</f>
        <v>79118.739999999991</v>
      </c>
      <c r="I104" s="190"/>
      <c r="J104" s="190"/>
      <c r="K104" s="190">
        <f>M27-K103</f>
        <v>-39763.53</v>
      </c>
      <c r="L104" s="190"/>
      <c r="M104" s="190"/>
      <c r="N104" s="190">
        <f>P27-N103</f>
        <v>49000.380000000005</v>
      </c>
      <c r="O104" s="190"/>
      <c r="P104" s="190"/>
      <c r="Q104" s="190">
        <f>S27-Q103</f>
        <v>-53036.22</v>
      </c>
      <c r="R104" s="190"/>
      <c r="S104" s="190"/>
      <c r="T104" s="190">
        <f>V27-T103</f>
        <v>38238.990000000005</v>
      </c>
      <c r="U104" s="190"/>
      <c r="V104" s="190"/>
      <c r="W104" s="190">
        <f>Y27-W103</f>
        <v>-26645.759999999998</v>
      </c>
      <c r="X104" s="190"/>
      <c r="Y104" s="190"/>
      <c r="Z104" s="190">
        <f>AB27-Z103</f>
        <v>85346.12</v>
      </c>
      <c r="AA104" s="190"/>
      <c r="AB104" s="190"/>
      <c r="AC104" s="190">
        <f>AE27-AC103</f>
        <v>-26560.850000000006</v>
      </c>
      <c r="AD104" s="190"/>
      <c r="AE104" s="190"/>
      <c r="AF104" s="190">
        <f>AH27-AF103</f>
        <v>21238.410000000003</v>
      </c>
      <c r="AG104" s="190"/>
      <c r="AH104" s="190"/>
      <c r="AI104" s="190">
        <f>AK27-AI103</f>
        <v>-46794.99</v>
      </c>
      <c r="AJ104" s="190"/>
      <c r="AK104" s="190"/>
      <c r="AL104" s="175">
        <f>AN27-AL103</f>
        <v>143478.57000000018</v>
      </c>
      <c r="AM104" s="176"/>
      <c r="AN104" s="177"/>
      <c r="AO104" s="178">
        <f>AQ27-AP103</f>
        <v>2293726.4900000002</v>
      </c>
      <c r="AP104" s="178"/>
      <c r="AQ104" s="178"/>
    </row>
    <row r="105" spans="1:44" x14ac:dyDescent="0.25">
      <c r="A105" s="60" t="s">
        <v>107</v>
      </c>
      <c r="B105" s="179">
        <v>2036201.14</v>
      </c>
      <c r="C105" s="179"/>
      <c r="D105" s="179"/>
      <c r="E105" s="61"/>
      <c r="F105" s="61"/>
      <c r="G105" s="61"/>
      <c r="H105" s="62"/>
      <c r="I105" s="62"/>
      <c r="J105" s="61"/>
      <c r="K105" s="62"/>
      <c r="L105" s="62"/>
      <c r="M105" s="61"/>
      <c r="N105" s="62"/>
      <c r="O105" s="62"/>
      <c r="P105" s="61"/>
      <c r="Q105" s="62"/>
      <c r="R105" s="62"/>
      <c r="S105" s="61"/>
      <c r="T105" s="62"/>
      <c r="U105" s="62"/>
      <c r="V105" s="61"/>
      <c r="W105" s="62"/>
      <c r="X105" s="62"/>
      <c r="Y105" s="61"/>
      <c r="Z105" s="62"/>
      <c r="AA105" s="62"/>
      <c r="AB105" s="61"/>
      <c r="AC105" s="62"/>
      <c r="AD105" s="62"/>
      <c r="AE105" s="61"/>
      <c r="AF105" s="62"/>
      <c r="AG105" s="62"/>
      <c r="AH105" s="61"/>
      <c r="AI105" s="62"/>
      <c r="AJ105" s="62"/>
      <c r="AK105" s="61"/>
      <c r="AL105" s="62"/>
      <c r="AM105" s="62"/>
      <c r="AN105" s="62"/>
      <c r="AO105" s="180"/>
      <c r="AP105" s="180"/>
      <c r="AQ105" s="180"/>
    </row>
    <row r="106" spans="1:44" x14ac:dyDescent="0.25">
      <c r="A106" s="181"/>
      <c r="B106" s="182"/>
      <c r="C106" s="182"/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182"/>
      <c r="AH106" s="182"/>
      <c r="AI106" s="182"/>
      <c r="AJ106" s="182"/>
      <c r="AK106" s="182"/>
      <c r="AL106" s="182"/>
      <c r="AM106" s="182"/>
      <c r="AN106" s="182"/>
      <c r="AO106" s="182"/>
      <c r="AP106" s="182"/>
      <c r="AQ106" s="182"/>
    </row>
    <row r="107" spans="1:44" x14ac:dyDescent="0.25">
      <c r="A107" s="183"/>
      <c r="B107" s="183"/>
      <c r="C107" s="183"/>
      <c r="D107" s="183"/>
      <c r="E107" s="183"/>
      <c r="F107" s="183"/>
      <c r="G107" s="183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82"/>
    </row>
    <row r="108" spans="1:44" x14ac:dyDescent="0.25">
      <c r="A108" s="63" t="s">
        <v>108</v>
      </c>
      <c r="B108" s="184" t="s">
        <v>109</v>
      </c>
      <c r="C108" s="185"/>
      <c r="D108" s="185"/>
      <c r="E108" s="186" t="s">
        <v>3</v>
      </c>
      <c r="F108" s="187"/>
      <c r="G108" s="188"/>
      <c r="H108" s="189" t="s">
        <v>4</v>
      </c>
      <c r="I108" s="189"/>
      <c r="J108" s="189"/>
      <c r="K108" s="189" t="s">
        <v>5</v>
      </c>
      <c r="L108" s="189"/>
      <c r="M108" s="189"/>
      <c r="N108" s="189" t="s">
        <v>6</v>
      </c>
      <c r="O108" s="189"/>
      <c r="P108" s="189"/>
      <c r="Q108" s="189" t="s">
        <v>7</v>
      </c>
      <c r="R108" s="189"/>
      <c r="S108" s="189"/>
      <c r="T108" s="201" t="s">
        <v>8</v>
      </c>
      <c r="U108" s="201"/>
      <c r="V108" s="201"/>
      <c r="W108" s="201" t="s">
        <v>9</v>
      </c>
      <c r="X108" s="201"/>
      <c r="Y108" s="201"/>
      <c r="Z108" s="201" t="s">
        <v>10</v>
      </c>
      <c r="AA108" s="201"/>
      <c r="AB108" s="201"/>
      <c r="AC108" s="201" t="s">
        <v>11</v>
      </c>
      <c r="AD108" s="201"/>
      <c r="AE108" s="201"/>
      <c r="AF108" s="201" t="s">
        <v>12</v>
      </c>
      <c r="AG108" s="201"/>
      <c r="AH108" s="201"/>
      <c r="AI108" s="201" t="s">
        <v>24</v>
      </c>
      <c r="AJ108" s="201"/>
      <c r="AK108" s="201"/>
      <c r="AL108" s="64"/>
      <c r="AM108" s="64"/>
      <c r="AN108" s="64"/>
      <c r="AO108" s="64"/>
      <c r="AP108" s="64"/>
      <c r="AQ108" s="64"/>
    </row>
    <row r="109" spans="1:44" x14ac:dyDescent="0.25">
      <c r="A109" s="65" t="s">
        <v>110</v>
      </c>
      <c r="B109" s="195">
        <f>344608.99</f>
        <v>344608.99</v>
      </c>
      <c r="C109" s="196"/>
      <c r="D109" s="197"/>
      <c r="E109" s="198">
        <f>B109+103000+1258.22-33476.8-48.46</f>
        <v>415341.94999999995</v>
      </c>
      <c r="F109" s="199"/>
      <c r="G109" s="200"/>
      <c r="H109" s="106">
        <f>E109-33646.97+989.67-72.49</f>
        <v>382612.16</v>
      </c>
      <c r="I109" s="106"/>
      <c r="J109" s="106"/>
      <c r="K109" s="106">
        <f>H109+100000-36971.24-103.47+1353.08</f>
        <v>446890.53</v>
      </c>
      <c r="L109" s="106"/>
      <c r="M109" s="106"/>
      <c r="N109" s="198">
        <f>K109+994.9-163-53478.09</f>
        <v>394244.34000000008</v>
      </c>
      <c r="O109" s="199"/>
      <c r="P109" s="200"/>
      <c r="Q109" s="191">
        <f>N109+766.4-808.1-56378.6</f>
        <v>337824.04000000015</v>
      </c>
      <c r="R109" s="191"/>
      <c r="S109" s="191"/>
      <c r="T109" s="191">
        <f>Q109+573.82-97.86-70257.38</f>
        <v>268042.62000000017</v>
      </c>
      <c r="U109" s="191"/>
      <c r="V109" s="191"/>
      <c r="W109" s="191">
        <f>T109+397.83-28480.77-46.61</f>
        <v>239913.07000000021</v>
      </c>
      <c r="X109" s="191"/>
      <c r="Y109" s="191"/>
      <c r="Z109" s="191">
        <f>W109-23014.71-43.74+282.95</f>
        <v>217137.57000000024</v>
      </c>
      <c r="AA109" s="191"/>
      <c r="AB109" s="191"/>
      <c r="AC109" s="191">
        <f>Z109-21363.45-256.33-39.42</f>
        <v>195478.37000000023</v>
      </c>
      <c r="AD109" s="191"/>
      <c r="AE109" s="191"/>
      <c r="AF109" s="192">
        <f>AC109-95791.56+23.74-102.43</f>
        <v>99608.120000000243</v>
      </c>
      <c r="AG109" s="193"/>
      <c r="AH109" s="193"/>
      <c r="AI109" s="191">
        <f>AF109-54714.2-108+61.05</f>
        <v>44846.970000000249</v>
      </c>
      <c r="AJ109" s="191"/>
      <c r="AK109" s="191"/>
      <c r="AL109" s="64"/>
      <c r="AM109" s="64"/>
      <c r="AN109" s="64"/>
      <c r="AO109" s="64"/>
      <c r="AP109" s="64"/>
      <c r="AQ109" s="64"/>
    </row>
    <row r="110" spans="1:44" x14ac:dyDescent="0.25">
      <c r="A110" s="65" t="s">
        <v>111</v>
      </c>
      <c r="B110" s="195">
        <v>675639.54</v>
      </c>
      <c r="C110" s="196"/>
      <c r="D110" s="197"/>
      <c r="E110" s="198">
        <f>B110+100000+2528.85</f>
        <v>778168.39</v>
      </c>
      <c r="F110" s="199"/>
      <c r="G110" s="200"/>
      <c r="H110" s="106">
        <f>E110+2097.79</f>
        <v>780266.18</v>
      </c>
      <c r="I110" s="106"/>
      <c r="J110" s="106"/>
      <c r="K110" s="106">
        <f>H110+748.68</f>
        <v>781014.8600000001</v>
      </c>
      <c r="L110" s="106"/>
      <c r="M110" s="106"/>
      <c r="N110" s="167">
        <f>K110-462.33</f>
        <v>780552.53000000014</v>
      </c>
      <c r="O110" s="168"/>
      <c r="P110" s="169"/>
      <c r="Q110" s="165">
        <f>N110+2494.19-1448.28</f>
        <v>781598.44000000006</v>
      </c>
      <c r="R110" s="165"/>
      <c r="S110" s="165"/>
      <c r="T110" s="191">
        <f>Q110+1968.57</f>
        <v>783567.01</v>
      </c>
      <c r="U110" s="191"/>
      <c r="V110" s="191"/>
      <c r="W110" s="191">
        <f>T110+100000+2362.86</f>
        <v>885929.87</v>
      </c>
      <c r="X110" s="191"/>
      <c r="Y110" s="191"/>
      <c r="Z110" s="191">
        <f>W110+1202.2</f>
        <v>887132.07</v>
      </c>
      <c r="AA110" s="191"/>
      <c r="AB110" s="191"/>
      <c r="AC110" s="192">
        <f>Z110+100000+94.92</f>
        <v>987226.99</v>
      </c>
      <c r="AD110" s="193"/>
      <c r="AE110" s="193"/>
      <c r="AF110" s="192">
        <f>AC110+903.26</f>
        <v>988130.25</v>
      </c>
      <c r="AG110" s="193"/>
      <c r="AH110" s="193"/>
      <c r="AI110" s="192">
        <f>AF110-1226.21+1658.2+100000</f>
        <v>1088562.24</v>
      </c>
      <c r="AJ110" s="193"/>
      <c r="AK110" s="193"/>
      <c r="AL110" s="203"/>
      <c r="AM110" s="182"/>
      <c r="AN110" s="194"/>
      <c r="AO110" s="194"/>
      <c r="AP110" s="194"/>
      <c r="AQ110" s="194"/>
    </row>
    <row r="111" spans="1:44" x14ac:dyDescent="0.25">
      <c r="A111" s="65" t="s">
        <v>112</v>
      </c>
      <c r="B111" s="195">
        <v>0</v>
      </c>
      <c r="C111" s="196"/>
      <c r="D111" s="197"/>
      <c r="E111" s="198">
        <v>0</v>
      </c>
      <c r="F111" s="199"/>
      <c r="G111" s="200"/>
      <c r="H111" s="198">
        <v>0</v>
      </c>
      <c r="I111" s="199"/>
      <c r="J111" s="200"/>
      <c r="K111" s="198">
        <v>0</v>
      </c>
      <c r="L111" s="199"/>
      <c r="M111" s="200"/>
      <c r="N111" s="198">
        <f>100000+25.38</f>
        <v>100025.38</v>
      </c>
      <c r="O111" s="199"/>
      <c r="P111" s="200"/>
      <c r="Q111" s="191">
        <f>N111+209.71-35.26</f>
        <v>100199.83000000002</v>
      </c>
      <c r="R111" s="191"/>
      <c r="S111" s="191"/>
      <c r="T111" s="191">
        <f>Q111+184.59</f>
        <v>100384.42000000001</v>
      </c>
      <c r="U111" s="191"/>
      <c r="V111" s="191"/>
      <c r="W111" s="191">
        <f>T111+161.21</f>
        <v>100545.63000000002</v>
      </c>
      <c r="X111" s="191"/>
      <c r="Y111" s="191"/>
      <c r="Z111" s="191">
        <f>W111+129.87</f>
        <v>100675.50000000001</v>
      </c>
      <c r="AA111" s="191"/>
      <c r="AB111" s="191"/>
      <c r="AC111" s="191">
        <f>Z111-73.63</f>
        <v>100601.87000000001</v>
      </c>
      <c r="AD111" s="191"/>
      <c r="AE111" s="191"/>
      <c r="AF111" s="192">
        <f>AC111+111.2</f>
        <v>100713.07</v>
      </c>
      <c r="AG111" s="193"/>
      <c r="AH111" s="193"/>
      <c r="AI111" s="191">
        <f>AF111-89.87+85.92</f>
        <v>100709.12000000001</v>
      </c>
      <c r="AJ111" s="191"/>
      <c r="AK111" s="191"/>
      <c r="AL111" s="64"/>
      <c r="AM111" s="64"/>
      <c r="AN111" s="64"/>
      <c r="AO111" s="64"/>
      <c r="AP111" s="64"/>
      <c r="AQ111" s="64"/>
    </row>
    <row r="112" spans="1:44" x14ac:dyDescent="0.25">
      <c r="A112" s="65" t="s">
        <v>113</v>
      </c>
      <c r="B112" s="195">
        <v>1016116.05</v>
      </c>
      <c r="C112" s="196"/>
      <c r="D112" s="197"/>
      <c r="E112" s="198">
        <f>B112+3456.99</f>
        <v>1019573.04</v>
      </c>
      <c r="F112" s="199"/>
      <c r="G112" s="200"/>
      <c r="H112" s="106">
        <f>E112+2306.35</f>
        <v>1021879.39</v>
      </c>
      <c r="I112" s="106"/>
      <c r="J112" s="106"/>
      <c r="K112" s="106">
        <f>H112+2670.71</f>
        <v>1024550.1</v>
      </c>
      <c r="L112" s="106"/>
      <c r="M112" s="106"/>
      <c r="N112" s="198">
        <f>K112+2243.52</f>
        <v>1026793.62</v>
      </c>
      <c r="O112" s="199"/>
      <c r="P112" s="200"/>
      <c r="Q112" s="191">
        <f>N112+1884.67</f>
        <v>1028678.29</v>
      </c>
      <c r="R112" s="191"/>
      <c r="S112" s="191"/>
      <c r="T112" s="191">
        <f>Q112+1703.34</f>
        <v>1030381.63</v>
      </c>
      <c r="U112" s="191"/>
      <c r="V112" s="191"/>
      <c r="W112" s="191">
        <f>T112+2538.73</f>
        <v>1032920.36</v>
      </c>
      <c r="X112" s="191"/>
      <c r="Y112" s="191"/>
      <c r="Z112" s="191">
        <f>W112+1317.95</f>
        <v>1034238.3099999999</v>
      </c>
      <c r="AA112" s="191"/>
      <c r="AB112" s="191"/>
      <c r="AC112" s="191">
        <f>Z112+1288</f>
        <v>1035526.3099999999</v>
      </c>
      <c r="AD112" s="191"/>
      <c r="AE112" s="191"/>
      <c r="AF112" s="192">
        <f>AC112+1289.93</f>
        <v>1036816.24</v>
      </c>
      <c r="AG112" s="193"/>
      <c r="AH112" s="193"/>
      <c r="AI112" s="191">
        <f>AF112+1230.29</f>
        <v>1038046.53</v>
      </c>
      <c r="AJ112" s="191"/>
      <c r="AK112" s="191"/>
      <c r="AL112" s="64"/>
      <c r="AM112" s="64"/>
      <c r="AN112" s="211"/>
      <c r="AO112" s="211"/>
      <c r="AP112" s="211"/>
      <c r="AQ112" s="211"/>
      <c r="AR112" s="211"/>
    </row>
    <row r="113" spans="1:44" x14ac:dyDescent="0.25">
      <c r="A113" s="65" t="s">
        <v>114</v>
      </c>
      <c r="B113" s="195">
        <v>113425.27</v>
      </c>
      <c r="C113" s="196"/>
      <c r="D113" s="197"/>
      <c r="E113" s="167">
        <f>B113+447.4-113872.67</f>
        <v>0</v>
      </c>
      <c r="F113" s="168"/>
      <c r="G113" s="169"/>
      <c r="H113" s="165">
        <v>0</v>
      </c>
      <c r="I113" s="165"/>
      <c r="J113" s="165"/>
      <c r="K113" s="165">
        <f>0</f>
        <v>0</v>
      </c>
      <c r="L113" s="165"/>
      <c r="M113" s="165"/>
      <c r="N113" s="198">
        <v>0</v>
      </c>
      <c r="O113" s="199"/>
      <c r="P113" s="200"/>
      <c r="Q113" s="191">
        <v>0</v>
      </c>
      <c r="R113" s="191"/>
      <c r="S113" s="191"/>
      <c r="T113" s="191">
        <f>0</f>
        <v>0</v>
      </c>
      <c r="U113" s="191"/>
      <c r="V113" s="191"/>
      <c r="W113" s="191">
        <f>0</f>
        <v>0</v>
      </c>
      <c r="X113" s="191"/>
      <c r="Y113" s="191"/>
      <c r="Z113" s="191">
        <v>0</v>
      </c>
      <c r="AA113" s="191"/>
      <c r="AB113" s="191"/>
      <c r="AC113" s="191">
        <v>0</v>
      </c>
      <c r="AD113" s="191"/>
      <c r="AE113" s="191"/>
      <c r="AF113" s="206">
        <v>0</v>
      </c>
      <c r="AG113" s="206"/>
      <c r="AH113" s="206"/>
      <c r="AI113" s="191">
        <f>AF113</f>
        <v>0</v>
      </c>
      <c r="AJ113" s="191"/>
      <c r="AK113" s="191"/>
      <c r="AL113" s="64"/>
      <c r="AM113" s="64"/>
      <c r="AN113" s="211"/>
      <c r="AO113" s="211"/>
      <c r="AP113" s="211"/>
      <c r="AQ113" s="211"/>
      <c r="AR113" s="211"/>
    </row>
    <row r="114" spans="1:44" x14ac:dyDescent="0.25">
      <c r="A114" s="66" t="s">
        <v>115</v>
      </c>
      <c r="B114" s="207">
        <f>SUM(B109:D113)</f>
        <v>2149789.85</v>
      </c>
      <c r="C114" s="208"/>
      <c r="D114" s="209"/>
      <c r="E114" s="207">
        <f>SUM(E109:G113)</f>
        <v>2213083.38</v>
      </c>
      <c r="F114" s="208"/>
      <c r="G114" s="209"/>
      <c r="H114" s="210">
        <f>SUM(H109:J113)</f>
        <v>2184757.73</v>
      </c>
      <c r="I114" s="210"/>
      <c r="J114" s="210"/>
      <c r="K114" s="210">
        <f>SUM(K109:M113)</f>
        <v>2252455.4900000002</v>
      </c>
      <c r="L114" s="210"/>
      <c r="M114" s="210"/>
      <c r="N114" s="210">
        <f>SUM(N109:P113)</f>
        <v>2301615.87</v>
      </c>
      <c r="O114" s="210"/>
      <c r="P114" s="210"/>
      <c r="Q114" s="210">
        <f>SUM(Q109:S113)</f>
        <v>2248300.6000000006</v>
      </c>
      <c r="R114" s="210"/>
      <c r="S114" s="210"/>
      <c r="T114" s="210">
        <f>SUM(T109:V113)</f>
        <v>2182375.6800000002</v>
      </c>
      <c r="U114" s="210"/>
      <c r="V114" s="210"/>
      <c r="W114" s="204">
        <f>SUM(W109:Y113)</f>
        <v>2259308.9300000002</v>
      </c>
      <c r="X114" s="204"/>
      <c r="Y114" s="204"/>
      <c r="Z114" s="204">
        <f>SUM(Z109:AB113)</f>
        <v>2239183.4500000002</v>
      </c>
      <c r="AA114" s="204"/>
      <c r="AB114" s="204"/>
      <c r="AC114" s="204">
        <f>SUM(AC109:AE113)</f>
        <v>2318833.5400000005</v>
      </c>
      <c r="AD114" s="204"/>
      <c r="AE114" s="204"/>
      <c r="AF114" s="204">
        <f>SUM(AF109:AH113)</f>
        <v>2225267.6800000006</v>
      </c>
      <c r="AG114" s="204"/>
      <c r="AH114" s="204"/>
      <c r="AI114" s="204">
        <f>SUM(AI109:AK113)</f>
        <v>2272164.8600000003</v>
      </c>
      <c r="AJ114" s="204"/>
      <c r="AK114" s="204"/>
      <c r="AL114" s="64"/>
      <c r="AM114" s="64"/>
      <c r="AN114" s="64"/>
      <c r="AO114" s="64"/>
      <c r="AP114" s="64"/>
      <c r="AQ114" s="64"/>
    </row>
    <row r="115" spans="1:44" x14ac:dyDescent="0.25">
      <c r="A115" s="67" t="s">
        <v>116</v>
      </c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4"/>
      <c r="R115" s="64"/>
      <c r="S115" s="68"/>
      <c r="T115" s="64"/>
      <c r="U115" s="64"/>
      <c r="V115" s="68"/>
      <c r="W115" s="64"/>
      <c r="X115" s="64"/>
      <c r="Y115" s="68"/>
      <c r="Z115" s="64"/>
      <c r="AA115" s="64"/>
      <c r="AB115" s="68"/>
      <c r="AC115" s="64"/>
      <c r="AD115" s="64"/>
      <c r="AE115" s="68"/>
      <c r="AF115" s="64"/>
      <c r="AG115" s="64"/>
      <c r="AH115" s="68"/>
      <c r="AI115" s="64"/>
      <c r="AJ115" s="64"/>
      <c r="AK115" s="68"/>
      <c r="AL115" s="64"/>
      <c r="AM115" s="64"/>
      <c r="AN115" s="64"/>
      <c r="AO115" s="64"/>
      <c r="AP115" s="64"/>
      <c r="AQ115" s="64"/>
    </row>
    <row r="116" spans="1:44" x14ac:dyDescent="0.25">
      <c r="A116" s="69" t="s">
        <v>117</v>
      </c>
      <c r="B116" s="68"/>
      <c r="C116" s="68"/>
      <c r="D116" s="68"/>
      <c r="E116" s="68"/>
      <c r="F116" s="68"/>
      <c r="Q116" s="64"/>
      <c r="R116" s="64"/>
      <c r="T116" s="64"/>
      <c r="U116" s="64"/>
      <c r="W116" s="64"/>
      <c r="X116" s="64"/>
      <c r="Z116" s="64"/>
      <c r="AA116" s="64"/>
      <c r="AC116" s="64"/>
      <c r="AD116" s="64"/>
      <c r="AF116" s="64"/>
      <c r="AG116" s="64"/>
      <c r="AI116" s="205"/>
      <c r="AJ116" s="205"/>
      <c r="AK116" s="205"/>
      <c r="AL116" s="64"/>
      <c r="AM116" s="64"/>
      <c r="AN116" s="64"/>
      <c r="AO116" s="64"/>
      <c r="AP116" s="64"/>
      <c r="AQ116" s="64"/>
    </row>
    <row r="117" spans="1:44" x14ac:dyDescent="0.25">
      <c r="A117" s="69" t="s">
        <v>118</v>
      </c>
      <c r="B117" s="68"/>
      <c r="C117" s="68"/>
      <c r="D117" s="68"/>
      <c r="E117" s="68"/>
      <c r="F117" s="68"/>
      <c r="Q117" s="64"/>
      <c r="R117" s="64"/>
      <c r="T117" s="64"/>
      <c r="U117" s="64"/>
      <c r="W117" s="64"/>
      <c r="X117" s="64"/>
      <c r="Z117" s="64"/>
      <c r="AA117" s="64"/>
      <c r="AC117" s="64"/>
      <c r="AD117" s="64"/>
      <c r="AF117" s="64"/>
      <c r="AG117" s="64"/>
      <c r="AI117" s="64"/>
      <c r="AJ117" s="64"/>
      <c r="AL117" s="64"/>
      <c r="AM117" s="64"/>
      <c r="AN117" s="64"/>
      <c r="AO117" s="64"/>
      <c r="AP117" s="64"/>
      <c r="AQ117" s="64"/>
    </row>
    <row r="118" spans="1:44" x14ac:dyDescent="0.25">
      <c r="A118" s="202" t="s">
        <v>119</v>
      </c>
      <c r="B118" s="202"/>
      <c r="C118" s="202"/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  <c r="AM118" s="202"/>
      <c r="AN118" s="202"/>
      <c r="AO118" s="202"/>
      <c r="AP118" s="202"/>
      <c r="AQ118" s="202"/>
    </row>
    <row r="119" spans="1:44" x14ac:dyDescent="0.25">
      <c r="A119" s="70" t="s">
        <v>120</v>
      </c>
      <c r="B119" s="70"/>
      <c r="C119" s="70"/>
      <c r="D119" s="70"/>
      <c r="E119" s="70"/>
      <c r="F119" s="70"/>
      <c r="G119" s="68"/>
      <c r="H119" s="70"/>
      <c r="I119" s="70"/>
      <c r="J119" s="68"/>
      <c r="K119" s="70"/>
      <c r="L119" s="70"/>
      <c r="M119" s="68"/>
      <c r="N119" s="70"/>
      <c r="O119" s="70"/>
      <c r="P119" s="68"/>
      <c r="Q119" s="70"/>
      <c r="R119" s="70"/>
      <c r="S119" s="68"/>
      <c r="T119" s="70"/>
      <c r="U119" s="70"/>
      <c r="V119" s="68"/>
      <c r="W119" s="70"/>
      <c r="X119" s="70"/>
      <c r="Y119" s="68"/>
      <c r="Z119" s="70"/>
      <c r="AA119" s="70"/>
      <c r="AB119" s="68"/>
      <c r="AC119" s="70"/>
      <c r="AD119" s="70"/>
      <c r="AE119" s="68"/>
      <c r="AF119" s="70"/>
      <c r="AG119" s="70"/>
      <c r="AH119" s="68"/>
      <c r="AI119" s="70"/>
      <c r="AJ119" s="70"/>
      <c r="AK119" s="68"/>
      <c r="AL119" s="70"/>
      <c r="AM119" s="70"/>
      <c r="AN119" s="70"/>
      <c r="AO119" s="70"/>
      <c r="AP119" s="70"/>
      <c r="AQ119" s="70"/>
    </row>
    <row r="120" spans="1:44" x14ac:dyDescent="0.25">
      <c r="A120" s="70" t="s">
        <v>121</v>
      </c>
      <c r="B120" s="70"/>
      <c r="C120" s="70"/>
      <c r="D120" s="70"/>
      <c r="E120" s="70"/>
      <c r="F120" s="70"/>
      <c r="G120" s="68"/>
      <c r="H120" s="70"/>
      <c r="I120" s="70"/>
      <c r="J120" s="68"/>
      <c r="K120" s="70"/>
      <c r="L120" s="70"/>
      <c r="M120" s="68"/>
      <c r="N120" s="70"/>
      <c r="O120" s="70"/>
      <c r="P120" s="68"/>
      <c r="Q120" s="70"/>
      <c r="R120" s="70"/>
      <c r="S120" s="68"/>
      <c r="T120" s="70"/>
      <c r="U120" s="70"/>
      <c r="V120" s="68"/>
      <c r="W120" s="70"/>
      <c r="X120" s="70"/>
      <c r="Y120" s="68"/>
      <c r="Z120" s="70"/>
      <c r="AA120" s="70"/>
      <c r="AB120" s="68"/>
      <c r="AC120" s="70"/>
      <c r="AD120" s="70"/>
      <c r="AE120" s="68"/>
      <c r="AF120" s="70"/>
      <c r="AG120" s="70"/>
      <c r="AH120" s="68"/>
      <c r="AI120" s="70"/>
      <c r="AJ120" s="70"/>
      <c r="AK120" s="68"/>
      <c r="AL120" s="70"/>
      <c r="AM120" s="70"/>
      <c r="AN120" s="70"/>
      <c r="AO120" s="70"/>
      <c r="AP120" s="70"/>
      <c r="AQ120" s="70"/>
    </row>
    <row r="121" spans="1:44" x14ac:dyDescent="0.25">
      <c r="A121" s="70" t="s">
        <v>122</v>
      </c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</row>
    <row r="122" spans="1:44" x14ac:dyDescent="0.25">
      <c r="A122" s="70" t="s">
        <v>123</v>
      </c>
      <c r="AE122" s="71"/>
      <c r="AH122" s="71"/>
      <c r="AK122" s="71"/>
    </row>
    <row r="123" spans="1:44" x14ac:dyDescent="0.25">
      <c r="A123" s="70" t="s">
        <v>124</v>
      </c>
    </row>
    <row r="124" spans="1:44" x14ac:dyDescent="0.25">
      <c r="A124" s="70" t="s">
        <v>125</v>
      </c>
    </row>
    <row r="125" spans="1:44" x14ac:dyDescent="0.25">
      <c r="A125" s="70" t="s">
        <v>127</v>
      </c>
    </row>
  </sheetData>
  <sheetProtection algorithmName="SHA-512" hashValue="ueeCmDkeKfzxtDKZuJIGzwdfD2ZCl086tWKrMT7YMx8H1io3VojaJbwJDW6NPyKsj5sjZFxyT7uCCGAjI7h9/g==" saltValue="hKOY4olGUSL1MEg0kQlapQ==" spinCount="100000" sheet="1" objects="1" scenarios="1"/>
  <mergeCells count="1246">
    <mergeCell ref="A118:AQ118"/>
    <mergeCell ref="AL110:AM110"/>
    <mergeCell ref="W114:Y114"/>
    <mergeCell ref="Z114:AB114"/>
    <mergeCell ref="AC114:AE114"/>
    <mergeCell ref="AF114:AH114"/>
    <mergeCell ref="AI114:AK114"/>
    <mergeCell ref="AI116:AK116"/>
    <mergeCell ref="AC113:AE113"/>
    <mergeCell ref="AF113:AH113"/>
    <mergeCell ref="AI113:AK113"/>
    <mergeCell ref="B114:D114"/>
    <mergeCell ref="E114:G114"/>
    <mergeCell ref="H114:J114"/>
    <mergeCell ref="K114:M114"/>
    <mergeCell ref="N114:P114"/>
    <mergeCell ref="Q114:S114"/>
    <mergeCell ref="T114:V114"/>
    <mergeCell ref="AN112:AR113"/>
    <mergeCell ref="B113:D113"/>
    <mergeCell ref="E113:G113"/>
    <mergeCell ref="H113:J113"/>
    <mergeCell ref="K113:M113"/>
    <mergeCell ref="N113:P113"/>
    <mergeCell ref="Q113:S113"/>
    <mergeCell ref="T113:V113"/>
    <mergeCell ref="W113:Y113"/>
    <mergeCell ref="Z113:AB113"/>
    <mergeCell ref="T112:V112"/>
    <mergeCell ref="W112:Y112"/>
    <mergeCell ref="Z112:AB112"/>
    <mergeCell ref="AC112:AE112"/>
    <mergeCell ref="AF112:AH112"/>
    <mergeCell ref="AI112:AK112"/>
    <mergeCell ref="B112:D112"/>
    <mergeCell ref="E112:G112"/>
    <mergeCell ref="H112:J112"/>
    <mergeCell ref="K112:M112"/>
    <mergeCell ref="N112:P112"/>
    <mergeCell ref="Q112:S112"/>
    <mergeCell ref="T111:V111"/>
    <mergeCell ref="W111:Y111"/>
    <mergeCell ref="Z111:AB111"/>
    <mergeCell ref="AC111:AE111"/>
    <mergeCell ref="AF111:AH111"/>
    <mergeCell ref="AI111:AK111"/>
    <mergeCell ref="B111:D111"/>
    <mergeCell ref="E111:G111"/>
    <mergeCell ref="H111:J111"/>
    <mergeCell ref="K111:M111"/>
    <mergeCell ref="N111:P111"/>
    <mergeCell ref="Q111:S111"/>
    <mergeCell ref="W110:Y110"/>
    <mergeCell ref="Z110:AB110"/>
    <mergeCell ref="AC110:AE110"/>
    <mergeCell ref="AF110:AH110"/>
    <mergeCell ref="AI110:AK110"/>
    <mergeCell ref="AN110:AQ110"/>
    <mergeCell ref="AC109:AE109"/>
    <mergeCell ref="AF109:AH109"/>
    <mergeCell ref="AI109:AK109"/>
    <mergeCell ref="B110:D110"/>
    <mergeCell ref="E110:G110"/>
    <mergeCell ref="H110:J110"/>
    <mergeCell ref="K110:M110"/>
    <mergeCell ref="N110:P110"/>
    <mergeCell ref="Q110:S110"/>
    <mergeCell ref="T110:V110"/>
    <mergeCell ref="AI108:AK108"/>
    <mergeCell ref="B109:D109"/>
    <mergeCell ref="E109:G109"/>
    <mergeCell ref="H109:J109"/>
    <mergeCell ref="K109:M109"/>
    <mergeCell ref="N109:P109"/>
    <mergeCell ref="Q109:S109"/>
    <mergeCell ref="T109:V109"/>
    <mergeCell ref="W109:Y109"/>
    <mergeCell ref="Z109:AB109"/>
    <mergeCell ref="Q108:S108"/>
    <mergeCell ref="T108:V108"/>
    <mergeCell ref="W108:Y108"/>
    <mergeCell ref="Z108:AB108"/>
    <mergeCell ref="AC108:AE108"/>
    <mergeCell ref="AF108:AH108"/>
    <mergeCell ref="AL104:AN104"/>
    <mergeCell ref="AO104:AQ104"/>
    <mergeCell ref="B105:D105"/>
    <mergeCell ref="AO105:AQ105"/>
    <mergeCell ref="A106:AQ107"/>
    <mergeCell ref="B108:D108"/>
    <mergeCell ref="E108:G108"/>
    <mergeCell ref="H108:J108"/>
    <mergeCell ref="K108:M108"/>
    <mergeCell ref="N108:P108"/>
    <mergeCell ref="T104:V104"/>
    <mergeCell ref="W104:Y104"/>
    <mergeCell ref="Z104:AB104"/>
    <mergeCell ref="AC104:AE104"/>
    <mergeCell ref="AF104:AH104"/>
    <mergeCell ref="AI104:AK104"/>
    <mergeCell ref="B104:D104"/>
    <mergeCell ref="E104:G104"/>
    <mergeCell ref="H104:J104"/>
    <mergeCell ref="K104:M104"/>
    <mergeCell ref="N104:P104"/>
    <mergeCell ref="Q104:S104"/>
    <mergeCell ref="Z103:AB103"/>
    <mergeCell ref="AC103:AE103"/>
    <mergeCell ref="AF103:AH103"/>
    <mergeCell ref="AI103:AK103"/>
    <mergeCell ref="AL103:AN103"/>
    <mergeCell ref="AP103:AQ103"/>
    <mergeCell ref="AL102:AN102"/>
    <mergeCell ref="AP102:AQ102"/>
    <mergeCell ref="B103:D103"/>
    <mergeCell ref="E103:G103"/>
    <mergeCell ref="H103:J103"/>
    <mergeCell ref="K103:M103"/>
    <mergeCell ref="N103:P103"/>
    <mergeCell ref="Q103:S103"/>
    <mergeCell ref="T103:V103"/>
    <mergeCell ref="W103:Y103"/>
    <mergeCell ref="T102:V102"/>
    <mergeCell ref="W102:Y102"/>
    <mergeCell ref="Z102:AB102"/>
    <mergeCell ref="AC102:AE102"/>
    <mergeCell ref="AF102:AH102"/>
    <mergeCell ref="AI102:AK102"/>
    <mergeCell ref="B102:D102"/>
    <mergeCell ref="E102:G102"/>
    <mergeCell ref="H102:J102"/>
    <mergeCell ref="K102:M102"/>
    <mergeCell ref="N102:P102"/>
    <mergeCell ref="Q102:S102"/>
    <mergeCell ref="Z101:AB101"/>
    <mergeCell ref="AC101:AE101"/>
    <mergeCell ref="AF101:AH101"/>
    <mergeCell ref="AI101:AK101"/>
    <mergeCell ref="AL101:AN101"/>
    <mergeCell ref="AP101:AQ101"/>
    <mergeCell ref="AL100:AN100"/>
    <mergeCell ref="AP100:AQ100"/>
    <mergeCell ref="B101:D101"/>
    <mergeCell ref="E101:G101"/>
    <mergeCell ref="H101:J101"/>
    <mergeCell ref="K101:M101"/>
    <mergeCell ref="N101:P101"/>
    <mergeCell ref="Q101:S101"/>
    <mergeCell ref="T101:V101"/>
    <mergeCell ref="W101:Y101"/>
    <mergeCell ref="T100:V100"/>
    <mergeCell ref="W100:Y100"/>
    <mergeCell ref="Z100:AB100"/>
    <mergeCell ref="AC100:AE100"/>
    <mergeCell ref="AF100:AH100"/>
    <mergeCell ref="AI100:AK100"/>
    <mergeCell ref="B100:D100"/>
    <mergeCell ref="E100:G100"/>
    <mergeCell ref="H100:J100"/>
    <mergeCell ref="K100:M100"/>
    <mergeCell ref="N100:P100"/>
    <mergeCell ref="Q100:S100"/>
    <mergeCell ref="Z99:AB99"/>
    <mergeCell ref="AC99:AE99"/>
    <mergeCell ref="AF99:AH99"/>
    <mergeCell ref="AI99:AK99"/>
    <mergeCell ref="AL99:AN99"/>
    <mergeCell ref="AP99:AQ99"/>
    <mergeCell ref="AL98:AN98"/>
    <mergeCell ref="AP98:AQ98"/>
    <mergeCell ref="B99:D99"/>
    <mergeCell ref="E99:G99"/>
    <mergeCell ref="H99:J99"/>
    <mergeCell ref="K99:M99"/>
    <mergeCell ref="N99:P99"/>
    <mergeCell ref="Q99:S99"/>
    <mergeCell ref="T99:V99"/>
    <mergeCell ref="W99:Y99"/>
    <mergeCell ref="T98:V98"/>
    <mergeCell ref="W98:Y98"/>
    <mergeCell ref="Z98:AB98"/>
    <mergeCell ref="AC98:AE98"/>
    <mergeCell ref="AF98:AH98"/>
    <mergeCell ref="AI98:AK98"/>
    <mergeCell ref="B98:D98"/>
    <mergeCell ref="E98:G98"/>
    <mergeCell ref="H98:J98"/>
    <mergeCell ref="K98:M98"/>
    <mergeCell ref="N98:P98"/>
    <mergeCell ref="Q98:S98"/>
    <mergeCell ref="Z97:AB97"/>
    <mergeCell ref="AC97:AE97"/>
    <mergeCell ref="AF97:AH97"/>
    <mergeCell ref="AI97:AK97"/>
    <mergeCell ref="AL97:AN97"/>
    <mergeCell ref="AP97:AQ97"/>
    <mergeCell ref="AL96:AN96"/>
    <mergeCell ref="AP96:AQ96"/>
    <mergeCell ref="B97:D97"/>
    <mergeCell ref="E97:G97"/>
    <mergeCell ref="H97:J97"/>
    <mergeCell ref="K97:M97"/>
    <mergeCell ref="N97:P97"/>
    <mergeCell ref="Q97:S97"/>
    <mergeCell ref="T97:V97"/>
    <mergeCell ref="W97:Y97"/>
    <mergeCell ref="T96:V96"/>
    <mergeCell ref="W96:Y96"/>
    <mergeCell ref="Z96:AB96"/>
    <mergeCell ref="AC96:AE96"/>
    <mergeCell ref="AF96:AH96"/>
    <mergeCell ref="AI96:AK96"/>
    <mergeCell ref="B96:D96"/>
    <mergeCell ref="E96:G96"/>
    <mergeCell ref="H96:J96"/>
    <mergeCell ref="K96:M96"/>
    <mergeCell ref="N96:P96"/>
    <mergeCell ref="Q96:S96"/>
    <mergeCell ref="Z95:AB95"/>
    <mergeCell ref="AC95:AE95"/>
    <mergeCell ref="AF95:AH95"/>
    <mergeCell ref="AI95:AK95"/>
    <mergeCell ref="AL95:AN95"/>
    <mergeCell ref="AP95:AQ95"/>
    <mergeCell ref="AL94:AN94"/>
    <mergeCell ref="AP94:AQ94"/>
    <mergeCell ref="B95:D95"/>
    <mergeCell ref="E95:G95"/>
    <mergeCell ref="H95:J95"/>
    <mergeCell ref="K95:M95"/>
    <mergeCell ref="N95:P95"/>
    <mergeCell ref="Q95:S95"/>
    <mergeCell ref="T95:V95"/>
    <mergeCell ref="W95:Y95"/>
    <mergeCell ref="T94:V94"/>
    <mergeCell ref="W94:Y94"/>
    <mergeCell ref="Z94:AB94"/>
    <mergeCell ref="AC94:AE94"/>
    <mergeCell ref="AF94:AH94"/>
    <mergeCell ref="AI94:AK94"/>
    <mergeCell ref="B94:D94"/>
    <mergeCell ref="E94:G94"/>
    <mergeCell ref="H94:J94"/>
    <mergeCell ref="K94:M94"/>
    <mergeCell ref="N94:P94"/>
    <mergeCell ref="Q94:S94"/>
    <mergeCell ref="Z93:AB93"/>
    <mergeCell ref="AC93:AE93"/>
    <mergeCell ref="AF93:AH93"/>
    <mergeCell ref="AI93:AK93"/>
    <mergeCell ref="AL93:AN93"/>
    <mergeCell ref="AP93:AQ93"/>
    <mergeCell ref="AL92:AN92"/>
    <mergeCell ref="AP92:AQ92"/>
    <mergeCell ref="B93:D93"/>
    <mergeCell ref="E93:G93"/>
    <mergeCell ref="H93:J93"/>
    <mergeCell ref="K93:M93"/>
    <mergeCell ref="N93:P93"/>
    <mergeCell ref="Q93:S93"/>
    <mergeCell ref="T93:V93"/>
    <mergeCell ref="W93:Y93"/>
    <mergeCell ref="T92:V92"/>
    <mergeCell ref="W92:Y92"/>
    <mergeCell ref="Z92:AB92"/>
    <mergeCell ref="AC92:AE92"/>
    <mergeCell ref="AF92:AH92"/>
    <mergeCell ref="AI92:AK92"/>
    <mergeCell ref="B92:D92"/>
    <mergeCell ref="E92:G92"/>
    <mergeCell ref="H92:J92"/>
    <mergeCell ref="K92:M92"/>
    <mergeCell ref="N92:P92"/>
    <mergeCell ref="Q92:S92"/>
    <mergeCell ref="Z91:AB91"/>
    <mergeCell ref="AC91:AE91"/>
    <mergeCell ref="AF91:AH91"/>
    <mergeCell ref="AI91:AK91"/>
    <mergeCell ref="AL91:AN91"/>
    <mergeCell ref="AP91:AQ91"/>
    <mergeCell ref="AL90:AN90"/>
    <mergeCell ref="AP90:AQ90"/>
    <mergeCell ref="B91:D91"/>
    <mergeCell ref="E91:G91"/>
    <mergeCell ref="H91:J91"/>
    <mergeCell ref="K91:M91"/>
    <mergeCell ref="N91:P91"/>
    <mergeCell ref="Q91:S91"/>
    <mergeCell ref="T91:V91"/>
    <mergeCell ref="W91:Y91"/>
    <mergeCell ref="T90:V90"/>
    <mergeCell ref="W90:Y90"/>
    <mergeCell ref="Z90:AB90"/>
    <mergeCell ref="AC90:AE90"/>
    <mergeCell ref="AF90:AH90"/>
    <mergeCell ref="AI90:AK90"/>
    <mergeCell ref="B90:D90"/>
    <mergeCell ref="E90:G90"/>
    <mergeCell ref="H90:J90"/>
    <mergeCell ref="K90:M90"/>
    <mergeCell ref="N90:P90"/>
    <mergeCell ref="Q90:S90"/>
    <mergeCell ref="Z89:AB89"/>
    <mergeCell ref="AC89:AE89"/>
    <mergeCell ref="AF89:AH89"/>
    <mergeCell ref="AI89:AK89"/>
    <mergeCell ref="AL89:AN89"/>
    <mergeCell ref="AP89:AQ89"/>
    <mergeCell ref="AL88:AN88"/>
    <mergeCell ref="AP88:AQ88"/>
    <mergeCell ref="B89:D89"/>
    <mergeCell ref="E89:G89"/>
    <mergeCell ref="H89:J89"/>
    <mergeCell ref="K89:M89"/>
    <mergeCell ref="N89:P89"/>
    <mergeCell ref="Q89:S89"/>
    <mergeCell ref="T89:V89"/>
    <mergeCell ref="W89:Y89"/>
    <mergeCell ref="T88:V88"/>
    <mergeCell ref="W88:Y88"/>
    <mergeCell ref="Z88:AB88"/>
    <mergeCell ref="AC88:AE88"/>
    <mergeCell ref="AF88:AH88"/>
    <mergeCell ref="AI88:AK88"/>
    <mergeCell ref="B88:D88"/>
    <mergeCell ref="E88:G88"/>
    <mergeCell ref="H88:J88"/>
    <mergeCell ref="K88:M88"/>
    <mergeCell ref="N88:P88"/>
    <mergeCell ref="Q88:S88"/>
    <mergeCell ref="Z87:AB87"/>
    <mergeCell ref="AC87:AE87"/>
    <mergeCell ref="AF87:AH87"/>
    <mergeCell ref="AI87:AK87"/>
    <mergeCell ref="AL87:AN87"/>
    <mergeCell ref="AP87:AQ87"/>
    <mergeCell ref="AL86:AN86"/>
    <mergeCell ref="AP86:AQ86"/>
    <mergeCell ref="B87:D87"/>
    <mergeCell ref="E87:G87"/>
    <mergeCell ref="H87:J87"/>
    <mergeCell ref="K87:M87"/>
    <mergeCell ref="N87:P87"/>
    <mergeCell ref="Q87:S87"/>
    <mergeCell ref="T87:V87"/>
    <mergeCell ref="W87:Y87"/>
    <mergeCell ref="T86:V86"/>
    <mergeCell ref="W86:Y86"/>
    <mergeCell ref="Z86:AB86"/>
    <mergeCell ref="AC86:AE86"/>
    <mergeCell ref="AF86:AH86"/>
    <mergeCell ref="AI86:AK86"/>
    <mergeCell ref="B86:D86"/>
    <mergeCell ref="E86:G86"/>
    <mergeCell ref="H86:J86"/>
    <mergeCell ref="K86:M86"/>
    <mergeCell ref="N86:P86"/>
    <mergeCell ref="Q86:S86"/>
    <mergeCell ref="Z85:AB85"/>
    <mergeCell ref="AC85:AE85"/>
    <mergeCell ref="AF85:AH85"/>
    <mergeCell ref="AI85:AK85"/>
    <mergeCell ref="AL85:AN85"/>
    <mergeCell ref="AP85:AQ85"/>
    <mergeCell ref="AL84:AN84"/>
    <mergeCell ref="AP84:AQ84"/>
    <mergeCell ref="B85:D85"/>
    <mergeCell ref="E85:G85"/>
    <mergeCell ref="H85:J85"/>
    <mergeCell ref="K85:M85"/>
    <mergeCell ref="N85:P85"/>
    <mergeCell ref="Q85:S85"/>
    <mergeCell ref="T85:V85"/>
    <mergeCell ref="W85:Y85"/>
    <mergeCell ref="T84:V84"/>
    <mergeCell ref="W84:Y84"/>
    <mergeCell ref="Z84:AB84"/>
    <mergeCell ref="AC84:AE84"/>
    <mergeCell ref="AF84:AH84"/>
    <mergeCell ref="AI84:AK84"/>
    <mergeCell ref="B84:D84"/>
    <mergeCell ref="E84:G84"/>
    <mergeCell ref="H84:J84"/>
    <mergeCell ref="K84:M84"/>
    <mergeCell ref="N84:P84"/>
    <mergeCell ref="Q84:S84"/>
    <mergeCell ref="Z83:AB83"/>
    <mergeCell ref="AC83:AE83"/>
    <mergeCell ref="AF83:AH83"/>
    <mergeCell ref="AI83:AK83"/>
    <mergeCell ref="AL83:AN83"/>
    <mergeCell ref="AP83:AQ83"/>
    <mergeCell ref="AL82:AN82"/>
    <mergeCell ref="AP82:AQ82"/>
    <mergeCell ref="B83:D83"/>
    <mergeCell ref="E83:G83"/>
    <mergeCell ref="H83:J83"/>
    <mergeCell ref="K83:M83"/>
    <mergeCell ref="N83:P83"/>
    <mergeCell ref="Q83:S83"/>
    <mergeCell ref="T83:V83"/>
    <mergeCell ref="W83:Y83"/>
    <mergeCell ref="T82:V82"/>
    <mergeCell ref="W82:Y82"/>
    <mergeCell ref="Z82:AB82"/>
    <mergeCell ref="AC82:AE82"/>
    <mergeCell ref="AF82:AH82"/>
    <mergeCell ref="AI82:AK82"/>
    <mergeCell ref="B82:D82"/>
    <mergeCell ref="E82:G82"/>
    <mergeCell ref="H82:J82"/>
    <mergeCell ref="K82:M82"/>
    <mergeCell ref="N82:P82"/>
    <mergeCell ref="Q82:S82"/>
    <mergeCell ref="Z81:AB81"/>
    <mergeCell ref="AC81:AE81"/>
    <mergeCell ref="AF81:AH81"/>
    <mergeCell ref="AI81:AK81"/>
    <mergeCell ref="AL81:AN81"/>
    <mergeCell ref="AP81:AQ81"/>
    <mergeCell ref="AL80:AN80"/>
    <mergeCell ref="AP80:AQ80"/>
    <mergeCell ref="B81:D81"/>
    <mergeCell ref="E81:G81"/>
    <mergeCell ref="H81:J81"/>
    <mergeCell ref="K81:M81"/>
    <mergeCell ref="N81:P81"/>
    <mergeCell ref="Q81:S81"/>
    <mergeCell ref="T81:V81"/>
    <mergeCell ref="W81:Y81"/>
    <mergeCell ref="T80:V80"/>
    <mergeCell ref="W80:Y80"/>
    <mergeCell ref="Z80:AB80"/>
    <mergeCell ref="AC80:AE80"/>
    <mergeCell ref="AF80:AH80"/>
    <mergeCell ref="AI80:AK80"/>
    <mergeCell ref="B80:D80"/>
    <mergeCell ref="E80:G80"/>
    <mergeCell ref="H80:J80"/>
    <mergeCell ref="K80:M80"/>
    <mergeCell ref="N80:P80"/>
    <mergeCell ref="Q80:S80"/>
    <mergeCell ref="Z79:AB79"/>
    <mergeCell ref="AC79:AE79"/>
    <mergeCell ref="AF79:AH79"/>
    <mergeCell ref="AI79:AK79"/>
    <mergeCell ref="AL79:AN79"/>
    <mergeCell ref="AP79:AQ79"/>
    <mergeCell ref="AL78:AN78"/>
    <mergeCell ref="AP78:AQ78"/>
    <mergeCell ref="B79:D79"/>
    <mergeCell ref="E79:G79"/>
    <mergeCell ref="H79:J79"/>
    <mergeCell ref="K79:M79"/>
    <mergeCell ref="N79:P79"/>
    <mergeCell ref="Q79:S79"/>
    <mergeCell ref="T79:V79"/>
    <mergeCell ref="W79:Y79"/>
    <mergeCell ref="T78:V78"/>
    <mergeCell ref="W78:Y78"/>
    <mergeCell ref="Z78:AB78"/>
    <mergeCell ref="AC78:AE78"/>
    <mergeCell ref="AF78:AH78"/>
    <mergeCell ref="AI78:AK78"/>
    <mergeCell ref="B78:D78"/>
    <mergeCell ref="E78:G78"/>
    <mergeCell ref="H78:J78"/>
    <mergeCell ref="K78:M78"/>
    <mergeCell ref="N78:P78"/>
    <mergeCell ref="Q78:S78"/>
    <mergeCell ref="Z77:AB77"/>
    <mergeCell ref="AC77:AE77"/>
    <mergeCell ref="AF77:AH77"/>
    <mergeCell ref="AI77:AK77"/>
    <mergeCell ref="AL77:AN77"/>
    <mergeCell ref="AP77:AQ77"/>
    <mergeCell ref="AL76:AN76"/>
    <mergeCell ref="AP76:AQ76"/>
    <mergeCell ref="B77:D77"/>
    <mergeCell ref="E77:G77"/>
    <mergeCell ref="H77:J77"/>
    <mergeCell ref="K77:M77"/>
    <mergeCell ref="N77:P77"/>
    <mergeCell ref="Q77:S77"/>
    <mergeCell ref="T77:V77"/>
    <mergeCell ref="W77:Y77"/>
    <mergeCell ref="T76:V76"/>
    <mergeCell ref="W76:Y76"/>
    <mergeCell ref="Z76:AB76"/>
    <mergeCell ref="AC76:AE76"/>
    <mergeCell ref="AF76:AH76"/>
    <mergeCell ref="AI76:AK76"/>
    <mergeCell ref="B76:D76"/>
    <mergeCell ref="E76:G76"/>
    <mergeCell ref="H76:J76"/>
    <mergeCell ref="K76:M76"/>
    <mergeCell ref="N76:P76"/>
    <mergeCell ref="Q76:S76"/>
    <mergeCell ref="Z75:AB75"/>
    <mergeCell ref="AC75:AE75"/>
    <mergeCell ref="AF75:AH75"/>
    <mergeCell ref="AI75:AK75"/>
    <mergeCell ref="AL75:AN75"/>
    <mergeCell ref="AP75:AQ75"/>
    <mergeCell ref="AL74:AN74"/>
    <mergeCell ref="AP74:AQ74"/>
    <mergeCell ref="B75:D75"/>
    <mergeCell ref="E75:G75"/>
    <mergeCell ref="H75:J75"/>
    <mergeCell ref="K75:M75"/>
    <mergeCell ref="N75:P75"/>
    <mergeCell ref="Q75:S75"/>
    <mergeCell ref="T75:V75"/>
    <mergeCell ref="W75:Y75"/>
    <mergeCell ref="T74:V74"/>
    <mergeCell ref="W74:Y74"/>
    <mergeCell ref="Z74:AB74"/>
    <mergeCell ref="AC74:AE74"/>
    <mergeCell ref="AF74:AH74"/>
    <mergeCell ref="AI74:AK74"/>
    <mergeCell ref="B74:D74"/>
    <mergeCell ref="E74:G74"/>
    <mergeCell ref="H74:J74"/>
    <mergeCell ref="K74:M74"/>
    <mergeCell ref="N74:P74"/>
    <mergeCell ref="Q74:S74"/>
    <mergeCell ref="Z73:AB73"/>
    <mergeCell ref="AC73:AE73"/>
    <mergeCell ref="AF73:AH73"/>
    <mergeCell ref="AI73:AK73"/>
    <mergeCell ref="AL73:AN73"/>
    <mergeCell ref="AP73:AQ73"/>
    <mergeCell ref="AL72:AN72"/>
    <mergeCell ref="AP72:AQ72"/>
    <mergeCell ref="B73:D73"/>
    <mergeCell ref="E73:G73"/>
    <mergeCell ref="H73:J73"/>
    <mergeCell ref="K73:M73"/>
    <mergeCell ref="N73:P73"/>
    <mergeCell ref="Q73:S73"/>
    <mergeCell ref="T73:V73"/>
    <mergeCell ref="W73:Y73"/>
    <mergeCell ref="T72:V72"/>
    <mergeCell ref="W72:Y72"/>
    <mergeCell ref="Z72:AB72"/>
    <mergeCell ref="AC72:AE72"/>
    <mergeCell ref="AF72:AH72"/>
    <mergeCell ref="AI72:AK72"/>
    <mergeCell ref="B72:D72"/>
    <mergeCell ref="E72:G72"/>
    <mergeCell ref="H72:J72"/>
    <mergeCell ref="K72:M72"/>
    <mergeCell ref="N72:P72"/>
    <mergeCell ref="Q72:S72"/>
    <mergeCell ref="Z71:AB71"/>
    <mergeCell ref="AC71:AE71"/>
    <mergeCell ref="AF71:AH71"/>
    <mergeCell ref="AI71:AK71"/>
    <mergeCell ref="AL71:AN71"/>
    <mergeCell ref="AP71:AQ71"/>
    <mergeCell ref="AL70:AN70"/>
    <mergeCell ref="AP70:AQ70"/>
    <mergeCell ref="B71:D71"/>
    <mergeCell ref="E71:G71"/>
    <mergeCell ref="H71:J71"/>
    <mergeCell ref="K71:M71"/>
    <mergeCell ref="N71:P71"/>
    <mergeCell ref="Q71:S71"/>
    <mergeCell ref="T71:V71"/>
    <mergeCell ref="W71:Y71"/>
    <mergeCell ref="T70:V70"/>
    <mergeCell ref="W70:Y70"/>
    <mergeCell ref="Z70:AB70"/>
    <mergeCell ref="AC70:AE70"/>
    <mergeCell ref="AF70:AH70"/>
    <mergeCell ref="AI70:AK70"/>
    <mergeCell ref="B70:D70"/>
    <mergeCell ref="E70:G70"/>
    <mergeCell ref="H70:J70"/>
    <mergeCell ref="K70:M70"/>
    <mergeCell ref="N70:P70"/>
    <mergeCell ref="Q70:S70"/>
    <mergeCell ref="Z69:AB69"/>
    <mergeCell ref="AC69:AE69"/>
    <mergeCell ref="AF69:AH69"/>
    <mergeCell ref="AI69:AK69"/>
    <mergeCell ref="AL69:AN69"/>
    <mergeCell ref="AP69:AQ69"/>
    <mergeCell ref="AL68:AN68"/>
    <mergeCell ref="AP68:AQ68"/>
    <mergeCell ref="B69:D69"/>
    <mergeCell ref="E69:G69"/>
    <mergeCell ref="H69:J69"/>
    <mergeCell ref="K69:M69"/>
    <mergeCell ref="N69:P69"/>
    <mergeCell ref="Q69:S69"/>
    <mergeCell ref="T69:V69"/>
    <mergeCell ref="W69:Y69"/>
    <mergeCell ref="T68:V68"/>
    <mergeCell ref="W68:Y68"/>
    <mergeCell ref="Z68:AB68"/>
    <mergeCell ref="AC68:AE68"/>
    <mergeCell ref="AF68:AH68"/>
    <mergeCell ref="AI68:AK68"/>
    <mergeCell ref="B68:D68"/>
    <mergeCell ref="E68:G68"/>
    <mergeCell ref="H68:J68"/>
    <mergeCell ref="K68:M68"/>
    <mergeCell ref="N68:P68"/>
    <mergeCell ref="Q68:S68"/>
    <mergeCell ref="Z67:AB67"/>
    <mergeCell ref="AC67:AE67"/>
    <mergeCell ref="AF67:AH67"/>
    <mergeCell ref="AI67:AK67"/>
    <mergeCell ref="AL67:AN67"/>
    <mergeCell ref="AP67:AQ67"/>
    <mergeCell ref="AL66:AN66"/>
    <mergeCell ref="AP66:AQ66"/>
    <mergeCell ref="B67:D67"/>
    <mergeCell ref="E67:G67"/>
    <mergeCell ref="H67:J67"/>
    <mergeCell ref="K67:M67"/>
    <mergeCell ref="N67:P67"/>
    <mergeCell ref="Q67:S67"/>
    <mergeCell ref="T67:V67"/>
    <mergeCell ref="W67:Y67"/>
    <mergeCell ref="T66:V66"/>
    <mergeCell ref="W66:Y66"/>
    <mergeCell ref="Z66:AB66"/>
    <mergeCell ref="AC66:AE66"/>
    <mergeCell ref="AF66:AH66"/>
    <mergeCell ref="AI66:AK66"/>
    <mergeCell ref="B66:D66"/>
    <mergeCell ref="E66:G66"/>
    <mergeCell ref="H66:J66"/>
    <mergeCell ref="K66:M66"/>
    <mergeCell ref="N66:P66"/>
    <mergeCell ref="Q66:S66"/>
    <mergeCell ref="Z65:AB65"/>
    <mergeCell ref="AC65:AE65"/>
    <mergeCell ref="AF65:AH65"/>
    <mergeCell ref="AI65:AK65"/>
    <mergeCell ref="AL65:AN65"/>
    <mergeCell ref="AP65:AQ65"/>
    <mergeCell ref="AL64:AN64"/>
    <mergeCell ref="AP64:AQ64"/>
    <mergeCell ref="B65:D65"/>
    <mergeCell ref="E65:G65"/>
    <mergeCell ref="H65:J65"/>
    <mergeCell ref="K65:M65"/>
    <mergeCell ref="N65:P65"/>
    <mergeCell ref="Q65:S65"/>
    <mergeCell ref="T65:V65"/>
    <mergeCell ref="W65:Y65"/>
    <mergeCell ref="T64:V64"/>
    <mergeCell ref="W64:Y64"/>
    <mergeCell ref="Z64:AB64"/>
    <mergeCell ref="AC64:AE64"/>
    <mergeCell ref="AF64:AH64"/>
    <mergeCell ref="AI64:AK64"/>
    <mergeCell ref="B64:D64"/>
    <mergeCell ref="E64:G64"/>
    <mergeCell ref="H64:J64"/>
    <mergeCell ref="K64:M64"/>
    <mergeCell ref="N64:P64"/>
    <mergeCell ref="Q64:S64"/>
    <mergeCell ref="Z63:AB63"/>
    <mergeCell ref="AC63:AE63"/>
    <mergeCell ref="AF63:AH63"/>
    <mergeCell ref="AI63:AK63"/>
    <mergeCell ref="AL63:AN63"/>
    <mergeCell ref="AP63:AQ63"/>
    <mergeCell ref="AL62:AN62"/>
    <mergeCell ref="AP62:AQ62"/>
    <mergeCell ref="B63:D63"/>
    <mergeCell ref="E63:G63"/>
    <mergeCell ref="H63:J63"/>
    <mergeCell ref="K63:M63"/>
    <mergeCell ref="N63:P63"/>
    <mergeCell ref="Q63:S63"/>
    <mergeCell ref="T63:V63"/>
    <mergeCell ref="W63:Y63"/>
    <mergeCell ref="T62:V62"/>
    <mergeCell ref="W62:Y62"/>
    <mergeCell ref="Z62:AB62"/>
    <mergeCell ref="AC62:AE62"/>
    <mergeCell ref="AF62:AH62"/>
    <mergeCell ref="AI62:AK62"/>
    <mergeCell ref="B62:D62"/>
    <mergeCell ref="E62:G62"/>
    <mergeCell ref="H62:J62"/>
    <mergeCell ref="K62:M62"/>
    <mergeCell ref="N62:P62"/>
    <mergeCell ref="Q62:S62"/>
    <mergeCell ref="Z61:AB61"/>
    <mergeCell ref="AC61:AE61"/>
    <mergeCell ref="AF61:AH61"/>
    <mergeCell ref="AI61:AK61"/>
    <mergeCell ref="AL61:AN61"/>
    <mergeCell ref="AP61:AQ61"/>
    <mergeCell ref="AL60:AN60"/>
    <mergeCell ref="AP60:AQ60"/>
    <mergeCell ref="B61:D61"/>
    <mergeCell ref="E61:G61"/>
    <mergeCell ref="H61:J61"/>
    <mergeCell ref="K61:M61"/>
    <mergeCell ref="N61:P61"/>
    <mergeCell ref="Q61:S61"/>
    <mergeCell ref="T61:V61"/>
    <mergeCell ref="W61:Y61"/>
    <mergeCell ref="T60:V60"/>
    <mergeCell ref="W60:Y60"/>
    <mergeCell ref="Z60:AB60"/>
    <mergeCell ref="AC60:AE60"/>
    <mergeCell ref="AF60:AH60"/>
    <mergeCell ref="AI60:AK60"/>
    <mergeCell ref="B60:D60"/>
    <mergeCell ref="E60:G60"/>
    <mergeCell ref="H60:J60"/>
    <mergeCell ref="K60:M60"/>
    <mergeCell ref="N60:P60"/>
    <mergeCell ref="Q60:S60"/>
    <mergeCell ref="Z59:AB59"/>
    <mergeCell ref="AC59:AE59"/>
    <mergeCell ref="AF59:AH59"/>
    <mergeCell ref="AI59:AK59"/>
    <mergeCell ref="AL59:AN59"/>
    <mergeCell ref="AP59:AQ59"/>
    <mergeCell ref="AL58:AN58"/>
    <mergeCell ref="AP58:AQ58"/>
    <mergeCell ref="B59:D59"/>
    <mergeCell ref="E59:G59"/>
    <mergeCell ref="H59:J59"/>
    <mergeCell ref="K59:M59"/>
    <mergeCell ref="N59:P59"/>
    <mergeCell ref="Q59:S59"/>
    <mergeCell ref="T59:V59"/>
    <mergeCell ref="W59:Y59"/>
    <mergeCell ref="T58:V58"/>
    <mergeCell ref="W58:Y58"/>
    <mergeCell ref="Z58:AB58"/>
    <mergeCell ref="AC58:AE58"/>
    <mergeCell ref="AF58:AH58"/>
    <mergeCell ref="AI58:AK58"/>
    <mergeCell ref="B58:D58"/>
    <mergeCell ref="E58:G58"/>
    <mergeCell ref="H58:J58"/>
    <mergeCell ref="K58:M58"/>
    <mergeCell ref="N58:P58"/>
    <mergeCell ref="Q58:S58"/>
    <mergeCell ref="Z57:AB57"/>
    <mergeCell ref="AC57:AE57"/>
    <mergeCell ref="AF57:AH57"/>
    <mergeCell ref="AI57:AK57"/>
    <mergeCell ref="AL57:AN57"/>
    <mergeCell ref="AP57:AQ57"/>
    <mergeCell ref="AL56:AN56"/>
    <mergeCell ref="AP56:AQ56"/>
    <mergeCell ref="B57:D57"/>
    <mergeCell ref="E57:G57"/>
    <mergeCell ref="H57:J57"/>
    <mergeCell ref="K57:M57"/>
    <mergeCell ref="N57:P57"/>
    <mergeCell ref="Q57:S57"/>
    <mergeCell ref="T57:V57"/>
    <mergeCell ref="W57:Y57"/>
    <mergeCell ref="T56:V56"/>
    <mergeCell ref="W56:Y56"/>
    <mergeCell ref="Z56:AB56"/>
    <mergeCell ref="AC56:AE56"/>
    <mergeCell ref="AF56:AH56"/>
    <mergeCell ref="AI56:AK56"/>
    <mergeCell ref="B56:D56"/>
    <mergeCell ref="E56:G56"/>
    <mergeCell ref="H56:J56"/>
    <mergeCell ref="K56:M56"/>
    <mergeCell ref="N56:P56"/>
    <mergeCell ref="Q56:S56"/>
    <mergeCell ref="Z55:AB55"/>
    <mergeCell ref="AC55:AE55"/>
    <mergeCell ref="AF55:AH55"/>
    <mergeCell ref="AI55:AK55"/>
    <mergeCell ref="AL55:AN55"/>
    <mergeCell ref="AP55:AQ55"/>
    <mergeCell ref="AL54:AN54"/>
    <mergeCell ref="AP54:AQ54"/>
    <mergeCell ref="B55:D55"/>
    <mergeCell ref="E55:G55"/>
    <mergeCell ref="H55:J55"/>
    <mergeCell ref="K55:M55"/>
    <mergeCell ref="N55:P55"/>
    <mergeCell ref="Q55:S55"/>
    <mergeCell ref="T55:V55"/>
    <mergeCell ref="W55:Y55"/>
    <mergeCell ref="T54:V54"/>
    <mergeCell ref="W54:Y54"/>
    <mergeCell ref="Z54:AB54"/>
    <mergeCell ref="AC54:AE54"/>
    <mergeCell ref="AF54:AH54"/>
    <mergeCell ref="AI54:AK54"/>
    <mergeCell ref="B54:D54"/>
    <mergeCell ref="E54:G54"/>
    <mergeCell ref="H54:J54"/>
    <mergeCell ref="K54:M54"/>
    <mergeCell ref="N54:P54"/>
    <mergeCell ref="Q54:S54"/>
    <mergeCell ref="Z53:AB53"/>
    <mergeCell ref="AC53:AE53"/>
    <mergeCell ref="AF53:AH53"/>
    <mergeCell ref="AI53:AK53"/>
    <mergeCell ref="AL53:AN53"/>
    <mergeCell ref="AP53:AQ53"/>
    <mergeCell ref="AL52:AN52"/>
    <mergeCell ref="AP52:AQ52"/>
    <mergeCell ref="B53:D53"/>
    <mergeCell ref="E53:G53"/>
    <mergeCell ref="H53:J53"/>
    <mergeCell ref="K53:M53"/>
    <mergeCell ref="N53:P53"/>
    <mergeCell ref="Q53:S53"/>
    <mergeCell ref="T53:V53"/>
    <mergeCell ref="W53:Y53"/>
    <mergeCell ref="T52:V52"/>
    <mergeCell ref="W52:Y52"/>
    <mergeCell ref="Z52:AB52"/>
    <mergeCell ref="AC52:AE52"/>
    <mergeCell ref="AF52:AH52"/>
    <mergeCell ref="AI52:AK52"/>
    <mergeCell ref="B52:D52"/>
    <mergeCell ref="E52:G52"/>
    <mergeCell ref="H52:J52"/>
    <mergeCell ref="K52:M52"/>
    <mergeCell ref="N52:P52"/>
    <mergeCell ref="Q52:S52"/>
    <mergeCell ref="Z51:AB51"/>
    <mergeCell ref="AC51:AE51"/>
    <mergeCell ref="AF51:AH51"/>
    <mergeCell ref="AI51:AK51"/>
    <mergeCell ref="AL51:AN51"/>
    <mergeCell ref="AP51:AQ51"/>
    <mergeCell ref="AL50:AN50"/>
    <mergeCell ref="AP50:AQ50"/>
    <mergeCell ref="B51:D51"/>
    <mergeCell ref="E51:G51"/>
    <mergeCell ref="H51:J51"/>
    <mergeCell ref="K51:M51"/>
    <mergeCell ref="N51:P51"/>
    <mergeCell ref="Q51:S51"/>
    <mergeCell ref="T51:V51"/>
    <mergeCell ref="W51:Y51"/>
    <mergeCell ref="T50:V50"/>
    <mergeCell ref="W50:Y50"/>
    <mergeCell ref="Z50:AB50"/>
    <mergeCell ref="AC50:AE50"/>
    <mergeCell ref="AF50:AH50"/>
    <mergeCell ref="AI50:AK50"/>
    <mergeCell ref="B50:D50"/>
    <mergeCell ref="E50:G50"/>
    <mergeCell ref="H50:J50"/>
    <mergeCell ref="K50:M50"/>
    <mergeCell ref="N50:P50"/>
    <mergeCell ref="Q50:S50"/>
    <mergeCell ref="Z49:AB49"/>
    <mergeCell ref="AC49:AE49"/>
    <mergeCell ref="AF49:AH49"/>
    <mergeCell ref="AI49:AK49"/>
    <mergeCell ref="AL49:AN49"/>
    <mergeCell ref="AP49:AQ49"/>
    <mergeCell ref="AL48:AN48"/>
    <mergeCell ref="AP48:AQ48"/>
    <mergeCell ref="B49:D49"/>
    <mergeCell ref="E49:G49"/>
    <mergeCell ref="H49:J49"/>
    <mergeCell ref="K49:M49"/>
    <mergeCell ref="N49:P49"/>
    <mergeCell ref="Q49:S49"/>
    <mergeCell ref="T49:V49"/>
    <mergeCell ref="W49:Y49"/>
    <mergeCell ref="T48:V48"/>
    <mergeCell ref="W48:Y48"/>
    <mergeCell ref="Z48:AB48"/>
    <mergeCell ref="AC48:AE48"/>
    <mergeCell ref="AF48:AH48"/>
    <mergeCell ref="AI48:AK48"/>
    <mergeCell ref="B48:D48"/>
    <mergeCell ref="E48:G48"/>
    <mergeCell ref="H48:J48"/>
    <mergeCell ref="K48:M48"/>
    <mergeCell ref="N48:P48"/>
    <mergeCell ref="Q48:S48"/>
    <mergeCell ref="Z47:AB47"/>
    <mergeCell ref="AC47:AE47"/>
    <mergeCell ref="AF47:AH47"/>
    <mergeCell ref="AI47:AK47"/>
    <mergeCell ref="AL47:AN47"/>
    <mergeCell ref="AP47:AQ47"/>
    <mergeCell ref="AL46:AN46"/>
    <mergeCell ref="AP46:AQ46"/>
    <mergeCell ref="B47:D47"/>
    <mergeCell ref="E47:G47"/>
    <mergeCell ref="H47:J47"/>
    <mergeCell ref="K47:M47"/>
    <mergeCell ref="N47:P47"/>
    <mergeCell ref="Q47:S47"/>
    <mergeCell ref="T47:V47"/>
    <mergeCell ref="W47:Y47"/>
    <mergeCell ref="T46:V46"/>
    <mergeCell ref="W46:Y46"/>
    <mergeCell ref="Z46:AB46"/>
    <mergeCell ref="AC46:AE46"/>
    <mergeCell ref="AF46:AH46"/>
    <mergeCell ref="AI46:AK46"/>
    <mergeCell ref="B46:D46"/>
    <mergeCell ref="E46:G46"/>
    <mergeCell ref="H46:J46"/>
    <mergeCell ref="K46:M46"/>
    <mergeCell ref="N46:P46"/>
    <mergeCell ref="Q46:S46"/>
    <mergeCell ref="Z45:AB45"/>
    <mergeCell ref="AC45:AE45"/>
    <mergeCell ref="AF45:AH45"/>
    <mergeCell ref="AI45:AK45"/>
    <mergeCell ref="AL45:AN45"/>
    <mergeCell ref="AP45:AQ45"/>
    <mergeCell ref="AL44:AN44"/>
    <mergeCell ref="AP44:AQ44"/>
    <mergeCell ref="B45:D45"/>
    <mergeCell ref="E45:G45"/>
    <mergeCell ref="H45:J45"/>
    <mergeCell ref="K45:M45"/>
    <mergeCell ref="N45:P45"/>
    <mergeCell ref="Q45:S45"/>
    <mergeCell ref="T45:V45"/>
    <mergeCell ref="W45:Y45"/>
    <mergeCell ref="T44:V44"/>
    <mergeCell ref="W44:Y44"/>
    <mergeCell ref="Z44:AB44"/>
    <mergeCell ref="AC44:AE44"/>
    <mergeCell ref="AF44:AH44"/>
    <mergeCell ref="AI44:AK44"/>
    <mergeCell ref="B44:D44"/>
    <mergeCell ref="E44:G44"/>
    <mergeCell ref="H44:J44"/>
    <mergeCell ref="K44:M44"/>
    <mergeCell ref="N44:P44"/>
    <mergeCell ref="Q44:S44"/>
    <mergeCell ref="Z43:AB43"/>
    <mergeCell ref="AC43:AE43"/>
    <mergeCell ref="AF43:AH43"/>
    <mergeCell ref="AI43:AK43"/>
    <mergeCell ref="AL43:AN43"/>
    <mergeCell ref="AP43:AQ43"/>
    <mergeCell ref="AL42:AN42"/>
    <mergeCell ref="AP42:AQ42"/>
    <mergeCell ref="B43:D43"/>
    <mergeCell ref="E43:G43"/>
    <mergeCell ref="H43:J43"/>
    <mergeCell ref="K43:M43"/>
    <mergeCell ref="N43:P43"/>
    <mergeCell ref="Q43:S43"/>
    <mergeCell ref="T43:V43"/>
    <mergeCell ref="W43:Y43"/>
    <mergeCell ref="T42:V42"/>
    <mergeCell ref="W42:Y42"/>
    <mergeCell ref="Z42:AB42"/>
    <mergeCell ref="AC42:AE42"/>
    <mergeCell ref="AF42:AH42"/>
    <mergeCell ref="AI42:AK42"/>
    <mergeCell ref="B42:D42"/>
    <mergeCell ref="E42:G42"/>
    <mergeCell ref="H42:J42"/>
    <mergeCell ref="K42:M42"/>
    <mergeCell ref="N42:P42"/>
    <mergeCell ref="Q42:S42"/>
    <mergeCell ref="Z41:AB41"/>
    <mergeCell ref="AC41:AE41"/>
    <mergeCell ref="AF41:AH41"/>
    <mergeCell ref="AI41:AK41"/>
    <mergeCell ref="AL41:AN41"/>
    <mergeCell ref="AP41:AQ41"/>
    <mergeCell ref="AL40:AN40"/>
    <mergeCell ref="AP40:AQ40"/>
    <mergeCell ref="B41:D41"/>
    <mergeCell ref="E41:G41"/>
    <mergeCell ref="H41:J41"/>
    <mergeCell ref="K41:M41"/>
    <mergeCell ref="N41:P41"/>
    <mergeCell ref="Q41:S41"/>
    <mergeCell ref="T41:V41"/>
    <mergeCell ref="W41:Y41"/>
    <mergeCell ref="T40:V40"/>
    <mergeCell ref="W40:Y40"/>
    <mergeCell ref="Z40:AB40"/>
    <mergeCell ref="AC40:AE40"/>
    <mergeCell ref="AF40:AH40"/>
    <mergeCell ref="AI40:AK40"/>
    <mergeCell ref="B40:D40"/>
    <mergeCell ref="E40:G40"/>
    <mergeCell ref="H40:J40"/>
    <mergeCell ref="K40:M40"/>
    <mergeCell ref="N40:P40"/>
    <mergeCell ref="Q40:S40"/>
    <mergeCell ref="Z39:AB39"/>
    <mergeCell ref="AC39:AE39"/>
    <mergeCell ref="AF39:AH39"/>
    <mergeCell ref="AI39:AK39"/>
    <mergeCell ref="AL39:AN39"/>
    <mergeCell ref="AP39:AQ39"/>
    <mergeCell ref="AL38:AN38"/>
    <mergeCell ref="AP38:AQ38"/>
    <mergeCell ref="B39:D39"/>
    <mergeCell ref="E39:G39"/>
    <mergeCell ref="H39:J39"/>
    <mergeCell ref="K39:M39"/>
    <mergeCell ref="N39:P39"/>
    <mergeCell ref="Q39:S39"/>
    <mergeCell ref="T39:V39"/>
    <mergeCell ref="W39:Y39"/>
    <mergeCell ref="T38:V38"/>
    <mergeCell ref="W38:Y38"/>
    <mergeCell ref="Z38:AB38"/>
    <mergeCell ref="AC38:AE38"/>
    <mergeCell ref="AF38:AH38"/>
    <mergeCell ref="AI38:AK38"/>
    <mergeCell ref="B38:D38"/>
    <mergeCell ref="E38:G38"/>
    <mergeCell ref="H38:J38"/>
    <mergeCell ref="K38:M38"/>
    <mergeCell ref="N38:P38"/>
    <mergeCell ref="Q38:S38"/>
    <mergeCell ref="Z37:AB37"/>
    <mergeCell ref="AC37:AE37"/>
    <mergeCell ref="AF37:AH37"/>
    <mergeCell ref="AI37:AK37"/>
    <mergeCell ref="AL37:AN37"/>
    <mergeCell ref="AP37:AQ37"/>
    <mergeCell ref="AL36:AN36"/>
    <mergeCell ref="AP36:AQ36"/>
    <mergeCell ref="B37:D37"/>
    <mergeCell ref="E37:G37"/>
    <mergeCell ref="H37:J37"/>
    <mergeCell ref="K37:M37"/>
    <mergeCell ref="N37:P37"/>
    <mergeCell ref="Q37:S37"/>
    <mergeCell ref="T37:V37"/>
    <mergeCell ref="W37:Y37"/>
    <mergeCell ref="T36:V36"/>
    <mergeCell ref="W36:Y36"/>
    <mergeCell ref="Z36:AB36"/>
    <mergeCell ref="AC36:AE36"/>
    <mergeCell ref="AF36:AH36"/>
    <mergeCell ref="AI36:AK36"/>
    <mergeCell ref="B36:D36"/>
    <mergeCell ref="E36:G36"/>
    <mergeCell ref="H36:J36"/>
    <mergeCell ref="K36:M36"/>
    <mergeCell ref="N36:P36"/>
    <mergeCell ref="Q36:S36"/>
    <mergeCell ref="Z35:AB35"/>
    <mergeCell ref="AC35:AE35"/>
    <mergeCell ref="AF35:AH35"/>
    <mergeCell ref="AI35:AK35"/>
    <mergeCell ref="AL35:AN35"/>
    <mergeCell ref="AP35:AQ35"/>
    <mergeCell ref="AL34:AN34"/>
    <mergeCell ref="AP34:AQ34"/>
    <mergeCell ref="B35:D35"/>
    <mergeCell ref="E35:G35"/>
    <mergeCell ref="H35:J35"/>
    <mergeCell ref="K35:M35"/>
    <mergeCell ref="N35:P35"/>
    <mergeCell ref="Q35:S35"/>
    <mergeCell ref="T35:V35"/>
    <mergeCell ref="W35:Y35"/>
    <mergeCell ref="T34:V34"/>
    <mergeCell ref="W34:Y34"/>
    <mergeCell ref="Z34:AB34"/>
    <mergeCell ref="AC34:AE34"/>
    <mergeCell ref="AF34:AH34"/>
    <mergeCell ref="AI34:AK34"/>
    <mergeCell ref="B34:D34"/>
    <mergeCell ref="E34:G34"/>
    <mergeCell ref="H34:J34"/>
    <mergeCell ref="K34:M34"/>
    <mergeCell ref="N34:P34"/>
    <mergeCell ref="Q34:S34"/>
    <mergeCell ref="Z33:AB33"/>
    <mergeCell ref="AC33:AE33"/>
    <mergeCell ref="AF33:AH33"/>
    <mergeCell ref="AI33:AK33"/>
    <mergeCell ref="AL33:AN33"/>
    <mergeCell ref="AP33:AQ33"/>
    <mergeCell ref="AL32:AN32"/>
    <mergeCell ref="AP32:AQ32"/>
    <mergeCell ref="B33:D33"/>
    <mergeCell ref="E33:G33"/>
    <mergeCell ref="H33:J33"/>
    <mergeCell ref="K33:M33"/>
    <mergeCell ref="N33:P33"/>
    <mergeCell ref="Q33:S33"/>
    <mergeCell ref="T33:V33"/>
    <mergeCell ref="W33:Y33"/>
    <mergeCell ref="T32:V32"/>
    <mergeCell ref="W32:Y32"/>
    <mergeCell ref="Z32:AB32"/>
    <mergeCell ref="AC32:AE32"/>
    <mergeCell ref="AF32:AH32"/>
    <mergeCell ref="AI32:AK32"/>
    <mergeCell ref="B32:D32"/>
    <mergeCell ref="E32:G32"/>
    <mergeCell ref="H32:J32"/>
    <mergeCell ref="K32:M32"/>
    <mergeCell ref="N32:P32"/>
    <mergeCell ref="Q32:S32"/>
    <mergeCell ref="AF27:AG27"/>
    <mergeCell ref="AI27:AJ27"/>
    <mergeCell ref="AL27:AM27"/>
    <mergeCell ref="A28:AQ29"/>
    <mergeCell ref="A30:AQ30"/>
    <mergeCell ref="A31:AQ31"/>
    <mergeCell ref="N27:O27"/>
    <mergeCell ref="Q27:R27"/>
    <mergeCell ref="T27:U27"/>
    <mergeCell ref="W27:X27"/>
    <mergeCell ref="Z27:AA27"/>
    <mergeCell ref="AC27:AD27"/>
    <mergeCell ref="B25:C25"/>
    <mergeCell ref="B26:C26"/>
    <mergeCell ref="B27:C27"/>
    <mergeCell ref="E27:F27"/>
    <mergeCell ref="H27:I27"/>
    <mergeCell ref="K27:L27"/>
    <mergeCell ref="AL21:AN21"/>
    <mergeCell ref="AO21:AO22"/>
    <mergeCell ref="AP21:AQ21"/>
    <mergeCell ref="B22:C22"/>
    <mergeCell ref="B23:C23"/>
    <mergeCell ref="B24:C24"/>
    <mergeCell ref="T21:V21"/>
    <mergeCell ref="W21:Y21"/>
    <mergeCell ref="Z21:AB21"/>
    <mergeCell ref="AC21:AE21"/>
    <mergeCell ref="AF21:AH21"/>
    <mergeCell ref="AI21:AK21"/>
    <mergeCell ref="AL18:AN18"/>
    <mergeCell ref="AO18:AQ18"/>
    <mergeCell ref="A19:AQ20"/>
    <mergeCell ref="A21:A22"/>
    <mergeCell ref="B21:D21"/>
    <mergeCell ref="E21:G21"/>
    <mergeCell ref="H21:J21"/>
    <mergeCell ref="K21:M21"/>
    <mergeCell ref="N21:P21"/>
    <mergeCell ref="Q21:S21"/>
    <mergeCell ref="Z17:AB17"/>
    <mergeCell ref="AL17:AN17"/>
    <mergeCell ref="AO17:AQ17"/>
    <mergeCell ref="B18:D18"/>
    <mergeCell ref="E18:G18"/>
    <mergeCell ref="N18:P18"/>
    <mergeCell ref="Q18:S18"/>
    <mergeCell ref="T18:V18"/>
    <mergeCell ref="W18:Y18"/>
    <mergeCell ref="Z18:AB18"/>
    <mergeCell ref="B17:D17"/>
    <mergeCell ref="E17:G17"/>
    <mergeCell ref="N17:P17"/>
    <mergeCell ref="Q17:S17"/>
    <mergeCell ref="T17:V17"/>
    <mergeCell ref="W17:Y17"/>
    <mergeCell ref="AO15:AQ15"/>
    <mergeCell ref="B16:D16"/>
    <mergeCell ref="E16:G16"/>
    <mergeCell ref="N16:P16"/>
    <mergeCell ref="Q16:S16"/>
    <mergeCell ref="T16:V16"/>
    <mergeCell ref="W16:Y16"/>
    <mergeCell ref="Z16:AB16"/>
    <mergeCell ref="AL16:AN16"/>
    <mergeCell ref="AO16:AQ16"/>
    <mergeCell ref="T15:V15"/>
    <mergeCell ref="W15:Y15"/>
    <mergeCell ref="Z15:AB15"/>
    <mergeCell ref="AC15:AE15"/>
    <mergeCell ref="AF15:AH15"/>
    <mergeCell ref="AL15:AN15"/>
    <mergeCell ref="W11:Y11"/>
    <mergeCell ref="Z11:AB11"/>
    <mergeCell ref="AC11:AE11"/>
    <mergeCell ref="AF11:AH11"/>
    <mergeCell ref="Z14:AB14"/>
    <mergeCell ref="AC14:AE14"/>
    <mergeCell ref="AF14:AH14"/>
    <mergeCell ref="AL14:AN14"/>
    <mergeCell ref="AO14:AQ14"/>
    <mergeCell ref="B15:D15"/>
    <mergeCell ref="E15:G15"/>
    <mergeCell ref="K15:M15"/>
    <mergeCell ref="N15:P15"/>
    <mergeCell ref="Q15:S15"/>
    <mergeCell ref="AC13:AE13"/>
    <mergeCell ref="AF13:AH13"/>
    <mergeCell ref="AL13:AN13"/>
    <mergeCell ref="AO13:AQ13"/>
    <mergeCell ref="B14:D14"/>
    <mergeCell ref="E14:G14"/>
    <mergeCell ref="N14:P14"/>
    <mergeCell ref="Q14:S14"/>
    <mergeCell ref="T14:V14"/>
    <mergeCell ref="W14:Y14"/>
    <mergeCell ref="AI15:AK15"/>
    <mergeCell ref="AI14:AK14"/>
    <mergeCell ref="AI13:AK13"/>
    <mergeCell ref="AI12:AK12"/>
    <mergeCell ref="A1:AQ4"/>
    <mergeCell ref="A5:AQ6"/>
    <mergeCell ref="A7:AQ8"/>
    <mergeCell ref="A9:AQ9"/>
    <mergeCell ref="A10:AQ10"/>
    <mergeCell ref="B11:D11"/>
    <mergeCell ref="E11:G11"/>
    <mergeCell ref="H11:J11"/>
    <mergeCell ref="K11:M11"/>
    <mergeCell ref="N11:P11"/>
    <mergeCell ref="AF12:AH12"/>
    <mergeCell ref="AL12:AN12"/>
    <mergeCell ref="AO12:AQ12"/>
    <mergeCell ref="B13:D13"/>
    <mergeCell ref="E13:G13"/>
    <mergeCell ref="N13:P13"/>
    <mergeCell ref="Q13:S13"/>
    <mergeCell ref="T13:V13"/>
    <mergeCell ref="W13:Y13"/>
    <mergeCell ref="Z13:AB13"/>
    <mergeCell ref="AL11:AN11"/>
    <mergeCell ref="AO11:AQ11"/>
    <mergeCell ref="B12:D12"/>
    <mergeCell ref="E12:G12"/>
    <mergeCell ref="N12:P12"/>
    <mergeCell ref="Q12:S12"/>
    <mergeCell ref="T12:V12"/>
    <mergeCell ref="W12:Y12"/>
    <mergeCell ref="Z12:AB12"/>
    <mergeCell ref="AC12:AE12"/>
    <mergeCell ref="Q11:S11"/>
    <mergeCell ref="T11:V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ANIPA</dc:creator>
  <cp:lastModifiedBy>ANIPA</cp:lastModifiedBy>
  <cp:lastPrinted>2020-12-16T20:26:19Z</cp:lastPrinted>
  <dcterms:created xsi:type="dcterms:W3CDTF">2020-12-16T20:22:57Z</dcterms:created>
  <dcterms:modified xsi:type="dcterms:W3CDTF">2021-03-03T19:48:40Z</dcterms:modified>
</cp:coreProperties>
</file>