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dos\Desktop\FINANCEIRO\05. FINANCEIRO\2019\11. NOV\Histórico Mensal\"/>
    </mc:Choice>
  </mc:AlternateContent>
  <xr:revisionPtr revIDLastSave="0" documentId="8_{D663233C-B9C3-48B7-8DDF-F31A292D7717}" xr6:coauthVersionLast="45" xr6:coauthVersionMax="45" xr10:uidLastSave="{00000000-0000-0000-0000-000000000000}"/>
  <bookViews>
    <workbookView xWindow="-120" yWindow="-120" windowWidth="20730" windowHeight="11160" xr2:uid="{A3728EDC-B6D3-4C19-AEEE-53CD4FB823E8}"/>
  </bookViews>
  <sheets>
    <sheet name="NO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1" i="1" l="1"/>
  <c r="B110" i="1"/>
  <c r="E110" i="1" s="1"/>
  <c r="H110" i="1" s="1"/>
  <c r="K110" i="1" s="1"/>
  <c r="N110" i="1" s="1"/>
  <c r="Q110" i="1" s="1"/>
  <c r="T110" i="1" s="1"/>
  <c r="W110" i="1" s="1"/>
  <c r="Z110" i="1" s="1"/>
  <c r="AC110" i="1" s="1"/>
  <c r="AF110" i="1" s="1"/>
  <c r="B109" i="1"/>
  <c r="E109" i="1" s="1"/>
  <c r="H109" i="1" s="1"/>
  <c r="K109" i="1" s="1"/>
  <c r="N109" i="1" s="1"/>
  <c r="Q109" i="1" s="1"/>
  <c r="T109" i="1" s="1"/>
  <c r="W109" i="1" s="1"/>
  <c r="Z109" i="1" s="1"/>
  <c r="AC109" i="1" s="1"/>
  <c r="AF109" i="1" s="1"/>
  <c r="B108" i="1"/>
  <c r="E108" i="1" s="1"/>
  <c r="AF107" i="1"/>
  <c r="AI107" i="1" s="1"/>
  <c r="AF106" i="1"/>
  <c r="AI106" i="1" s="1"/>
  <c r="B102" i="1"/>
  <c r="AL99" i="1"/>
  <c r="AP99" i="1" s="1"/>
  <c r="AC99" i="1"/>
  <c r="AL98" i="1"/>
  <c r="AP98" i="1" s="1"/>
  <c r="W98" i="1"/>
  <c r="AL97" i="1"/>
  <c r="AP97" i="1" s="1"/>
  <c r="AC97" i="1"/>
  <c r="Z97" i="1"/>
  <c r="AP96" i="1"/>
  <c r="AL96" i="1"/>
  <c r="AC96" i="1"/>
  <c r="AP95" i="1"/>
  <c r="AL95" i="1"/>
  <c r="AC95" i="1"/>
  <c r="AP94" i="1"/>
  <c r="AL94" i="1"/>
  <c r="AC94" i="1"/>
  <c r="AP93" i="1"/>
  <c r="AP92" i="1" s="1"/>
  <c r="AL93" i="1"/>
  <c r="AI93" i="1"/>
  <c r="AC93" i="1"/>
  <c r="Z93" i="1"/>
  <c r="W93" i="1"/>
  <c r="AI92" i="1"/>
  <c r="AF92" i="1"/>
  <c r="AC92" i="1"/>
  <c r="Z92" i="1"/>
  <c r="W92" i="1"/>
  <c r="T92" i="1"/>
  <c r="Q92" i="1"/>
  <c r="N92" i="1"/>
  <c r="K92" i="1"/>
  <c r="H92" i="1"/>
  <c r="E92" i="1"/>
  <c r="AL91" i="1"/>
  <c r="AP91" i="1" s="1"/>
  <c r="Z91" i="1"/>
  <c r="Z87" i="1" s="1"/>
  <c r="AL90" i="1"/>
  <c r="AP90" i="1" s="1"/>
  <c r="AF90" i="1"/>
  <c r="AF87" i="1" s="1"/>
  <c r="AC90" i="1"/>
  <c r="W90" i="1"/>
  <c r="AP89" i="1"/>
  <c r="AL89" i="1"/>
  <c r="AL88" i="1"/>
  <c r="AL87" i="1" s="1"/>
  <c r="Z88" i="1"/>
  <c r="W88" i="1"/>
  <c r="AI87" i="1"/>
  <c r="AC87" i="1"/>
  <c r="W87" i="1"/>
  <c r="T87" i="1"/>
  <c r="Q87" i="1"/>
  <c r="N87" i="1"/>
  <c r="K87" i="1"/>
  <c r="H87" i="1"/>
  <c r="E87" i="1"/>
  <c r="AL86" i="1"/>
  <c r="AP86" i="1" s="1"/>
  <c r="AI86" i="1"/>
  <c r="AC86" i="1"/>
  <c r="Z86" i="1"/>
  <c r="AP85" i="1"/>
  <c r="AL85" i="1"/>
  <c r="AI85" i="1"/>
  <c r="AC85" i="1"/>
  <c r="Z85" i="1"/>
  <c r="Z81" i="1" s="1"/>
  <c r="AL84" i="1"/>
  <c r="AP84" i="1" s="1"/>
  <c r="AI84" i="1"/>
  <c r="AF84" i="1"/>
  <c r="AC84" i="1"/>
  <c r="Z84" i="1"/>
  <c r="W84" i="1"/>
  <c r="AP83" i="1"/>
  <c r="AP82" i="1"/>
  <c r="AL81" i="1"/>
  <c r="AI81" i="1"/>
  <c r="AF81" i="1"/>
  <c r="AC81" i="1"/>
  <c r="W81" i="1"/>
  <c r="T81" i="1"/>
  <c r="Q81" i="1"/>
  <c r="N81" i="1"/>
  <c r="K81" i="1"/>
  <c r="H81" i="1"/>
  <c r="E81" i="1"/>
  <c r="AP80" i="1"/>
  <c r="AL80" i="1"/>
  <c r="AI80" i="1"/>
  <c r="AF80" i="1"/>
  <c r="AC80" i="1"/>
  <c r="Z80" i="1"/>
  <c r="W80" i="1"/>
  <c r="AP79" i="1"/>
  <c r="AL79" i="1"/>
  <c r="AI79" i="1"/>
  <c r="AF79" i="1"/>
  <c r="AC79" i="1"/>
  <c r="AC68" i="1" s="1"/>
  <c r="Z79" i="1"/>
  <c r="W79" i="1"/>
  <c r="AP78" i="1"/>
  <c r="AL77" i="1"/>
  <c r="AP77" i="1" s="1"/>
  <c r="AI77" i="1"/>
  <c r="AF77" i="1"/>
  <c r="Z77" i="1"/>
  <c r="W77" i="1"/>
  <c r="AP76" i="1"/>
  <c r="AL76" i="1"/>
  <c r="AF76" i="1"/>
  <c r="AP75" i="1"/>
  <c r="AL75" i="1"/>
  <c r="AI75" i="1"/>
  <c r="AF75" i="1"/>
  <c r="AC75" i="1"/>
  <c r="Z75" i="1"/>
  <c r="W75" i="1"/>
  <c r="AP74" i="1"/>
  <c r="AL74" i="1"/>
  <c r="AI74" i="1"/>
  <c r="AF74" i="1"/>
  <c r="AC74" i="1"/>
  <c r="Z74" i="1"/>
  <c r="W74" i="1"/>
  <c r="AP73" i="1"/>
  <c r="AL73" i="1"/>
  <c r="AI73" i="1"/>
  <c r="AF73" i="1"/>
  <c r="AF68" i="1" s="1"/>
  <c r="AC73" i="1"/>
  <c r="Z73" i="1"/>
  <c r="W73" i="1"/>
  <c r="AP72" i="1"/>
  <c r="AL72" i="1"/>
  <c r="AI72" i="1"/>
  <c r="W72" i="1"/>
  <c r="AL71" i="1"/>
  <c r="AP71" i="1" s="1"/>
  <c r="AP70" i="1"/>
  <c r="AL70" i="1"/>
  <c r="AP69" i="1"/>
  <c r="AP68" i="1" s="1"/>
  <c r="AI68" i="1"/>
  <c r="Z68" i="1"/>
  <c r="W68" i="1"/>
  <c r="T68" i="1"/>
  <c r="Q68" i="1"/>
  <c r="N68" i="1"/>
  <c r="K68" i="1"/>
  <c r="H68" i="1"/>
  <c r="E68" i="1"/>
  <c r="AP67" i="1"/>
  <c r="AL66" i="1"/>
  <c r="AP66" i="1" s="1"/>
  <c r="AI66" i="1"/>
  <c r="AF66" i="1"/>
  <c r="AC66" i="1"/>
  <c r="Z66" i="1"/>
  <c r="W66" i="1"/>
  <c r="AL65" i="1"/>
  <c r="AP65" i="1" s="1"/>
  <c r="AI65" i="1"/>
  <c r="AF65" i="1"/>
  <c r="AC65" i="1"/>
  <c r="Z65" i="1"/>
  <c r="W65" i="1"/>
  <c r="AL64" i="1"/>
  <c r="AP64" i="1" s="1"/>
  <c r="AP63" i="1" s="1"/>
  <c r="AI64" i="1"/>
  <c r="AI63" i="1" s="1"/>
  <c r="AF64" i="1"/>
  <c r="AC64" i="1"/>
  <c r="Z64" i="1"/>
  <c r="W64" i="1"/>
  <c r="W63" i="1" s="1"/>
  <c r="AL63" i="1"/>
  <c r="AF63" i="1"/>
  <c r="AC63" i="1"/>
  <c r="Z63" i="1"/>
  <c r="T63" i="1"/>
  <c r="Q63" i="1"/>
  <c r="N63" i="1"/>
  <c r="K63" i="1"/>
  <c r="H63" i="1"/>
  <c r="E63" i="1"/>
  <c r="AP62" i="1"/>
  <c r="B62" i="1"/>
  <c r="AL61" i="1"/>
  <c r="B61" i="1"/>
  <c r="AP60" i="1"/>
  <c r="B60" i="1"/>
  <c r="AP59" i="1"/>
  <c r="B59" i="1"/>
  <c r="AP58" i="1"/>
  <c r="AL58" i="1"/>
  <c r="B58" i="1"/>
  <c r="AP57" i="1"/>
  <c r="AL57" i="1"/>
  <c r="AI57" i="1"/>
  <c r="AF57" i="1"/>
  <c r="AF50" i="1" s="1"/>
  <c r="AC57" i="1"/>
  <c r="Z57" i="1"/>
  <c r="W57" i="1"/>
  <c r="B57" i="1"/>
  <c r="AL56" i="1"/>
  <c r="AP56" i="1" s="1"/>
  <c r="AI56" i="1"/>
  <c r="AI50" i="1" s="1"/>
  <c r="AF56" i="1"/>
  <c r="AC56" i="1"/>
  <c r="AC50" i="1" s="1"/>
  <c r="Z56" i="1"/>
  <c r="W56" i="1"/>
  <c r="W50" i="1" s="1"/>
  <c r="B56" i="1"/>
  <c r="AL55" i="1"/>
  <c r="AI55" i="1"/>
  <c r="AF55" i="1"/>
  <c r="AC55" i="1"/>
  <c r="Z55" i="1"/>
  <c r="W55" i="1"/>
  <c r="B55" i="1"/>
  <c r="AP54" i="1"/>
  <c r="B54" i="1"/>
  <c r="AL53" i="1"/>
  <c r="AI53" i="1"/>
  <c r="AF53" i="1"/>
  <c r="AC53" i="1"/>
  <c r="Z53" i="1"/>
  <c r="Z50" i="1" s="1"/>
  <c r="W53" i="1"/>
  <c r="B53" i="1"/>
  <c r="AP52" i="1"/>
  <c r="AL52" i="1"/>
  <c r="B52" i="1"/>
  <c r="AP51" i="1"/>
  <c r="B51" i="1"/>
  <c r="AL50" i="1"/>
  <c r="T50" i="1"/>
  <c r="Q50" i="1"/>
  <c r="N50" i="1"/>
  <c r="K50" i="1"/>
  <c r="H50" i="1"/>
  <c r="E50" i="1"/>
  <c r="B50" i="1"/>
  <c r="AL49" i="1"/>
  <c r="AP49" i="1" s="1"/>
  <c r="AI49" i="1"/>
  <c r="AI46" i="1" s="1"/>
  <c r="B49" i="1"/>
  <c r="AL48" i="1"/>
  <c r="AI48" i="1"/>
  <c r="Z48" i="1"/>
  <c r="W48" i="1"/>
  <c r="B48" i="1"/>
  <c r="B46" i="1" s="1"/>
  <c r="AL47" i="1"/>
  <c r="AP47" i="1" s="1"/>
  <c r="AC47" i="1"/>
  <c r="AC46" i="1" s="1"/>
  <c r="B47" i="1"/>
  <c r="AL46" i="1"/>
  <c r="AF46" i="1"/>
  <c r="Z46" i="1"/>
  <c r="W46" i="1"/>
  <c r="T46" i="1"/>
  <c r="Q46" i="1"/>
  <c r="N46" i="1"/>
  <c r="K46" i="1"/>
  <c r="H46" i="1"/>
  <c r="E46" i="1"/>
  <c r="AP45" i="1"/>
  <c r="AL45" i="1"/>
  <c r="AI45" i="1"/>
  <c r="AI42" i="1" s="1"/>
  <c r="AP44" i="1"/>
  <c r="B44" i="1"/>
  <c r="AP43" i="1"/>
  <c r="AP42" i="1" s="1"/>
  <c r="B43" i="1"/>
  <c r="B42" i="1" s="1"/>
  <c r="AL42" i="1"/>
  <c r="AF42" i="1"/>
  <c r="AC42" i="1"/>
  <c r="Z42" i="1"/>
  <c r="W42" i="1"/>
  <c r="T42" i="1"/>
  <c r="Q42" i="1"/>
  <c r="N42" i="1"/>
  <c r="K42" i="1"/>
  <c r="H42" i="1"/>
  <c r="E42" i="1"/>
  <c r="AP41" i="1"/>
  <c r="B41" i="1"/>
  <c r="AL40" i="1"/>
  <c r="AP40" i="1" s="1"/>
  <c r="B40" i="1"/>
  <c r="AP39" i="1"/>
  <c r="B39" i="1"/>
  <c r="AP38" i="1"/>
  <c r="AL38" i="1"/>
  <c r="AI38" i="1"/>
  <c r="AF38" i="1"/>
  <c r="B38" i="1"/>
  <c r="AL37" i="1"/>
  <c r="AI37" i="1"/>
  <c r="AF37" i="1"/>
  <c r="AC37" i="1"/>
  <c r="Z37" i="1"/>
  <c r="Z33" i="1" s="1"/>
  <c r="W37" i="1"/>
  <c r="B37" i="1"/>
  <c r="AL36" i="1"/>
  <c r="AP36" i="1" s="1"/>
  <c r="AI36" i="1"/>
  <c r="AI33" i="1" s="1"/>
  <c r="AF36" i="1"/>
  <c r="AC36" i="1"/>
  <c r="AC33" i="1" s="1"/>
  <c r="AC100" i="1" s="1"/>
  <c r="Z36" i="1"/>
  <c r="W36" i="1"/>
  <c r="W33" i="1" s="1"/>
  <c r="B36" i="1"/>
  <c r="AP35" i="1"/>
  <c r="AL35" i="1"/>
  <c r="AI35" i="1"/>
  <c r="AF35" i="1"/>
  <c r="AC35" i="1"/>
  <c r="Z35" i="1"/>
  <c r="W35" i="1"/>
  <c r="AP34" i="1"/>
  <c r="AL34" i="1"/>
  <c r="B34" i="1"/>
  <c r="AF33" i="1"/>
  <c r="T33" i="1"/>
  <c r="T100" i="1" s="1"/>
  <c r="Q33" i="1"/>
  <c r="Q100" i="1" s="1"/>
  <c r="N33" i="1"/>
  <c r="K33" i="1"/>
  <c r="H33" i="1"/>
  <c r="H100" i="1" s="1"/>
  <c r="H101" i="1" s="1"/>
  <c r="E33" i="1"/>
  <c r="E100" i="1" s="1"/>
  <c r="AK27" i="1"/>
  <c r="AH27" i="1"/>
  <c r="V27" i="1"/>
  <c r="S27" i="1"/>
  <c r="Q101" i="1" s="1"/>
  <c r="P27" i="1"/>
  <c r="M27" i="1"/>
  <c r="K101" i="1" s="1"/>
  <c r="J27" i="1"/>
  <c r="G27" i="1"/>
  <c r="E101" i="1" s="1"/>
  <c r="AQ26" i="1"/>
  <c r="AK25" i="1"/>
  <c r="AH25" i="1"/>
  <c r="AE25" i="1"/>
  <c r="AB25" i="1"/>
  <c r="Y25" i="1"/>
  <c r="Y27" i="1" s="1"/>
  <c r="G25" i="1"/>
  <c r="AN25" i="1" s="1"/>
  <c r="D25" i="1"/>
  <c r="D27" i="1" s="1"/>
  <c r="AM24" i="1"/>
  <c r="AL24" i="1"/>
  <c r="AK24" i="1"/>
  <c r="AI24" i="1"/>
  <c r="AH24" i="1"/>
  <c r="AE24" i="1"/>
  <c r="AE27" i="1" s="1"/>
  <c r="AC101" i="1" s="1"/>
  <c r="AC24" i="1"/>
  <c r="AB24" i="1"/>
  <c r="AB27" i="1" s="1"/>
  <c r="AA24" i="1"/>
  <c r="Z24" i="1"/>
  <c r="AP24" i="1" s="1"/>
  <c r="Y24" i="1"/>
  <c r="X24" i="1"/>
  <c r="W24" i="1"/>
  <c r="G24" i="1"/>
  <c r="AN24" i="1" s="1"/>
  <c r="D24" i="1"/>
  <c r="B24" i="1"/>
  <c r="B27" i="1" s="1"/>
  <c r="AQ23" i="1"/>
  <c r="AP23" i="1"/>
  <c r="D23" i="1"/>
  <c r="B17" i="1"/>
  <c r="B15" i="1"/>
  <c r="B14" i="1"/>
  <c r="B13" i="1"/>
  <c r="AO12" i="1"/>
  <c r="AL12" i="1"/>
  <c r="B12" i="1"/>
  <c r="AP27" i="1" l="1"/>
  <c r="AP33" i="1"/>
  <c r="B101" i="1"/>
  <c r="B16" i="1"/>
  <c r="B18" i="1" s="1"/>
  <c r="AP61" i="1"/>
  <c r="E111" i="1"/>
  <c r="H108" i="1"/>
  <c r="AQ25" i="1"/>
  <c r="AO25" i="1"/>
  <c r="T101" i="1"/>
  <c r="W100" i="1"/>
  <c r="W101" i="1" s="1"/>
  <c r="AI100" i="1"/>
  <c r="AI101" i="1" s="1"/>
  <c r="N100" i="1"/>
  <c r="AP53" i="1"/>
  <c r="AP48" i="1"/>
  <c r="AP46" i="1" s="1"/>
  <c r="AP55" i="1"/>
  <c r="AO24" i="1"/>
  <c r="AN27" i="1"/>
  <c r="AQ24" i="1"/>
  <c r="AQ27" i="1" s="1"/>
  <c r="AF100" i="1"/>
  <c r="AF101" i="1" s="1"/>
  <c r="E27" i="1"/>
  <c r="H27" i="1" s="1"/>
  <c r="K27" i="1" s="1"/>
  <c r="N27" i="1" s="1"/>
  <c r="Q27" i="1" s="1"/>
  <c r="T27" i="1" s="1"/>
  <c r="W27" i="1" s="1"/>
  <c r="Z27" i="1" s="1"/>
  <c r="AC27" i="1" s="1"/>
  <c r="AF27" i="1" s="1"/>
  <c r="AI27" i="1" s="1"/>
  <c r="AL27" i="1"/>
  <c r="N101" i="1"/>
  <c r="Z100" i="1"/>
  <c r="Z101" i="1" s="1"/>
  <c r="AP37" i="1"/>
  <c r="AL33" i="1"/>
  <c r="B33" i="1"/>
  <c r="AP81" i="1"/>
  <c r="AL68" i="1"/>
  <c r="AP88" i="1"/>
  <c r="AP87" i="1" s="1"/>
  <c r="AL92" i="1"/>
  <c r="AO16" i="1" l="1"/>
  <c r="AP50" i="1"/>
  <c r="H111" i="1"/>
  <c r="K108" i="1"/>
  <c r="AO68" i="1"/>
  <c r="AP100" i="1"/>
  <c r="AO17" i="1" s="1"/>
  <c r="AL100" i="1"/>
  <c r="AL101" i="1"/>
  <c r="AO45" i="1" s="1"/>
  <c r="AO27" i="1"/>
  <c r="AL16" i="1"/>
  <c r="AO43" i="1" l="1"/>
  <c r="AL17" i="1"/>
  <c r="AO99" i="1"/>
  <c r="AO97" i="1"/>
  <c r="AO89" i="1"/>
  <c r="AO82" i="1"/>
  <c r="AO78" i="1"/>
  <c r="AO67" i="1"/>
  <c r="AO91" i="1"/>
  <c r="AO90" i="1"/>
  <c r="AO86" i="1"/>
  <c r="AO84" i="1"/>
  <c r="AO83" i="1"/>
  <c r="AO81" i="1"/>
  <c r="AO77" i="1"/>
  <c r="AO71" i="1"/>
  <c r="AO66" i="1"/>
  <c r="AO65" i="1"/>
  <c r="AO64" i="1"/>
  <c r="AO63" i="1"/>
  <c r="AO59" i="1"/>
  <c r="AO56" i="1"/>
  <c r="AO49" i="1"/>
  <c r="AO47" i="1"/>
  <c r="AO44" i="1"/>
  <c r="AO40" i="1"/>
  <c r="AO39" i="1"/>
  <c r="AO98" i="1"/>
  <c r="AO79" i="1"/>
  <c r="AO69" i="1"/>
  <c r="AO100" i="1"/>
  <c r="AO60" i="1"/>
  <c r="AO41" i="1"/>
  <c r="AO85" i="1"/>
  <c r="AO80" i="1"/>
  <c r="AO36" i="1"/>
  <c r="AO62" i="1"/>
  <c r="AO52" i="1"/>
  <c r="AO51" i="1"/>
  <c r="AO42" i="1"/>
  <c r="AO54" i="1"/>
  <c r="AO74" i="1"/>
  <c r="AO58" i="1"/>
  <c r="AO72" i="1"/>
  <c r="AO48" i="1"/>
  <c r="AO73" i="1"/>
  <c r="AO87" i="1"/>
  <c r="AO95" i="1"/>
  <c r="AO93" i="1"/>
  <c r="AO53" i="1"/>
  <c r="AO94" i="1"/>
  <c r="AO46" i="1"/>
  <c r="AO35" i="1"/>
  <c r="AO37" i="1"/>
  <c r="AO75" i="1"/>
  <c r="AO61" i="1"/>
  <c r="AO70" i="1"/>
  <c r="AO88" i="1"/>
  <c r="AO50" i="1"/>
  <c r="AO96" i="1"/>
  <c r="AO76" i="1"/>
  <c r="AO34" i="1"/>
  <c r="AO55" i="1"/>
  <c r="AO57" i="1"/>
  <c r="AO38" i="1"/>
  <c r="AO92" i="1"/>
  <c r="AO18" i="1"/>
  <c r="AL18" i="1"/>
  <c r="AO33" i="1"/>
  <c r="K111" i="1"/>
  <c r="N108" i="1"/>
  <c r="AO101" i="1"/>
  <c r="Q108" i="1" l="1"/>
  <c r="N111" i="1"/>
  <c r="Q111" i="1" l="1"/>
  <c r="T108" i="1"/>
  <c r="T111" i="1" l="1"/>
  <c r="W108" i="1"/>
  <c r="W111" i="1" l="1"/>
  <c r="Z108" i="1"/>
  <c r="AC108" i="1" l="1"/>
  <c r="Z111" i="1"/>
  <c r="AC111" i="1" l="1"/>
  <c r="AF108" i="1"/>
  <c r="AI108" i="1" l="1"/>
  <c r="AI111" i="1" s="1"/>
  <c r="AF111" i="1"/>
</calcChain>
</file>

<file path=xl/sharedStrings.xml><?xml version="1.0" encoding="utf-8"?>
<sst xmlns="http://schemas.openxmlformats.org/spreadsheetml/2006/main" count="189" uniqueCount="119">
  <si>
    <r>
      <t xml:space="preserve">CONTROLE FINANCEIRO 2019
</t>
    </r>
    <r>
      <rPr>
        <b/>
        <sz val="12"/>
        <rFont val="Calibri"/>
        <family val="2"/>
        <scheme val="minor"/>
      </rPr>
      <t>Posição NOVEMBRO</t>
    </r>
  </si>
  <si>
    <t>DETALHAMENTO DE BENS E RECEITAS</t>
  </si>
  <si>
    <t>Bens da ANIPA</t>
  </si>
  <si>
    <t>Acumulado 2018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</si>
  <si>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</si>
  <si>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</si>
  <si>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</si>
  <si>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</si>
  <si>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</si>
  <si>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</si>
  <si>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</si>
  <si>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</si>
  <si>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</si>
  <si>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</si>
  <si>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</si>
  <si>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Acumulado 2019</t>
  </si>
  <si>
    <t>Evolução histórica</t>
  </si>
  <si>
    <t xml:space="preserve">Total bens </t>
  </si>
  <si>
    <t>Imobilizado (computadores, equipamentos)</t>
  </si>
  <si>
    <t>Intangível (softwares)</t>
  </si>
  <si>
    <t>(-) Depreciação acumulada</t>
  </si>
  <si>
    <t>Receitas</t>
  </si>
  <si>
    <t>Despesas</t>
  </si>
  <si>
    <t>Total Parcial e Acumulado</t>
  </si>
  <si>
    <t>Associados / Receitas</t>
  </si>
  <si>
    <t>%</t>
  </si>
  <si>
    <t>Q</t>
  </si>
  <si>
    <t>Valor</t>
  </si>
  <si>
    <t>S</t>
  </si>
  <si>
    <t>E</t>
  </si>
  <si>
    <t>Receitas anteriores / Associados</t>
  </si>
  <si>
    <t>Associados / Mensalidades</t>
  </si>
  <si>
    <t>Receitas Financeiras</t>
  </si>
  <si>
    <t xml:space="preserve">Outras Receitas </t>
  </si>
  <si>
    <t>Total Associados / Receitas</t>
  </si>
  <si>
    <t>DETALHAMENTO DE DESPESAS</t>
  </si>
  <si>
    <t>Serviços de Terceiros</t>
  </si>
  <si>
    <t>Serviços administrativos Advogados</t>
  </si>
  <si>
    <t>Assessoria Jurídica</t>
  </si>
  <si>
    <t xml:space="preserve">Serviços Contábeis </t>
  </si>
  <si>
    <t>Assessoria Atuarial</t>
  </si>
  <si>
    <t>Consultoria/Assessoria Técnica (Fin, Cont, TI)</t>
  </si>
  <si>
    <t>Telemarketing (associados regular termos)</t>
  </si>
  <si>
    <t>Assessoria Comunicação</t>
  </si>
  <si>
    <t xml:space="preserve">Serviços eventuais de apoio </t>
  </si>
  <si>
    <t>Custos das Ações</t>
  </si>
  <si>
    <t>Honorários Advocatícios Iniciais Ações</t>
  </si>
  <si>
    <t>Honorários mensais das ações</t>
  </si>
  <si>
    <t>Taxas de ajuizamento de ações</t>
  </si>
  <si>
    <t>Registros/Cartórios/Publicações</t>
  </si>
  <si>
    <t>Registros e Taxas(Cart, Pref, RF...)</t>
  </si>
  <si>
    <t>Cartórios (Aut, Doc, Rec Firma)</t>
  </si>
  <si>
    <t>Publicações Legais/Editais</t>
  </si>
  <si>
    <t>Tecnologia</t>
  </si>
  <si>
    <t>Desenvolvimento/Hospedagem SITE e Sistema inicial</t>
  </si>
  <si>
    <t>Desenvolvimento novo SITE</t>
  </si>
  <si>
    <t xml:space="preserve">Hospedagem/Manutenção novo SITE </t>
  </si>
  <si>
    <t xml:space="preserve">Desenvolvimento novo Sistema ANIPA </t>
  </si>
  <si>
    <t xml:space="preserve">Hospedagem / Manutenção novo Sistema ANIPA </t>
  </si>
  <si>
    <t>Serviço de E-mail</t>
  </si>
  <si>
    <t>Serviço de Mensagens por celular</t>
  </si>
  <si>
    <t>Desenv/Serviço Sist Assembleia Virtual</t>
  </si>
  <si>
    <t>Desenv/Serviço Sist Eleição Virtual</t>
  </si>
  <si>
    <t>Desenv/Serviço Fórum Site ANIPA</t>
  </si>
  <si>
    <t>Registro Domínio ANIPA</t>
  </si>
  <si>
    <t>Certificado Segurança SITE / Certificado Digital</t>
  </si>
  <si>
    <t>Bancos/Impostos/Juros</t>
  </si>
  <si>
    <t>Tarifas Bancárias CAIXA</t>
  </si>
  <si>
    <t>Impostos recolhidos à terceiros (INSS, IR, CONTR. FEDER. ...)</t>
  </si>
  <si>
    <t>IRRF/IOF operações financeiras (sobre os investimentos)</t>
  </si>
  <si>
    <t>Despesas com Juros/Outras despesas financeiras</t>
  </si>
  <si>
    <t xml:space="preserve">Escritório ANIPA </t>
  </si>
  <si>
    <t>Móveis/Utensílios</t>
  </si>
  <si>
    <t>Computadores 3, impressoras 1, celular 1</t>
  </si>
  <si>
    <t>Softwares (Office, Antivírus, Adobe mensal)</t>
  </si>
  <si>
    <t>Material Escritório</t>
  </si>
  <si>
    <t xml:space="preserve">Aluguel/Condomínio/IPTU/Taxas </t>
  </si>
  <si>
    <t xml:space="preserve">Luz/Telefone/Internet </t>
  </si>
  <si>
    <t>Diversos (café, água, copos, chaves, etc.)</t>
  </si>
  <si>
    <t>Manutenção (de computadores, impressora)</t>
  </si>
  <si>
    <t>Higiene e Limpeza (material e serviço)</t>
  </si>
  <si>
    <t>Serviço de Seleção e Recrutamento</t>
  </si>
  <si>
    <t>Salários (mês, 13°, férias, rescisão)</t>
  </si>
  <si>
    <t xml:space="preserve">Encargos trabalhistas (INSS, FGTS, PIS, Transp, Alim, Sind) </t>
  </si>
  <si>
    <t>Outros Serviços</t>
  </si>
  <si>
    <t>Serv. Gráficos/Digitalizações/Cópias</t>
  </si>
  <si>
    <t>Serviços MSN/Telefonia</t>
  </si>
  <si>
    <t>Motoboy</t>
  </si>
  <si>
    <t>Correios</t>
  </si>
  <si>
    <t>Deslocamento (para serviços externos)</t>
  </si>
  <si>
    <t>Outros</t>
  </si>
  <si>
    <t>Locação sala Eventos/Assembleia/Equipamentos</t>
  </si>
  <si>
    <t>Apoio a mobilizações</t>
  </si>
  <si>
    <t>Devoluções/Recebimentos indevidos</t>
  </si>
  <si>
    <t>Participações em outras associações</t>
  </si>
  <si>
    <t>Despesas Viagens</t>
  </si>
  <si>
    <t>Presidência</t>
  </si>
  <si>
    <t>Jurídico</t>
  </si>
  <si>
    <t>Financeiro</t>
  </si>
  <si>
    <t>Técnico</t>
  </si>
  <si>
    <t>Comunicação</t>
  </si>
  <si>
    <t>Conselho Fiscal</t>
  </si>
  <si>
    <t>Associados / Prestador de serviço / Funcionários (1)</t>
  </si>
  <si>
    <t>Total Despesas</t>
  </si>
  <si>
    <t>Resultado / Saldo em Conta</t>
  </si>
  <si>
    <t>Despesas Acumuladas até 2018</t>
  </si>
  <si>
    <t>Investimentos</t>
  </si>
  <si>
    <t>Acumulado até 2018</t>
  </si>
  <si>
    <t>Caixa FIC GIRO EMPRESAS</t>
  </si>
  <si>
    <t>Caixa FIC PREMIUM</t>
  </si>
  <si>
    <t>CDB Flex Empresarial</t>
  </si>
  <si>
    <r>
      <t xml:space="preserve">Caixa FIC GIRO </t>
    </r>
    <r>
      <rPr>
        <sz val="11"/>
        <color rgb="FFFF0000"/>
        <rFont val="Calibri"/>
        <family val="2"/>
        <scheme val="minor"/>
      </rPr>
      <t>- encerrado em 09/10</t>
    </r>
  </si>
  <si>
    <r>
      <t>Caixa FI RENDA FIXA Simples</t>
    </r>
    <r>
      <rPr>
        <sz val="11"/>
        <color rgb="FFFF0000"/>
        <rFont val="Calibri"/>
        <family val="2"/>
        <scheme val="minor"/>
      </rPr>
      <t xml:space="preserve"> - encerrado em 09/10</t>
    </r>
  </si>
  <si>
    <t>Saldos totais</t>
  </si>
  <si>
    <t>Evolução histórica desde a fundação - MAR/2015</t>
  </si>
  <si>
    <r>
      <t xml:space="preserve">Q - </t>
    </r>
    <r>
      <rPr>
        <sz val="10"/>
        <color theme="1"/>
        <rFont val="Calibri"/>
        <family val="2"/>
        <scheme val="minor"/>
      </rPr>
      <t>Quantidade acumulada</t>
    </r>
  </si>
  <si>
    <r>
      <t xml:space="preserve">E - </t>
    </r>
    <r>
      <rPr>
        <sz val="10"/>
        <color theme="1"/>
        <rFont val="Calibri"/>
        <family val="2"/>
        <scheme val="minor"/>
      </rPr>
      <t>Entraram na ANIPA</t>
    </r>
  </si>
  <si>
    <t>(1) A serviço ou representação da ANIPA.</t>
  </si>
  <si>
    <r>
      <rPr>
        <i/>
        <sz val="10"/>
        <rFont val="Calibri"/>
        <family val="2"/>
        <scheme val="minor"/>
      </rPr>
      <t xml:space="preserve">OBS.: </t>
    </r>
    <r>
      <rPr>
        <sz val="10"/>
        <rFont val="Calibri"/>
        <family val="2"/>
        <scheme val="minor"/>
      </rPr>
      <t>O total arrecadado não corresponde ao total de associados devido às divergências cadastrais e insuficiências de fundos em algumas contas.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</si>
</sst>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#,##0_ ;\-#,##0\ "/>
    <numFmt numFmtId="166" formatCode="#,##0_ ;[Red]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0B0B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4A7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C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rgb="FFC2D1EC"/>
        <bgColor indexed="64"/>
      </patternFill>
    </fill>
    <fill>
      <patternFill patternType="solid">
        <fgColor rgb="FFF2E5FF"/>
        <bgColor indexed="64"/>
      </patternFill>
    </fill>
    <fill>
      <patternFill patternType="solid">
        <fgColor rgb="FF9ECA8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0">
    <xf numFmtId="0" fontId="0" fillId="0" borderId="0" xfId="0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10" fillId="7" borderId="7" xfId="0" applyFont="1" applyFill="1" applyBorder="1" applyAlignment="1">
      <alignment vertical="center"/>
    </xf>
    <xf numFmtId="4" fontId="9" fillId="7" borderId="4" xfId="0" applyNumberFormat="1" applyFont="1" applyFill="1" applyBorder="1" applyAlignment="1">
      <alignment horizontal="right"/>
    </xf>
    <xf numFmtId="4" fontId="9" fillId="7" borderId="5" xfId="0" applyNumberFormat="1" applyFont="1" applyFill="1" applyBorder="1" applyAlignment="1">
      <alignment horizontal="right"/>
    </xf>
    <xf numFmtId="4" fontId="9" fillId="7" borderId="6" xfId="0" applyNumberFormat="1" applyFont="1" applyFill="1" applyBorder="1" applyAlignment="1">
      <alignment horizontal="right"/>
    </xf>
    <xf numFmtId="0" fontId="9" fillId="8" borderId="4" xfId="0" applyFont="1" applyFill="1" applyBorder="1" applyAlignment="1">
      <alignment horizontal="right"/>
    </xf>
    <xf numFmtId="0" fontId="9" fillId="8" borderId="5" xfId="0" applyFont="1" applyFill="1" applyBorder="1" applyAlignment="1">
      <alignment horizontal="right"/>
    </xf>
    <xf numFmtId="0" fontId="9" fillId="8" borderId="6" xfId="0" applyFont="1" applyFill="1" applyBorder="1" applyAlignment="1">
      <alignment horizontal="right"/>
    </xf>
    <xf numFmtId="0" fontId="9" fillId="8" borderId="5" xfId="0" applyFont="1" applyFill="1" applyBorder="1" applyAlignment="1">
      <alignment horizontal="right"/>
    </xf>
    <xf numFmtId="0" fontId="9" fillId="8" borderId="4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4" fontId="10" fillId="9" borderId="4" xfId="0" applyNumberFormat="1" applyFont="1" applyFill="1" applyBorder="1" applyAlignment="1">
      <alignment horizontal="right"/>
    </xf>
    <xf numFmtId="4" fontId="10" fillId="9" borderId="5" xfId="0" applyNumberFormat="1" applyFont="1" applyFill="1" applyBorder="1" applyAlignment="1">
      <alignment horizontal="right"/>
    </xf>
    <xf numFmtId="4" fontId="10" fillId="9" borderId="6" xfId="0" applyNumberFormat="1" applyFont="1" applyFill="1" applyBorder="1" applyAlignment="1">
      <alignment horizontal="right"/>
    </xf>
    <xf numFmtId="0" fontId="7" fillId="8" borderId="1" xfId="0" applyFont="1" applyFill="1" applyBorder="1"/>
    <xf numFmtId="4" fontId="11" fillId="7" borderId="4" xfId="0" applyNumberFormat="1" applyFont="1" applyFill="1" applyBorder="1" applyAlignment="1">
      <alignment horizontal="right"/>
    </xf>
    <xf numFmtId="4" fontId="11" fillId="7" borderId="5" xfId="0" applyNumberFormat="1" applyFont="1" applyFill="1" applyBorder="1" applyAlignment="1">
      <alignment horizontal="right"/>
    </xf>
    <xf numFmtId="4" fontId="11" fillId="7" borderId="6" xfId="0" applyNumberFormat="1" applyFont="1" applyFill="1" applyBorder="1" applyAlignment="1">
      <alignment horizontal="right"/>
    </xf>
    <xf numFmtId="3" fontId="11" fillId="8" borderId="4" xfId="0" applyNumberFormat="1" applyFont="1" applyFill="1" applyBorder="1" applyAlignment="1">
      <alignment horizontal="right"/>
    </xf>
    <xf numFmtId="3" fontId="11" fillId="8" borderId="5" xfId="0" applyNumberFormat="1" applyFont="1" applyFill="1" applyBorder="1" applyAlignment="1">
      <alignment horizontal="right"/>
    </xf>
    <xf numFmtId="3" fontId="11" fillId="8" borderId="6" xfId="0" applyNumberFormat="1" applyFont="1" applyFill="1" applyBorder="1" applyAlignment="1">
      <alignment horizontal="right"/>
    </xf>
    <xf numFmtId="3" fontId="11" fillId="8" borderId="5" xfId="0" applyNumberFormat="1" applyFont="1" applyFill="1" applyBorder="1" applyAlignment="1">
      <alignment horizontal="right"/>
    </xf>
    <xf numFmtId="3" fontId="11" fillId="8" borderId="4" xfId="0" applyNumberFormat="1" applyFont="1" applyFill="1" applyBorder="1" applyAlignment="1">
      <alignment horizontal="center"/>
    </xf>
    <xf numFmtId="3" fontId="11" fillId="8" borderId="5" xfId="0" applyNumberFormat="1" applyFont="1" applyFill="1" applyBorder="1" applyAlignment="1">
      <alignment horizontal="center"/>
    </xf>
    <xf numFmtId="3" fontId="11" fillId="8" borderId="6" xfId="0" applyNumberFormat="1" applyFont="1" applyFill="1" applyBorder="1" applyAlignment="1">
      <alignment horizontal="center"/>
    </xf>
    <xf numFmtId="3" fontId="11" fillId="8" borderId="5" xfId="0" applyNumberFormat="1" applyFont="1" applyFill="1" applyBorder="1" applyAlignment="1">
      <alignment horizontal="center"/>
    </xf>
    <xf numFmtId="3" fontId="11" fillId="8" borderId="1" xfId="0" applyNumberFormat="1" applyFont="1" applyFill="1" applyBorder="1" applyAlignment="1">
      <alignment horizontal="center"/>
    </xf>
    <xf numFmtId="4" fontId="7" fillId="8" borderId="4" xfId="0" applyNumberFormat="1" applyFont="1" applyFill="1" applyBorder="1" applyAlignment="1">
      <alignment horizontal="right"/>
    </xf>
    <xf numFmtId="4" fontId="7" fillId="8" borderId="5" xfId="0" applyNumberFormat="1" applyFont="1" applyFill="1" applyBorder="1" applyAlignment="1">
      <alignment horizontal="right"/>
    </xf>
    <xf numFmtId="4" fontId="7" fillId="8" borderId="6" xfId="0" applyNumberFormat="1" applyFont="1" applyFill="1" applyBorder="1" applyAlignment="1">
      <alignment horizontal="right"/>
    </xf>
    <xf numFmtId="4" fontId="7" fillId="0" borderId="4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6" xfId="0" applyNumberFormat="1" applyFont="1" applyBorder="1" applyAlignment="1">
      <alignment horizontal="right" vertical="center" wrapText="1"/>
    </xf>
    <xf numFmtId="0" fontId="10" fillId="10" borderId="1" xfId="0" applyFont="1" applyFill="1" applyBorder="1" applyAlignment="1">
      <alignment horizontal="center"/>
    </xf>
    <xf numFmtId="4" fontId="11" fillId="10" borderId="4" xfId="0" applyNumberFormat="1" applyFont="1" applyFill="1" applyBorder="1" applyAlignment="1">
      <alignment horizontal="right"/>
    </xf>
    <xf numFmtId="4" fontId="11" fillId="10" borderId="5" xfId="0" applyNumberFormat="1" applyFont="1" applyFill="1" applyBorder="1" applyAlignment="1">
      <alignment horizontal="right"/>
    </xf>
    <xf numFmtId="4" fontId="11" fillId="10" borderId="6" xfId="0" applyNumberFormat="1" applyFont="1" applyFill="1" applyBorder="1" applyAlignment="1">
      <alignment horizontal="right"/>
    </xf>
    <xf numFmtId="3" fontId="11" fillId="10" borderId="4" xfId="0" applyNumberFormat="1" applyFont="1" applyFill="1" applyBorder="1" applyAlignment="1">
      <alignment horizontal="right"/>
    </xf>
    <xf numFmtId="3" fontId="11" fillId="10" borderId="5" xfId="0" applyNumberFormat="1" applyFont="1" applyFill="1" applyBorder="1" applyAlignment="1">
      <alignment horizontal="right"/>
    </xf>
    <xf numFmtId="3" fontId="11" fillId="10" borderId="6" xfId="0" applyNumberFormat="1" applyFont="1" applyFill="1" applyBorder="1" applyAlignment="1">
      <alignment horizontal="right"/>
    </xf>
    <xf numFmtId="3" fontId="11" fillId="10" borderId="5" xfId="0" applyNumberFormat="1" applyFont="1" applyFill="1" applyBorder="1" applyAlignment="1">
      <alignment horizontal="right"/>
    </xf>
    <xf numFmtId="3" fontId="11" fillId="10" borderId="4" xfId="0" applyNumberFormat="1" applyFont="1" applyFill="1" applyBorder="1" applyAlignment="1">
      <alignment horizontal="center"/>
    </xf>
    <xf numFmtId="3" fontId="11" fillId="10" borderId="5" xfId="0" applyNumberFormat="1" applyFont="1" applyFill="1" applyBorder="1" applyAlignment="1">
      <alignment horizontal="center"/>
    </xf>
    <xf numFmtId="3" fontId="11" fillId="10" borderId="6" xfId="0" applyNumberFormat="1" applyFont="1" applyFill="1" applyBorder="1" applyAlignment="1">
      <alignment horizontal="center"/>
    </xf>
    <xf numFmtId="3" fontId="11" fillId="10" borderId="5" xfId="0" applyNumberFormat="1" applyFont="1" applyFill="1" applyBorder="1" applyAlignment="1">
      <alignment horizontal="center"/>
    </xf>
    <xf numFmtId="3" fontId="11" fillId="10" borderId="1" xfId="0" applyNumberFormat="1" applyFont="1" applyFill="1" applyBorder="1" applyAlignment="1">
      <alignment horizontal="center"/>
    </xf>
    <xf numFmtId="4" fontId="7" fillId="10" borderId="4" xfId="0" applyNumberFormat="1" applyFont="1" applyFill="1" applyBorder="1" applyAlignment="1">
      <alignment horizontal="right" vertical="center" wrapText="1"/>
    </xf>
    <xf numFmtId="4" fontId="7" fillId="10" borderId="5" xfId="0" applyNumberFormat="1" applyFont="1" applyFill="1" applyBorder="1" applyAlignment="1">
      <alignment horizontal="right" vertical="center" wrapText="1"/>
    </xf>
    <xf numFmtId="4" fontId="7" fillId="10" borderId="6" xfId="0" applyNumberFormat="1" applyFont="1" applyFill="1" applyBorder="1" applyAlignment="1">
      <alignment horizontal="right" vertical="center" wrapText="1"/>
    </xf>
    <xf numFmtId="0" fontId="10" fillId="11" borderId="1" xfId="0" applyFont="1" applyFill="1" applyBorder="1" applyAlignment="1">
      <alignment horizontal="center"/>
    </xf>
    <xf numFmtId="4" fontId="11" fillId="11" borderId="4" xfId="0" applyNumberFormat="1" applyFont="1" applyFill="1" applyBorder="1" applyAlignment="1">
      <alignment horizontal="right"/>
    </xf>
    <xf numFmtId="4" fontId="11" fillId="11" borderId="5" xfId="0" applyNumberFormat="1" applyFont="1" applyFill="1" applyBorder="1" applyAlignment="1">
      <alignment horizontal="right"/>
    </xf>
    <xf numFmtId="4" fontId="11" fillId="11" borderId="6" xfId="0" applyNumberFormat="1" applyFont="1" applyFill="1" applyBorder="1" applyAlignment="1">
      <alignment horizontal="right"/>
    </xf>
    <xf numFmtId="3" fontId="9" fillId="11" borderId="4" xfId="0" applyNumberFormat="1" applyFont="1" applyFill="1" applyBorder="1" applyAlignment="1">
      <alignment horizontal="right"/>
    </xf>
    <xf numFmtId="3" fontId="9" fillId="11" borderId="5" xfId="0" applyNumberFormat="1" applyFont="1" applyFill="1" applyBorder="1" applyAlignment="1">
      <alignment horizontal="right"/>
    </xf>
    <xf numFmtId="3" fontId="9" fillId="11" borderId="6" xfId="0" applyNumberFormat="1" applyFont="1" applyFill="1" applyBorder="1" applyAlignment="1">
      <alignment horizontal="right"/>
    </xf>
    <xf numFmtId="3" fontId="9" fillId="11" borderId="5" xfId="0" applyNumberFormat="1" applyFont="1" applyFill="1" applyBorder="1" applyAlignment="1">
      <alignment horizontal="right"/>
    </xf>
    <xf numFmtId="3" fontId="9" fillId="11" borderId="4" xfId="0" applyNumberFormat="1" applyFont="1" applyFill="1" applyBorder="1" applyAlignment="1">
      <alignment horizontal="center"/>
    </xf>
    <xf numFmtId="3" fontId="9" fillId="11" borderId="5" xfId="0" applyNumberFormat="1" applyFont="1" applyFill="1" applyBorder="1" applyAlignment="1">
      <alignment horizontal="center"/>
    </xf>
    <xf numFmtId="3" fontId="9" fillId="11" borderId="6" xfId="0" applyNumberFormat="1" applyFont="1" applyFill="1" applyBorder="1" applyAlignment="1">
      <alignment horizontal="center"/>
    </xf>
    <xf numFmtId="3" fontId="9" fillId="11" borderId="5" xfId="0" applyNumberFormat="1" applyFont="1" applyFill="1" applyBorder="1" applyAlignment="1">
      <alignment horizontal="center"/>
    </xf>
    <xf numFmtId="3" fontId="9" fillId="11" borderId="1" xfId="0" applyNumberFormat="1" applyFont="1" applyFill="1" applyBorder="1" applyAlignment="1">
      <alignment horizontal="center"/>
    </xf>
    <xf numFmtId="4" fontId="7" fillId="11" borderId="4" xfId="0" applyNumberFormat="1" applyFont="1" applyFill="1" applyBorder="1" applyAlignment="1">
      <alignment horizontal="right"/>
    </xf>
    <xf numFmtId="4" fontId="7" fillId="11" borderId="5" xfId="0" applyNumberFormat="1" applyFont="1" applyFill="1" applyBorder="1" applyAlignment="1">
      <alignment horizontal="right"/>
    </xf>
    <xf numFmtId="4" fontId="7" fillId="11" borderId="6" xfId="0" applyNumberFormat="1" applyFont="1" applyFill="1" applyBorder="1" applyAlignment="1">
      <alignment horizontal="right"/>
    </xf>
    <xf numFmtId="4" fontId="10" fillId="10" borderId="4" xfId="0" applyNumberFormat="1" applyFont="1" applyFill="1" applyBorder="1" applyAlignment="1">
      <alignment horizontal="right" vertical="center" wrapText="1"/>
    </xf>
    <xf numFmtId="4" fontId="10" fillId="10" borderId="5" xfId="0" applyNumberFormat="1" applyFont="1" applyFill="1" applyBorder="1" applyAlignment="1">
      <alignment horizontal="right" vertical="center" wrapText="1"/>
    </xf>
    <xf numFmtId="4" fontId="10" fillId="10" borderId="6" xfId="0" applyNumberFormat="1" applyFont="1" applyFill="1" applyBorder="1" applyAlignment="1">
      <alignment horizontal="right" vertical="center" wrapText="1"/>
    </xf>
    <xf numFmtId="0" fontId="10" fillId="10" borderId="4" xfId="0" applyFont="1" applyFill="1" applyBorder="1" applyAlignment="1">
      <alignment horizontal="right" vertical="center" wrapText="1"/>
    </xf>
    <xf numFmtId="0" fontId="10" fillId="10" borderId="5" xfId="0" applyFont="1" applyFill="1" applyBorder="1" applyAlignment="1">
      <alignment horizontal="right" vertical="center" wrapText="1"/>
    </xf>
    <xf numFmtId="0" fontId="10" fillId="10" borderId="6" xfId="0" applyFont="1" applyFill="1" applyBorder="1" applyAlignment="1">
      <alignment horizontal="right" vertical="center" wrapText="1"/>
    </xf>
    <xf numFmtId="0" fontId="9" fillId="10" borderId="5" xfId="0" applyFont="1" applyFill="1" applyBorder="1" applyAlignment="1">
      <alignment horizontal="right" vertical="center" wrapText="1"/>
    </xf>
    <xf numFmtId="0" fontId="10" fillId="10" borderId="5" xfId="0" applyFont="1" applyFill="1" applyBorder="1" applyAlignment="1">
      <alignment horizontal="right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4" fontId="10" fillId="10" borderId="1" xfId="0" applyNumberFormat="1" applyFont="1" applyFill="1" applyBorder="1" applyAlignment="1">
      <alignment horizontal="right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/>
    </xf>
    <xf numFmtId="0" fontId="9" fillId="12" borderId="6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2" borderId="4" xfId="0" applyFont="1" applyFill="1" applyBorder="1" applyAlignment="1">
      <alignment horizontal="center"/>
    </xf>
    <xf numFmtId="0" fontId="9" fillId="12" borderId="1" xfId="0" applyFont="1" applyFill="1" applyBorder="1"/>
    <xf numFmtId="0" fontId="10" fillId="9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left" vertical="center" wrapText="1"/>
    </xf>
    <xf numFmtId="3" fontId="11" fillId="7" borderId="4" xfId="0" applyNumberFormat="1" applyFont="1" applyFill="1" applyBorder="1" applyAlignment="1">
      <alignment horizontal="center"/>
    </xf>
    <xf numFmtId="3" fontId="11" fillId="7" borderId="6" xfId="0" applyNumberFormat="1" applyFont="1" applyFill="1" applyBorder="1" applyAlignment="1">
      <alignment horizontal="center"/>
    </xf>
    <xf numFmtId="164" fontId="11" fillId="7" borderId="1" xfId="0" applyNumberFormat="1" applyFont="1" applyFill="1" applyBorder="1" applyAlignment="1">
      <alignment horizontal="right"/>
    </xf>
    <xf numFmtId="3" fontId="11" fillId="7" borderId="1" xfId="0" applyNumberFormat="1" applyFont="1" applyFill="1" applyBorder="1"/>
    <xf numFmtId="164" fontId="11" fillId="7" borderId="4" xfId="0" applyNumberFormat="1" applyFont="1" applyFill="1" applyBorder="1" applyAlignment="1">
      <alignment horizontal="right"/>
    </xf>
    <xf numFmtId="164" fontId="11" fillId="7" borderId="1" xfId="0" applyNumberFormat="1" applyFont="1" applyFill="1" applyBorder="1"/>
    <xf numFmtId="0" fontId="7" fillId="7" borderId="1" xfId="0" applyFont="1" applyFill="1" applyBorder="1"/>
    <xf numFmtId="10" fontId="12" fillId="7" borderId="1" xfId="0" applyNumberFormat="1" applyFont="1" applyFill="1" applyBorder="1"/>
    <xf numFmtId="0" fontId="7" fillId="13" borderId="1" xfId="0" applyFont="1" applyFill="1" applyBorder="1"/>
    <xf numFmtId="164" fontId="7" fillId="13" borderId="1" xfId="0" applyNumberFormat="1" applyFont="1" applyFill="1" applyBorder="1"/>
    <xf numFmtId="164" fontId="11" fillId="8" borderId="1" xfId="0" applyNumberFormat="1" applyFont="1" applyFill="1" applyBorder="1" applyAlignment="1">
      <alignment horizontal="right"/>
    </xf>
    <xf numFmtId="165" fontId="7" fillId="7" borderId="1" xfId="0" applyNumberFormat="1" applyFont="1" applyFill="1" applyBorder="1" applyAlignment="1">
      <alignment horizontal="right"/>
    </xf>
    <xf numFmtId="166" fontId="11" fillId="7" borderId="1" xfId="0" applyNumberFormat="1" applyFont="1" applyFill="1" applyBorder="1" applyAlignment="1">
      <alignment horizontal="right"/>
    </xf>
    <xf numFmtId="164" fontId="11" fillId="8" borderId="4" xfId="0" applyNumberFormat="1" applyFont="1" applyFill="1" applyBorder="1" applyAlignment="1">
      <alignment horizontal="right"/>
    </xf>
    <xf numFmtId="165" fontId="11" fillId="7" borderId="1" xfId="0" applyNumberFormat="1" applyFont="1" applyFill="1" applyBorder="1"/>
    <xf numFmtId="166" fontId="11" fillId="7" borderId="1" xfId="0" applyNumberFormat="1" applyFont="1" applyFill="1" applyBorder="1"/>
    <xf numFmtId="164" fontId="11" fillId="8" borderId="1" xfId="0" applyNumberFormat="1" applyFont="1" applyFill="1" applyBorder="1"/>
    <xf numFmtId="0" fontId="11" fillId="7" borderId="1" xfId="0" applyFont="1" applyFill="1" applyBorder="1"/>
    <xf numFmtId="10" fontId="12" fillId="8" borderId="1" xfId="0" applyNumberFormat="1" applyFont="1" applyFill="1" applyBorder="1"/>
    <xf numFmtId="3" fontId="7" fillId="8" borderId="1" xfId="0" applyNumberFormat="1" applyFont="1" applyFill="1" applyBorder="1"/>
    <xf numFmtId="164" fontId="7" fillId="8" borderId="1" xfId="0" applyNumberFormat="1" applyFont="1" applyFill="1" applyBorder="1"/>
    <xf numFmtId="0" fontId="11" fillId="8" borderId="1" xfId="0" applyFont="1" applyFill="1" applyBorder="1"/>
    <xf numFmtId="0" fontId="10" fillId="14" borderId="1" xfId="0" applyFont="1" applyFill="1" applyBorder="1"/>
    <xf numFmtId="3" fontId="9" fillId="14" borderId="4" xfId="0" applyNumberFormat="1" applyFont="1" applyFill="1" applyBorder="1" applyAlignment="1">
      <alignment horizontal="center"/>
    </xf>
    <xf numFmtId="3" fontId="9" fillId="14" borderId="6" xfId="0" applyNumberFormat="1" applyFont="1" applyFill="1" applyBorder="1" applyAlignment="1">
      <alignment horizontal="center"/>
    </xf>
    <xf numFmtId="40" fontId="9" fillId="14" borderId="1" xfId="0" applyNumberFormat="1" applyFont="1" applyFill="1" applyBorder="1"/>
    <xf numFmtId="38" fontId="9" fillId="14" borderId="4" xfId="0" applyNumberFormat="1" applyFont="1" applyFill="1" applyBorder="1" applyAlignment="1">
      <alignment horizontal="center"/>
    </xf>
    <xf numFmtId="38" fontId="9" fillId="14" borderId="6" xfId="0" applyNumberFormat="1" applyFont="1" applyFill="1" applyBorder="1" applyAlignment="1">
      <alignment horizontal="center"/>
    </xf>
    <xf numFmtId="40" fontId="9" fillId="14" borderId="4" xfId="0" applyNumberFormat="1" applyFont="1" applyFill="1" applyBorder="1"/>
    <xf numFmtId="38" fontId="9" fillId="14" borderId="1" xfId="0" applyNumberFormat="1" applyFont="1" applyFill="1" applyBorder="1" applyAlignment="1">
      <alignment horizontal="center"/>
    </xf>
    <xf numFmtId="40" fontId="9" fillId="14" borderId="6" xfId="0" applyNumberFormat="1" applyFont="1" applyFill="1" applyBorder="1"/>
    <xf numFmtId="3" fontId="9" fillId="14" borderId="1" xfId="0" applyNumberFormat="1" applyFont="1" applyFill="1" applyBorder="1" applyAlignment="1">
      <alignment horizontal="center"/>
    </xf>
    <xf numFmtId="10" fontId="13" fillId="14" borderId="1" xfId="0" applyNumberFormat="1" applyFont="1" applyFill="1" applyBorder="1"/>
    <xf numFmtId="166" fontId="10" fillId="6" borderId="1" xfId="0" applyNumberFormat="1" applyFont="1" applyFill="1" applyBorder="1" applyAlignment="1">
      <alignment horizontal="right"/>
    </xf>
    <xf numFmtId="40" fontId="10" fillId="6" borderId="1" xfId="0" applyNumberFormat="1" applyFont="1" applyFill="1" applyBorder="1"/>
    <xf numFmtId="0" fontId="11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 applyProtection="1">
      <alignment horizontal="center"/>
      <protection locked="0"/>
    </xf>
    <xf numFmtId="4" fontId="9" fillId="12" borderId="1" xfId="0" applyNumberFormat="1" applyFont="1" applyFill="1" applyBorder="1" applyAlignment="1">
      <alignment horizontal="right"/>
    </xf>
    <xf numFmtId="4" fontId="3" fillId="12" borderId="4" xfId="0" applyNumberFormat="1" applyFont="1" applyFill="1" applyBorder="1" applyAlignment="1">
      <alignment horizontal="right"/>
    </xf>
    <xf numFmtId="4" fontId="3" fillId="12" borderId="5" xfId="0" applyNumberFormat="1" applyFont="1" applyFill="1" applyBorder="1" applyAlignment="1">
      <alignment horizontal="right"/>
    </xf>
    <xf numFmtId="4" fontId="3" fillId="12" borderId="6" xfId="0" applyNumberFormat="1" applyFont="1" applyFill="1" applyBorder="1" applyAlignment="1">
      <alignment horizontal="right"/>
    </xf>
    <xf numFmtId="4" fontId="3" fillId="12" borderId="1" xfId="0" applyNumberFormat="1" applyFont="1" applyFill="1" applyBorder="1" applyAlignment="1">
      <alignment horizontal="right"/>
    </xf>
    <xf numFmtId="4" fontId="9" fillId="12" borderId="4" xfId="0" applyNumberFormat="1" applyFont="1" applyFill="1" applyBorder="1" applyAlignment="1">
      <alignment horizontal="right"/>
    </xf>
    <xf numFmtId="4" fontId="9" fillId="12" borderId="5" xfId="0" applyNumberFormat="1" applyFont="1" applyFill="1" applyBorder="1" applyAlignment="1">
      <alignment horizontal="right"/>
    </xf>
    <xf numFmtId="10" fontId="15" fillId="12" borderId="1" xfId="0" applyNumberFormat="1" applyFont="1" applyFill="1" applyBorder="1" applyAlignment="1">
      <alignment horizontal="right"/>
    </xf>
    <xf numFmtId="4" fontId="9" fillId="9" borderId="1" xfId="0" applyNumberFormat="1" applyFont="1" applyFill="1" applyBorder="1" applyAlignment="1">
      <alignment horizontal="right"/>
    </xf>
    <xf numFmtId="0" fontId="11" fillId="8" borderId="1" xfId="0" applyFont="1" applyFill="1" applyBorder="1" applyProtection="1">
      <protection locked="0"/>
    </xf>
    <xf numFmtId="4" fontId="11" fillId="7" borderId="1" xfId="0" applyNumberFormat="1" applyFont="1" applyFill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11" fillId="8" borderId="4" xfId="0" applyNumberFormat="1" applyFont="1" applyFill="1" applyBorder="1" applyAlignment="1">
      <alignment horizontal="right"/>
    </xf>
    <xf numFmtId="4" fontId="11" fillId="8" borderId="5" xfId="0" applyNumberFormat="1" applyFont="1" applyFill="1" applyBorder="1" applyAlignment="1">
      <alignment horizontal="right"/>
    </xf>
    <xf numFmtId="4" fontId="11" fillId="8" borderId="6" xfId="0" applyNumberFormat="1" applyFont="1" applyFill="1" applyBorder="1" applyAlignment="1">
      <alignment horizontal="right"/>
    </xf>
    <xf numFmtId="4" fontId="11" fillId="8" borderId="1" xfId="0" applyNumberFormat="1" applyFont="1" applyFill="1" applyBorder="1" applyAlignment="1">
      <alignment horizontal="right"/>
    </xf>
    <xf numFmtId="10" fontId="16" fillId="8" borderId="1" xfId="0" applyNumberFormat="1" applyFont="1" applyFill="1" applyBorder="1" applyAlignment="1">
      <alignment horizontal="right"/>
    </xf>
    <xf numFmtId="0" fontId="7" fillId="0" borderId="1" xfId="0" applyFont="1" applyBorder="1" applyProtection="1">
      <protection locked="0"/>
    </xf>
    <xf numFmtId="10" fontId="15" fillId="12" borderId="7" xfId="0" applyNumberFormat="1" applyFont="1" applyFill="1" applyBorder="1" applyAlignment="1">
      <alignment horizontal="right"/>
    </xf>
    <xf numFmtId="4" fontId="9" fillId="9" borderId="7" xfId="0" applyNumberFormat="1" applyFont="1" applyFill="1" applyBorder="1" applyAlignment="1">
      <alignment horizontal="right"/>
    </xf>
    <xf numFmtId="2" fontId="0" fillId="7" borderId="1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1" fillId="8" borderId="1" xfId="0" applyFont="1" applyFill="1" applyBorder="1" applyAlignment="1" applyProtection="1">
      <alignment horizontal="left"/>
      <protection locked="0"/>
    </xf>
    <xf numFmtId="4" fontId="11" fillId="0" borderId="4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4" fontId="9" fillId="12" borderId="6" xfId="0" applyNumberFormat="1" applyFont="1" applyFill="1" applyBorder="1" applyAlignment="1">
      <alignment horizontal="right"/>
    </xf>
    <xf numFmtId="4" fontId="10" fillId="12" borderId="4" xfId="0" applyNumberFormat="1" applyFont="1" applyFill="1" applyBorder="1" applyAlignment="1">
      <alignment horizontal="right"/>
    </xf>
    <xf numFmtId="4" fontId="10" fillId="12" borderId="5" xfId="0" applyNumberFormat="1" applyFont="1" applyFill="1" applyBorder="1" applyAlignment="1">
      <alignment horizontal="right"/>
    </xf>
    <xf numFmtId="4" fontId="10" fillId="12" borderId="6" xfId="0" applyNumberFormat="1" applyFont="1" applyFill="1" applyBorder="1" applyAlignment="1">
      <alignment horizontal="right"/>
    </xf>
    <xf numFmtId="10" fontId="16" fillId="8" borderId="1" xfId="1" applyNumberFormat="1" applyFont="1" applyFill="1" applyBorder="1" applyAlignment="1">
      <alignment horizontal="right"/>
    </xf>
    <xf numFmtId="0" fontId="10" fillId="3" borderId="1" xfId="0" applyFont="1" applyFill="1" applyBorder="1" applyAlignment="1" applyProtection="1">
      <alignment horizontal="center"/>
      <protection locked="0"/>
    </xf>
    <xf numFmtId="4" fontId="10" fillId="3" borderId="4" xfId="0" applyNumberFormat="1" applyFont="1" applyFill="1" applyBorder="1" applyAlignment="1">
      <alignment horizontal="right"/>
    </xf>
    <xf numFmtId="4" fontId="10" fillId="3" borderId="5" xfId="0" applyNumberFormat="1" applyFont="1" applyFill="1" applyBorder="1" applyAlignment="1">
      <alignment horizontal="right"/>
    </xf>
    <xf numFmtId="4" fontId="10" fillId="3" borderId="6" xfId="0" applyNumberFormat="1" applyFont="1" applyFill="1" applyBorder="1" applyAlignment="1">
      <alignment horizontal="right"/>
    </xf>
    <xf numFmtId="4" fontId="10" fillId="3" borderId="1" xfId="0" applyNumberFormat="1" applyFont="1" applyFill="1" applyBorder="1" applyAlignment="1">
      <alignment horizontal="right"/>
    </xf>
    <xf numFmtId="10" fontId="10" fillId="3" borderId="1" xfId="0" applyNumberFormat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horizontal="right"/>
    </xf>
    <xf numFmtId="0" fontId="9" fillId="14" borderId="1" xfId="0" applyFont="1" applyFill="1" applyBorder="1" applyAlignment="1" applyProtection="1">
      <alignment horizontal="center"/>
      <protection locked="0"/>
    </xf>
    <xf numFmtId="4" fontId="9" fillId="14" borderId="4" xfId="0" applyNumberFormat="1" applyFont="1" applyFill="1" applyBorder="1" applyAlignment="1">
      <alignment horizontal="right"/>
    </xf>
    <xf numFmtId="4" fontId="9" fillId="14" borderId="5" xfId="0" applyNumberFormat="1" applyFont="1" applyFill="1" applyBorder="1" applyAlignment="1">
      <alignment horizontal="right"/>
    </xf>
    <xf numFmtId="4" fontId="9" fillId="14" borderId="6" xfId="0" applyNumberFormat="1" applyFont="1" applyFill="1" applyBorder="1" applyAlignment="1">
      <alignment horizontal="right"/>
    </xf>
    <xf numFmtId="4" fontId="10" fillId="14" borderId="1" xfId="0" applyNumberFormat="1" applyFont="1" applyFill="1" applyBorder="1" applyAlignment="1">
      <alignment horizontal="right"/>
    </xf>
    <xf numFmtId="4" fontId="9" fillId="14" borderId="1" xfId="0" applyNumberFormat="1" applyFont="1" applyFill="1" applyBorder="1" applyAlignment="1">
      <alignment horizontal="right"/>
    </xf>
    <xf numFmtId="4" fontId="10" fillId="14" borderId="4" xfId="0" applyNumberFormat="1" applyFont="1" applyFill="1" applyBorder="1" applyAlignment="1">
      <alignment horizontal="right"/>
    </xf>
    <xf numFmtId="164" fontId="10" fillId="14" borderId="1" xfId="0" applyNumberFormat="1" applyFont="1" applyFill="1" applyBorder="1" applyAlignment="1">
      <alignment horizontal="right"/>
    </xf>
    <xf numFmtId="164" fontId="10" fillId="14" borderId="4" xfId="0" applyNumberFormat="1" applyFont="1" applyFill="1" applyBorder="1" applyAlignment="1">
      <alignment horizontal="right"/>
    </xf>
    <xf numFmtId="4" fontId="9" fillId="2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 applyProtection="1">
      <alignment horizontal="center"/>
      <protection locked="0"/>
    </xf>
    <xf numFmtId="4" fontId="9" fillId="3" borderId="1" xfId="0" applyNumberFormat="1" applyFont="1" applyFill="1" applyBorder="1" applyAlignment="1">
      <alignment horizontal="right"/>
    </xf>
    <xf numFmtId="4" fontId="10" fillId="8" borderId="0" xfId="0" applyNumberFormat="1" applyFont="1" applyFill="1" applyAlignment="1">
      <alignment horizontal="right"/>
    </xf>
    <xf numFmtId="4" fontId="9" fillId="8" borderId="0" xfId="0" applyNumberFormat="1" applyFont="1" applyFill="1" applyAlignment="1">
      <alignment horizontal="right"/>
    </xf>
    <xf numFmtId="4" fontId="17" fillId="8" borderId="0" xfId="0" applyNumberFormat="1" applyFont="1" applyFill="1" applyAlignment="1">
      <alignment horizontal="right"/>
    </xf>
    <xf numFmtId="4" fontId="9" fillId="8" borderId="0" xfId="0" applyNumberFormat="1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3" fillId="10" borderId="7" xfId="0" applyFont="1" applyFill="1" applyBorder="1" applyAlignment="1">
      <alignment horizontal="center" vertical="center"/>
    </xf>
    <xf numFmtId="4" fontId="14" fillId="10" borderId="4" xfId="0" applyNumberFormat="1" applyFont="1" applyFill="1" applyBorder="1" applyAlignment="1">
      <alignment horizontal="center"/>
    </xf>
    <xf numFmtId="4" fontId="14" fillId="10" borderId="5" xfId="0" applyNumberFormat="1" applyFont="1" applyFill="1" applyBorder="1" applyAlignment="1">
      <alignment horizontal="center"/>
    </xf>
    <xf numFmtId="0" fontId="14" fillId="10" borderId="4" xfId="0" applyFont="1" applyFill="1" applyBorder="1" applyAlignment="1">
      <alignment horizontal="center"/>
    </xf>
    <xf numFmtId="0" fontId="14" fillId="10" borderId="5" xfId="0" applyFont="1" applyFill="1" applyBorder="1" applyAlignment="1">
      <alignment horizontal="center"/>
    </xf>
    <xf numFmtId="0" fontId="14" fillId="10" borderId="6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4" fontId="18" fillId="8" borderId="0" xfId="0" applyNumberFormat="1" applyFont="1" applyFill="1" applyAlignment="1">
      <alignment horizontal="center" vertical="center" wrapText="1"/>
    </xf>
    <xf numFmtId="0" fontId="0" fillId="0" borderId="1" xfId="0" applyBorder="1"/>
    <xf numFmtId="2" fontId="7" fillId="7" borderId="4" xfId="0" applyNumberFormat="1" applyFont="1" applyFill="1" applyBorder="1" applyAlignment="1">
      <alignment horizontal="right"/>
    </xf>
    <xf numFmtId="2" fontId="7" fillId="7" borderId="5" xfId="0" applyNumberFormat="1" applyFont="1" applyFill="1" applyBorder="1" applyAlignment="1">
      <alignment horizontal="right"/>
    </xf>
    <xf numFmtId="2" fontId="7" fillId="7" borderId="6" xfId="0" applyNumberFormat="1" applyFont="1" applyFill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4" fontId="7" fillId="0" borderId="6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7" borderId="4" xfId="0" applyNumberFormat="1" applyFont="1" applyFill="1" applyBorder="1" applyAlignment="1">
      <alignment horizontal="right"/>
    </xf>
    <xf numFmtId="4" fontId="7" fillId="7" borderId="5" xfId="0" applyNumberFormat="1" applyFont="1" applyFill="1" applyBorder="1" applyAlignment="1">
      <alignment horizontal="right"/>
    </xf>
    <xf numFmtId="4" fontId="7" fillId="7" borderId="6" xfId="0" applyNumberFormat="1" applyFont="1" applyFill="1" applyBorder="1" applyAlignment="1">
      <alignment horizontal="right"/>
    </xf>
    <xf numFmtId="4" fontId="11" fillId="0" borderId="5" xfId="0" applyNumberFormat="1" applyFont="1" applyBorder="1" applyAlignment="1">
      <alignment horizontal="right"/>
    </xf>
    <xf numFmtId="0" fontId="11" fillId="8" borderId="5" xfId="0" applyFont="1" applyFill="1" applyBorder="1" applyAlignment="1">
      <alignment horizontal="right"/>
    </xf>
    <xf numFmtId="0" fontId="11" fillId="8" borderId="6" xfId="0" applyFont="1" applyFill="1" applyBorder="1" applyAlignment="1">
      <alignment horizontal="right"/>
    </xf>
    <xf numFmtId="0" fontId="11" fillId="8" borderId="1" xfId="0" applyFont="1" applyFill="1" applyBorder="1" applyAlignment="1">
      <alignment horizontal="right"/>
    </xf>
    <xf numFmtId="4" fontId="11" fillId="8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/>
    </xf>
    <xf numFmtId="4" fontId="14" fillId="5" borderId="4" xfId="0" applyNumberFormat="1" applyFont="1" applyFill="1" applyBorder="1" applyAlignment="1">
      <alignment horizontal="right"/>
    </xf>
    <xf numFmtId="4" fontId="14" fillId="5" borderId="5" xfId="0" applyNumberFormat="1" applyFont="1" applyFill="1" applyBorder="1" applyAlignment="1">
      <alignment horizontal="right"/>
    </xf>
    <xf numFmtId="4" fontId="14" fillId="5" borderId="6" xfId="0" applyNumberFormat="1" applyFont="1" applyFill="1" applyBorder="1" applyAlignment="1">
      <alignment horizontal="right"/>
    </xf>
    <xf numFmtId="4" fontId="14" fillId="5" borderId="1" xfId="0" applyNumberFormat="1" applyFont="1" applyFill="1" applyBorder="1" applyAlignment="1">
      <alignment horizontal="right"/>
    </xf>
    <xf numFmtId="4" fontId="14" fillId="5" borderId="1" xfId="0" applyNumberFormat="1" applyFont="1" applyFill="1" applyBorder="1" applyAlignment="1">
      <alignment horizontal="right" vertical="center" wrapText="1"/>
    </xf>
    <xf numFmtId="0" fontId="19" fillId="0" borderId="0" xfId="0" applyFont="1"/>
    <xf numFmtId="40" fontId="10" fillId="8" borderId="0" xfId="0" applyNumberFormat="1" applyFont="1" applyFill="1"/>
    <xf numFmtId="40" fontId="9" fillId="8" borderId="0" xfId="0" applyNumberFormat="1" applyFont="1" applyFill="1"/>
    <xf numFmtId="4" fontId="2" fillId="8" borderId="0" xfId="0" applyNumberFormat="1" applyFont="1" applyFill="1" applyAlignment="1">
      <alignment vertical="center" wrapText="1"/>
    </xf>
    <xf numFmtId="0" fontId="10" fillId="0" borderId="0" xfId="0" applyFont="1"/>
    <xf numFmtId="0" fontId="7" fillId="0" borderId="0" xfId="0" applyFont="1" applyAlignment="1">
      <alignment horizontal="left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D9DB5B-50D8-4D16-A7F7-BAEFC1ED418F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85E086-BB07-45A7-95D9-52EB1F278E74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D8396F-BCBC-4AE1-A1F2-A11D3CABB8E2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657F42-4DD5-49B1-8FEB-1CCCE6F02BF2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A3B8EB-02F4-4B0B-B82F-0794EE227F18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6BD583-519A-4416-A98F-666930E33E98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E7A906-551D-44A3-910D-CA7AEA2C08C3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C1129A-03CC-4800-8CED-55EACAA5D152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896EDB-59AF-49AD-A950-8938C5263A8A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3BC6C6-E8D5-49A3-B54F-11AB4C5CC9A6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9D69F7-A637-49CF-9536-585180DE2C74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CBF3CC-0796-4DBB-9224-4DF874252851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0CC3B2-3827-4DD2-942C-3007B2F895FE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0FE5CF-C743-4BAC-8516-A468C4BF964F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1A9BA3-8FAC-4F96-9156-3CC9BF9E6D2A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0B4A79-385E-4481-A28D-EA1DD6EFD013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86EB0B-2C2F-40BC-99AB-3DF82EC10129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882FDE-0061-4C47-9CED-E9CDC3F53986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50DC25-90A9-49F5-8099-4DBD47D817CD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9219FA-7042-4E7A-B389-12A8A6BD67A3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5CC185-9A53-4BD6-819B-ED701FF62EEF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86C5DD-8B76-49B8-ACDA-8B2E99E95830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92C79E-638D-48BE-AB8B-B929F80EB0B8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0321E9-76D8-43E5-BCDA-5852E5F98419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B13625-A0CF-4D71-9107-10FE281374DE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14EA1E-B5E8-4E0E-B779-2C098E45C57D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0BAF8E-945F-4918-91D0-21904B821845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6B4D86-581D-4D81-892A-CCC559563A5F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DFE812-3EF9-4609-8C3E-6BA5352E8744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3D646F-4519-4044-AF9E-74B7DBBC356A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265D8F-DB2F-405C-87F9-30FD3AF0F337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C5F028-FD04-42C5-8FB3-5B5EBDE3A824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6F3EB8-BEC9-4EAF-85FD-4252D8C7813A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C3EC48-BC3E-4D0C-9DD7-52491AAA3E66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9EC3BD-BF70-4F8A-B3F1-4D1CB2946CEE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256A5F-78C2-4310-9C12-6B514E92E9E5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768D13-BCD6-4EAF-B388-A2B4C5E49962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62C8D1-313E-45DB-9AE5-1127D7347C63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3186EF-DE43-4184-B25A-0C5BC0E668A7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DAEC6C-C188-480E-B33B-12DB90373BC5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D4D61E-C7BE-4005-9417-C15315BF6D01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E8562D-DFFC-4C64-8F02-1862D172AF85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5969DC-182E-4DC0-8D4E-C863955619D0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999F78-775C-4A69-B9F3-0BD7CA431D55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0EED18-0D49-462B-81FC-6E43C5EBCC28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903BEA-E6AD-4FC7-8D55-5D7D37CF9727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DA470E-3C40-4204-A560-1536C278CDAE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E26A56-3A06-4D93-87C0-DA7C38D5E053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2C2459-1C42-407C-9D98-0C77307958F2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DAA68A-C1A3-43BC-B254-C582FB0F08D5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049133-139A-4CF8-A60A-06CC44E61399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E2B898-64CA-4BA5-9273-2E86E481B6FD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D5D2D0-B809-4EFC-BBA6-C004D0BB8EFE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19CCA3-0FA0-475F-A964-F0C7BF6A9454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31E2E3-1F21-4A39-B44D-C15074934C21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8D0B71-30F7-41A5-A7CA-CD135A72E88E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F6EFB2-46CA-4128-9D79-2A5A17458E17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60B9CA-3985-4120-A5D4-77B5D987FB71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17021A-8EDB-4FF3-8B83-3E402158C556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12E315-48B6-40BA-BF12-4169019C3FD0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C97159-A030-44FF-A4F7-AD54E82993CE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82CE3A-945D-4627-8897-A441F6F45084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1EB4B5-33D5-466C-A302-1CC1657D28C6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09EA70-85B0-49C8-B404-2BC52435D41D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714375" cy="304800"/>
    <xdr:sp macro="" textlink="">
      <xdr:nvSpPr>
        <xdr:cNvPr id="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58FD55-C17A-45E7-915F-D72919FDF95A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F3A1C6-2808-4EC8-9CAE-00AE8447BFE2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95D4E5-2924-4558-815B-1A49C45B952B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728DB9-52A9-4495-8A36-457DE134B2D5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4AB674-15B0-473B-8E98-5144851246A1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9206B8-B7EF-4507-8100-F6F3AC7AEF03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714375" cy="304800"/>
    <xdr:sp macro="" textlink="">
      <xdr:nvSpPr>
        <xdr:cNvPr id="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D88F24-E10E-4B54-B36E-83450D82EE4E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380855-B712-4844-9C4B-0622DCD39EB1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5250E0-95B0-49EB-8A07-628A3A8D7EB0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732126-5AF8-4A66-A0FB-F39FF5FC6FC1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8A4458-A7D9-42E6-B67E-BB90233C31AD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447C85-54E1-499A-A889-732B832BC32A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CCBF34-9BDB-4018-A568-8AEC587F67AE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7299F2-259C-4745-955F-97CB3AAEA34F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5E0AFD-CAD3-4AA2-A438-5ADA480D0400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08AB7E-B1A7-4A82-96D0-0456F9BB2D1E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F6E6CE-1B79-4AF8-9E43-D5998CA0FBD6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4E6302-DF94-438A-BE97-E71A63512FAD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1DC1AF-AB4C-4B1F-8006-1B83580138DC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D42122-E519-456B-BE86-EB3A46BB1658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ABE930-B5F4-49E6-8C45-8E0469197A75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23A10D-ADF2-41C5-BC6F-4F9D50A35D63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BA2BAC-7110-4DAE-A007-CC993566A113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7FCC3D-0277-4916-B1BF-281490CCFEE5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10DDB6-3A0D-4127-B2CD-5163464A23D4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113E1A-228C-45B4-9940-CE5AAAC0C34A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A2F056-5891-4F71-9840-328EB4E3C2D4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714375" cy="304800"/>
    <xdr:sp macro="" textlink="">
      <xdr:nvSpPr>
        <xdr:cNvPr id="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5D57C4-9EA4-4120-8D63-80CB797C1E7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6CF945-3912-4394-B3F5-57AF6573490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08E05F-2C45-4A35-9DDC-75C46323F40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D85351-871F-4BEA-963B-532CAE690FC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79A139-F60D-40A4-9F1D-F1B10BB1C7F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BE017F-4E9D-4C94-9BA6-192B73F5AB0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714375" cy="304800"/>
    <xdr:sp macro="" textlink="">
      <xdr:nvSpPr>
        <xdr:cNvPr id="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A74857-E50F-4071-8508-43E4931AEA3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C49E52-007C-4E57-BA8E-414B774BA00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9FEA0A-EEEB-47B0-B179-253632F771F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BA3FEE-DAA6-470D-B725-7DB464FF14C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790A14-0425-439E-8191-6A99B222ABD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8C8B7F-5DF2-4749-B0EA-418F8DC9C8A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8A1CB7-4354-4189-923A-E3BF85693C1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577B2E-18B0-4801-86BF-5E73892583F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572B29-9C44-4453-B68B-8FA34DA9D6E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9A2ECB-DD1A-489A-BBBC-4400A86F949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609721-345E-49E3-A58F-C1DFA68333D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714375" cy="304800"/>
    <xdr:sp macro="" textlink="">
      <xdr:nvSpPr>
        <xdr:cNvPr id="1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9B62F0-ADD2-4C6D-A1E6-BE09AE56150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F6A3EF-62DB-4BD3-B6AC-6AFB33693A9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3D25D0-6FCE-48E6-99E1-A5F8E095DE4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EB3C57-C942-4FC8-BF40-EB9F1304769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AE3A5C-C209-4E76-81CB-DA3B7BD96F8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329EE6-66D7-439F-8E2B-1F5DCFB4B25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234940-D30F-4730-9B1F-D2BBCF19D75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26298B-A61A-427A-A809-ACA6C247434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304378-C828-479E-9CAD-4A4BDD3218A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4BF327-294E-4472-A3B1-D8996656D9F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C3B6CC-528F-41DA-836F-0D8D0BD4455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1B42C8-4031-4342-8D0B-70C4D8262602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EB9D9C-6495-4C2A-B6EF-238B38E30682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2B5E43-F632-4DDB-AAFA-7C2B28FDB799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756091-9287-4833-B43A-37CA408699E5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EC138F-59B3-4C09-AB4B-163A49D4B13F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6023C2-0B2B-4C13-9EF2-451E06D71CF0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3970D6-C3DF-48BA-AD2E-1EA66BEFE980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13DEA8-28B8-433B-8D36-88A1577801A1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714375" cy="304800"/>
    <xdr:sp macro="" textlink="">
      <xdr:nvSpPr>
        <xdr:cNvPr id="1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6B438B-62AA-480F-8CC0-2572F604738B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D987E7-9037-4DD6-87A0-44D62872E1CD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58CF9C-5A6D-4B1B-A2C1-5D5F97CA9F34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F02BAB-1EC8-4A21-8FD9-8B7041A846C3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9EEEB3-49DC-471D-A248-871A9E38A346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A5A641-CDA7-4EA4-B42F-4BAAF7D35AD1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714375" cy="304800"/>
    <xdr:sp macro="" textlink="">
      <xdr:nvSpPr>
        <xdr:cNvPr id="1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BA7AB2-33B4-473C-8971-5C8B108D64CE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1F8F75-91D5-4A4E-B7DD-EAF8A412DCE6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EA6A22-BF14-43EC-B588-BFEE5ED29064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F0356D-F478-4AF0-9A2B-F4085549801E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EB3A63-8531-4F74-91BB-E97065B4C993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1197CD-5728-427B-8F60-0915C5D13D76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B217E3-391C-44D2-9430-04310AB6F42F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56DF04-BF33-414B-B4D2-954EB39340BD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462850-6815-4F5C-8197-2DB3C9B78DA7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CD36AA-E9C5-4907-AC62-4822A0E9FA06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718EEF-E196-4C8E-AAA8-EA23DD4DF22F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60FBC6-5C7B-41A0-9072-6F0958A97657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AA5004-F4D9-4E27-B87E-678C59A9B3A3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3013F2-4A72-49BE-A8DC-C9FA4FFB3A13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7B8727-56F4-4F69-8547-2C55E8CABF61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50678B-5619-49D3-B50C-F42957EFB37A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E9EDEA-3B8B-4AA5-B6FC-CB4AA1776742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6FB446-EC8D-4CEB-B86A-88AFD313C5DF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7BC758-1991-481A-88FE-747C876F4B89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EABE92-EBA7-4086-9803-6F966B15512B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9775A4-A92F-4D04-A1DB-F53EAA8D090F}"/>
            </a:ext>
          </a:extLst>
        </xdr:cNvPr>
        <xdr:cNvSpPr>
          <a:spLocks noChangeAspect="1" noChangeArrowheads="1"/>
        </xdr:cNvSpPr>
      </xdr:nvSpPr>
      <xdr:spPr bwMode="auto">
        <a:xfrm>
          <a:off x="175450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714375" cy="304800"/>
    <xdr:sp macro="" textlink="">
      <xdr:nvSpPr>
        <xdr:cNvPr id="1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2FE9C9-31E7-4FF4-8DAD-A56E8105A21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9C1E46-E7C9-4A36-9A26-B140A2ADFC4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E255A3-678E-488E-8D13-A3B289992F6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A49263-D875-4C74-8344-19D040526C6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96DC00-6A02-449D-B056-1277B70B590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71DA48-4A75-4ABD-B074-3B0DDDB9F0F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714375" cy="304800"/>
    <xdr:sp macro="" textlink="">
      <xdr:nvSpPr>
        <xdr:cNvPr id="1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F08FC6-0B7D-492A-8A73-06E8F752B24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C3E5B0-25C9-4BC6-B709-0498E6A7548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A9E661-9DD1-4A28-B488-9DA41E0CEFB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C8C669-C530-4706-9369-3BDE2C93967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DC1411-D043-43FC-BEB6-1D99C6B387A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36BEFF-36AF-4F57-8AAD-5951CB08217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938009-C5D3-4AF9-8FC9-58E92FB7ED9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999E47-D0A2-4136-B8BD-0C894BE5831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E57CFC-49BE-4C86-8665-D3C0169EB35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18BEF5-D6DB-48F9-B6B9-2D3B353D18E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2B3E00-0704-4F46-A2CB-635AFD56A2F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714375" cy="304800"/>
    <xdr:sp macro="" textlink="">
      <xdr:nvSpPr>
        <xdr:cNvPr id="1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8E5C22-302D-44AF-B746-AF349005F00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EADEF0-F808-43CD-9919-C34EB20E613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1FC750-22AE-4752-BEB1-EAABE38DA09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41D733-3D9D-4E6E-A304-CA570D43ECD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D1A787-14BB-4EF4-B279-DA1FC02FB65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CDBD01-13E4-450E-BF03-9DF4AE86AD0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5FDB40-7BA7-445F-9F22-AE59117DB4E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9CBBD8-E2B4-4B79-AAA6-E52DA5D8E09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578170-09AF-4A43-B68A-4F6BAB9F3CF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5</xdr:row>
      <xdr:rowOff>0</xdr:rowOff>
    </xdr:from>
    <xdr:ext cx="304800" cy="304800"/>
    <xdr:sp macro="" textlink="">
      <xdr:nvSpPr>
        <xdr:cNvPr id="1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7DB598-3AE5-4105-9316-F807F6424E9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1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FDDC37-7F10-4D65-B2C2-FA0F392DA2F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1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173B53-1911-4848-BD10-55B2DCAC131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1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10C941-B7BA-4605-9B5E-327E4E3B111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1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88BACE-1454-4EE4-8D7E-BD93CF09982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1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2287B1-1FFB-44FA-82B9-528BE0523B6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1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5C05CC-FE6D-48B0-9023-1E1C104303C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1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FCA772-9D23-47B3-BD71-A0D90226717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1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BAEE53-5D47-4D79-8F1A-8D5CD90FD6E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1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0CC98A-62C5-452D-AF2F-CBDC9BA94D4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1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5DD0E7-3277-403D-AE38-74D16C29955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1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4CA85D-DFD7-4534-ADDB-DAB969F1E31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1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2FE6E9-2585-4B70-B6CB-E0C2DF34E35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1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F7BA19-62D1-4C09-ABF1-C4F6537FAB9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1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CFE44C-8C6A-4D88-B20D-EFA65865010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1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6F45CE-0A00-4592-AC3E-7E66651453B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1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A1065A-8A11-4728-88CA-E5CA778F06F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1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35EC89-2B8D-461E-8056-6AEA3F0CEA7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BAE9B0-287E-4270-BC00-AB5F63061BB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47B875-B002-4E4C-AC4C-0D0E0E44A77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8E241B-A1FF-4855-AE67-756CE53167F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2DE2B5-3210-47E5-A1F7-0CDB4AF9075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FA4602-98EB-48B3-A12E-0217A848B03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C69797-40A6-4913-9875-8A359D8DCD8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D4C628-D37F-47CF-ADD8-1D0421C09DB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2A6349-7D0B-48D3-9BD2-E8256389879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21B0AD-F77B-417B-A5BB-41B3CE16E0A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F1A7C3-F7F0-46F1-B615-CA2FA0550E1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793909-B002-408F-B60B-10E6ADD19ED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E473AA-4C2D-4E60-95D3-61AEED1D8AC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9A86A5-CC05-49A5-9662-00D954A0A4C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A98FF8-EBD6-4BE8-B0DA-C2AEEB20D8C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392A70-9FC2-45DE-A350-780AA282D42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9B61D9-67AC-4168-BE99-B2A7E59A42C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3703B0-D3A0-4B9E-AA64-C2655DE591C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7DE074-95E1-42BB-A773-319DA62D634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37A103-0F5D-4FEF-B89C-8588B1938A3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493A7B-555C-4792-9013-4121ED0264E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D1767A-63A5-4066-A022-8B1073A9C67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C87902-2E19-49E2-AD75-14AA990455C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8B7D33-EE16-4230-8561-CE57B49206C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20537B-FF5E-4D62-B205-A97D677B48F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C2AE5D-6E97-44AE-8B50-F85A24E0476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D20A6F-D479-43BA-92CD-F1E8835E3EF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8485A0-AF5E-4B2B-8DF1-0FDD4DA0603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373359-FC4B-4352-8DCA-DC99112ED2F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065681-7494-41D6-933F-CF066336870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6D59D1-2D21-4439-96CD-983AD6518BC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5D4B01-272F-43FB-AB38-826B37C17B5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3A8747-1A55-4886-98EC-5A7BE0369F9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28575</xdr:colOff>
      <xdr:row>0</xdr:row>
      <xdr:rowOff>28575</xdr:rowOff>
    </xdr:from>
    <xdr:to>
      <xdr:col>12</xdr:col>
      <xdr:colOff>266428</xdr:colOff>
      <xdr:row>3</xdr:row>
      <xdr:rowOff>133790</xdr:rowOff>
    </xdr:to>
    <xdr:pic>
      <xdr:nvPicPr>
        <xdr:cNvPr id="232" name="Imagem 231">
          <a:extLst>
            <a:ext uri="{FF2B5EF4-FFF2-40B4-BE49-F238E27FC236}">
              <a16:creationId xmlns:a16="http://schemas.microsoft.com/office/drawing/2014/main" id="{F0AEC924-4C6D-4B65-BAA1-1B7577A93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8575"/>
          <a:ext cx="7391128" cy="676715"/>
        </a:xfrm>
        <a:prstGeom prst="rect">
          <a:avLst/>
        </a:prstGeom>
      </xdr:spPr>
    </xdr:pic>
    <xdr:clientData/>
  </xdr:two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8F01EA-F322-4A9E-A0F9-D51B247EA71E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723DCA-C981-43C4-9389-ECC42A5A867E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35D4E2-D9F1-45D9-8FAD-3D3507166022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8E50AD-DD3D-447B-8DA9-364169A4172C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94F3CC-38A5-476D-9808-99CF32CD9835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B9926D-1E1D-44A5-8155-4122D0967E74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492F2A-837F-4910-B6A8-1BA5B9C13458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2955F1-CE17-402C-B979-7BB3422AADA1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8DC14F-8853-4A19-8C70-CF7832E9C934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D7DBAB-B684-4796-84E0-CEBFA9604FFD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97D95B-D0BE-4439-8197-62120CAB99EA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99ED8C-8B1D-4E06-A01D-7A13935A1F79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DF7C86-5249-4069-9B4E-6BC1DC9A1851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9BB686-60C1-47A1-B77B-BCA22B3028CA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2A9EF8-3DD3-46C4-8E94-740811FEA4B2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F17BD8-99F6-466E-B551-B3EEC84E2E41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259904-99FC-41F9-BEE1-43D802917D45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FB9ED2-9C3D-405B-8F67-6DAC9B8D911F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38E120-59A0-4284-A2F7-32C463E8D2D5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A8B27A-3C94-4B52-8C39-4C0D0441E959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BBD557-A5E3-4B76-BFC4-CC7C2579F406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7B007B-3C75-458A-A8DA-F4D4EB7D9925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41EB07-A6C2-4A9B-9B90-402DA0F581AD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B7113D-A46E-4E9D-84DA-CE0D1F15F91B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A99E76-3DB8-473A-AF7D-B3CFC95E7AA8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482C54-5A08-4686-940A-F49D590C9512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370CAF-E38E-4C1E-AA75-A3DB62C5F836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2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FAC93F-6241-48A7-BE0D-556EDBC49740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2375E6-96B6-425E-B02C-F9F77A68C434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7B5147-D664-4A3F-9A93-F7F5F39ABEB5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0499A6-6D62-4BE8-A8A4-77D6A9431194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6F5F25-04F0-4DF2-81E5-E15CA0CD95FF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F6A8AF-5451-4DE5-96DC-75A2B52492E6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CC8E0F-99C1-4976-8DFB-1D113DCE3E3E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1CF1A8-4604-406E-A31D-9786F3A20953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5A2E81-301C-4DB4-8E43-387A6EBD4B52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F06559-B036-4198-8E62-BB59BC5A391F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CBC0E9-05B1-4749-9082-220A5C397BC2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FF4041-4236-4DD6-B992-58AAF34747AB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01B44F-D9D1-4240-AD9A-780504760576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663615-0B65-41CB-9BCA-E538CF140E6A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86BCEA-D014-4584-9751-153DF0411958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D1FE80-173E-4565-A376-DA4D2BC70F82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770D75-3B02-4B41-AC89-9859C91FC943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BF55A5-B1B4-449D-BF74-1618ADF387EF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5065DB-92C0-4609-AE26-9F83760E50BC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48A692-9B4A-432A-9C71-B5B981543CF4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67BF6A-B428-40C3-B6CE-BC9079DBC60A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EC9FAE-D6A6-4966-9CEF-7654404458AC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6FFEDD-8DF5-40C1-8D61-A1E233705971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80D2FE-B100-46F9-9168-C32D9BDEA636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2ACFDA-894D-422F-9335-A4F25CA1DAE6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260A41-A41E-4F13-930A-F408E0FE1D15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C92591-E5B7-46D9-9F6E-0D98479E3877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8BCC5F-2AC6-46A1-A31A-8BB293BA584B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2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76C1E1-F1C6-4C18-ACE8-78E2E4432840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053F42-5A07-42FF-ACC3-0B37167E5F7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D16850-2A3D-4B67-80FB-0E6E2392945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07DCE9-0E87-46C7-8C0E-90DF9072B22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8E699E-EEBA-4A75-86FA-D40D1E897DA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7C95E6-6A58-4BB2-AAE9-C633FC8D84F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2FF2E4-54B0-4D07-86F7-AA41EF8218E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DE0CA6-0A3B-425C-A9B2-97C063855C4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82C569-8469-40C7-80E2-ECF74567BD6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82A495-51CD-4C10-A958-E4B44CF7E78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2F1EC3-0473-41CB-B2D9-38C2641AA80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2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9C694B-20A1-409A-95D5-017F442ECD8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5B35CD-21E2-480A-B652-F9660CB050D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4AD2BD-ABAD-4A59-9B7E-7A6B810AD56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3750EF-7A8D-48CB-9D7B-CE21BEDD928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D56920-5B39-4BA1-A4F4-A7D5060DACC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166750-CB68-4A55-91C4-6B1F5E92C44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B0319D-A450-442C-B64E-00992322792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34CBB2-783F-41A8-A5F7-10B6A9EE6E8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6AD42E-56A5-4C50-98F4-632AE3C8DDC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55821E-C469-4C44-992F-E1BD7C9756F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6598AC-928F-40D2-B3D1-7FEDE08F38A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7EEF8D-F02A-4A05-9671-F94B4CAEB0D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A43F3D-8603-4BEB-AD99-328EDC4AD7A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C569F6-40CD-41C9-828E-B66AD14AEA8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0CB05F-AE7B-4B22-B0AE-9AB41DE18DC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ED2EE0-BB1A-4380-9B9C-1BCD0EF21DB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6E6B3B-2B0D-481D-AA9F-41FEC3E4708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D7BEDE-0BAC-4469-AB36-CD3B3426D8E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9A46C8-2D54-49FF-949E-4DB00D17D99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2CA612-4828-4479-9DDD-C4BE0FA06AE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DC7345-9764-43F0-B211-DEA3E8D4988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7DBA30-4993-4EAC-998D-1B9D0F89FBA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41C7D8-151F-4712-B444-D6EFA3FCFB1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7D5717-EDCF-4950-8788-B4A6F7D130D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984BB9-71FC-414E-B54E-3772F1AA788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794ED5-1620-427C-BC5C-DE8EC7DEA2B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A9D451-BE05-45C8-9185-D5A9A0911C1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B8B29A-638A-418C-BF1E-F24F0A50960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E2ED25-6BB7-4A6B-8D0E-00FF4941151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A17DEF-BD3A-4525-AE23-A225A63AA1B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B78A00-4D31-4A1D-B7FC-DEEC9216C8C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F47DB8-981C-42E0-8E82-0B801AEF593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D6DD6E-A1B7-4C6D-9683-B86D28C2A4F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F9E9A4-B23C-4DDA-A303-EC107E444BA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EEB16B-AE72-47AF-8DBE-9C681E9A9FC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E9FA49-9A86-4B6A-AEA2-0E45C957B02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C4783E-5120-49A9-B275-142717D40B1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60D8AF-903F-4EED-A1FC-16A056C2090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E7DB80-8C64-4726-A686-726C7A8F5D1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75C3E6-95B7-46F6-982E-A17A1FDEF2F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7852A7-B8D7-4ACF-B525-54DC5A1DF31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BA3B4A-43BA-416F-BBBA-B71E5E9E462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6BCA53-F287-4621-A8BF-E8DC9D6AC7D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C9C695-F6B9-413C-B354-398E776044C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53C629-C28E-4B1E-9F02-AD631378EA1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9DB970-727C-4903-8714-510AFBF13FF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541842-333A-4296-8A92-B204B2748DB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F9682F-5774-451B-81A7-1ED3F0BB2DC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D59EB2-0030-41FC-98E9-98E700EA85D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F283F4-C299-4864-9AB3-35E919EF1CB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A25D5B-DBF2-41B4-B796-AE5802AD876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462A2B-3F33-4EF7-9235-7F17381CF3F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D1340A-32C8-4DB3-B60A-73C033E54A2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2A36A3-F865-47D3-B930-80A2966C3DE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72B7A2-3AC5-45EA-B5F3-06E091207A3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318CF1-B585-42FF-AD7B-F92A96A5DAC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ADB929-CEB5-41D0-88C3-B69FF31E21C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A5E725-C309-4531-97C3-8AB3C91A67F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E57571-CBF8-4F3F-A548-3EA390DC65E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1EEBFA-828E-418B-97D1-F53771AD97E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55377D-320F-4C38-B0E2-91EAD23821F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6FFF52-186C-4A51-986D-ED3B7C3F991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2C61F0-4048-49AD-AE2A-AF2276D751C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258AF1-0E91-482A-B24F-B0B56FC629D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5DF548-C3F8-446D-A9FE-16E55AB69D7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EC6EF7-F6B5-4790-853C-062AE6C620B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F83989-5C94-4895-8088-44313A6D3BF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D4AF45-A2B5-418F-AD90-DB22B5F8377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DABF8E-7F9A-4925-AC75-0C1C23AC316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8D03CA-05D8-435A-B754-72C0B65F090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48894F-971A-4BB7-9569-CA9DBC4CE2D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DB271A-6936-4129-8BF3-7867FB2DCB2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F0735F-4AB9-419A-AF91-DB611D851FE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F10490-8E4F-4ADC-B3C4-9DFD12BAA96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F42732-1A99-4774-B863-F3CCC9C2338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137A8E-D4FC-4595-B5B8-6D4A5377A69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84F86D-4090-4C42-91B5-F92B9C77C97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ED4BDC-C99A-42C4-B2EA-0099EFED444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B60045-8577-4070-AFEE-F8372621837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EB8954-FC07-409F-936D-2B8194AAE29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297668-2696-4C0D-AF42-87D3AC97FE6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CADAEE-4B25-4A30-B65F-51CD2B943FE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56D253-7B39-48EE-A7D1-1449BAFE987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C018C1-C1F9-4D9E-BB9C-B3A123E1203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200115-5AC7-4CDF-94B3-4D61ABE0DA3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E4DFC7-7E4A-45A6-ADA0-CFC15C4A095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7AED8C-0E01-48D3-B1EF-C9C38814AE9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6</xdr:row>
      <xdr:rowOff>0</xdr:rowOff>
    </xdr:from>
    <xdr:ext cx="304800" cy="304800"/>
    <xdr:sp macro="" textlink="">
      <xdr:nvSpPr>
        <xdr:cNvPr id="3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8972D7-9028-4F35-A79F-FC3A78F583C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3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114DA3-83E9-481D-B59D-0DEB2F865999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3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2C2D2B-1503-4BF1-8398-58AF33CDC30E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3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6C611A-5698-4E3C-A4D3-D3D81F51BF76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3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586A2C-3C06-484E-92E9-C4A7EE33BCC3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3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F84952-CB1B-4078-8A1A-1DD64B6B9378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3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2F3627-DD3E-46EC-9A3B-1EB8AB0D2545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3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12A81D-51CB-4752-BD18-72CB984E4C93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3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D7CED7-B856-4316-838E-C61BB947A134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3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5CE604-0CB4-4C34-A963-4FCA81E0BBDE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3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C09C17-CB2E-4D86-A5C6-6CA8E4F276FE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3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17B86C-16BC-4C38-AC43-E150FDBF87D4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3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8D6CC6-593C-4238-AB7B-DD0D330F607B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3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5A4A28-BD64-42DD-B216-7AA0BF57EA93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4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E194BB-8298-4CC0-AAE8-537CB4BD3D4F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4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049EF0-5DD4-48BA-AE6E-347E6B4168DF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4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3C0E47-2333-4A8C-85B3-56F15BBAC394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4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E98D21-5177-4181-8164-86087B4F3544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4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F970FD-78EB-41E6-8C41-60D17399B1EA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4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0A444C-20B9-4E64-BF13-FC9C6F56962E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4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F90720-4388-4DB6-9781-8345E80A1C5E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4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CC1F86-0690-4973-B616-CEBE5541CA37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4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C23DEC-7EE9-4B35-9413-49AD99F8DFDE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20</xdr:row>
      <xdr:rowOff>0</xdr:rowOff>
    </xdr:from>
    <xdr:ext cx="304800" cy="304800"/>
    <xdr:sp macro="" textlink="">
      <xdr:nvSpPr>
        <xdr:cNvPr id="4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F150E6-B92D-43C9-B4C3-077B5B93C6E8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030AAE-5028-49F3-A65E-788333AC4BBC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5B77AF-B7B9-42D9-A964-C155BE2AF34A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87D3A5-C268-4DF4-9043-C8933ED2E938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55A7B1-4C06-444D-AE78-6CA1F6849AD5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5AC6BC-112F-4745-9306-0E49002C9092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E7912E-D51F-40C5-A3AB-97F02E80BA65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35C3FE-9720-4C65-BB6B-E48AACDCCF0B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34BE53-7FF5-4584-9AB0-4A2D1E81F652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57430D-43B8-43F0-990F-099F5C0564CA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2B6AE6-73AE-4CE3-87F8-66EEADC9CB78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B07928-8A23-406F-97CD-D8287ABF87AF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9C847D-BE65-4E44-9BDD-DDB2AC7D9E6F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7A3706-EB1F-4603-8BBE-3370BAB7A843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9AE054-ED25-473E-94F9-81DE1D79F4AC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D5F633-F0E1-4036-B692-4F5CE66539CF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205ADB-6918-4144-93D3-75202459A236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B005F3-FD7C-464C-BF80-FBC1540743D1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7EED4E-B04A-455F-B87D-5AC426DF5FBD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A617CE-DC3D-4526-AD36-A03A6A84A87F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893DFD-6762-4D8D-8A7C-830B30739D35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EC27EE-2978-40A3-A8B7-BDAD0672E777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BFBD3C-487A-4DB0-B13B-1DC09BC462CC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A0D39C-717E-4BEA-844D-68C212A484A9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5BFC45-4179-405D-B6DD-B73E42C2904C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316615-1E8B-4901-8F25-C8B4CBA9A543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C3E50E-3F36-4046-8387-C51FB54F5D2A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1EFC2E-BFC5-48E8-BD52-A482BB26BA42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28</xdr:row>
      <xdr:rowOff>0</xdr:rowOff>
    </xdr:from>
    <xdr:ext cx="304800" cy="304800"/>
    <xdr:sp macro="" textlink="">
      <xdr:nvSpPr>
        <xdr:cNvPr id="4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2E79EE-6832-425B-B1CC-AD2DC08AEF5B}"/>
            </a:ext>
          </a:extLst>
        </xdr:cNvPr>
        <xdr:cNvSpPr>
          <a:spLocks noChangeAspect="1" noChangeArrowheads="1"/>
        </xdr:cNvSpPr>
      </xdr:nvSpPr>
      <xdr:spPr bwMode="auto">
        <a:xfrm>
          <a:off x="19259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FA004A-92A1-455F-B802-0FF60E06F9A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FC2362-4E71-4AA6-9322-F2EF4552562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2CFC3B-F711-4245-A888-9717F458CBC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E3934D-A918-4939-8DBA-62C5CABACFC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573AEC-A75C-4670-877B-3713979A040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4A4E87-4A8E-4B00-AA69-07B43895097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7C0A3B-7D93-43C5-922A-51C967960DF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91E209-224F-458E-A840-BA46559DFB0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7ABB96-5EEE-4DEB-809F-C11361C27FD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6AFC48-390B-436B-9187-3C5E4745A2A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B2B6B0-2F4B-489D-9091-63BE6AE7118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38E813-C19A-427D-B05B-3D4BDE93303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795FE9-96E7-49EB-9F3A-80AACF106E2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1F562E-E147-4E69-ABD9-233D857C005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34D743-3E6A-46FF-91DC-3ED914441DE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976900-B8B8-46C8-B15D-D7888E981F1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DB0AA4-62D1-4B3C-8A4B-09D2D304DAE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75E7CA-FFA8-4FF6-ADFA-C0EEE18784A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0CE61C-D7AC-46CB-8618-00934B948C2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801F67-81B7-4E7C-9B2F-7D53756A433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6797D5-8AF1-4330-93E0-4BA442D4E44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D93312-EBC1-48BF-84A4-A5FB4C1E128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7210FD-A00A-488F-B8B1-9DEF0E031F7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556354-05D5-4600-9E9A-2D8DCA5ECC7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E2630B-B787-4057-9C8D-183A0CA5F60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4A45B4-E56E-49D7-9AF8-D8FEE48438C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756B60-7242-46AE-B56A-C709F1500E5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8997EC-A8A7-427A-8CBA-CD2860392B7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3EF01B-FE1B-452E-9422-86A7D4519D7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286E22-92FE-49BB-965C-15F3E4CDAAC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200AAF-B803-4E1D-BD4B-8F1CE5D5CA7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BCE3C2-876D-4E08-B585-D4C4A5BD6C2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E0EE01-C20A-4E9B-86F1-1562539A316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B48F81-19E4-40C6-9B3E-D096DDAD8F8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64B04A-21EF-4A71-9C4D-7924A30371C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238E4E-9631-4833-A48F-95C290AC623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0B2B86-8188-4872-981F-AACC01C31F6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F9F5BD-D6F8-4068-974F-38F6B19DFB9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E1AF1C-0CFF-42F7-B4A4-3C41944F802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EC9ECA-BBB9-429B-A6A3-8320D35B131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68BF37-2562-451B-9A75-F3E602F7D52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2C54E1-0E6C-4967-AB8E-57A471736E4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582342-FA8E-4984-97D1-5D7A0FDCC72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552764-E7A6-43D6-B4F5-B34CEA0BE79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271684-4C26-420C-A9DB-BD42BCE35BD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5F506E-D14B-4E73-8992-473A6638AD8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8C602A-B5F7-4D01-AB77-32B244773DF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28F5ED-EEE5-4715-932B-2578C2D0DEB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9471D9-B94A-46D0-BF20-7DAAA3AFE7A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BBB37F-0F25-4AA9-A879-CCF475FD2C5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3AF249-670A-4BF3-8203-66BC0C0BF88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5CEFA4-A271-4903-9CDE-C5EEAF16F8C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CECEE4-F251-476E-88EF-F3A9C2BE696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E9C2C0-358A-4B75-B6C6-C22916AB0E4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CFE2F3-FDDA-455D-8BC8-043E3D27970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809E38-3C95-40D8-8A78-3986FE7A368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7C1259-75C4-4C60-9242-E68B553FF15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D19E3A-25BC-4510-AD06-FF6C9418894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D0182B-BFFB-4F0D-A5BA-1702672BD94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A5CD10-40EC-46FB-BA84-5CAE798BD29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E02894-82A6-4DC6-B134-11D6949C3CD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4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D11349-55EC-4F95-A15B-354CD274F56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AF6990-4E7F-4CC2-8021-B7FDABC98AD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EA4CBA-84BB-4817-B429-7CC21C233F2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5FF338-61B3-4301-8EC0-7543276D902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1A17C7-F987-42C4-BD2F-D6849EB300C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5A8BA9-7DFB-4948-B3D6-F26A7B261CF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1F178D-8C53-4A3D-B45A-0D10665DE5D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F8695B-25B5-4BAF-803B-6CE0ECA2264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157C70-BDB9-4D80-B3D6-2496AEFC3E3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5468F6-B8A7-43ED-9929-89CD32A0D77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E468EF-DE04-49E2-95F2-041A9907B05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04D623-728B-4ADD-867D-6A30EAD43FF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AAB14B-4677-4D4B-BF95-43BE0BE946C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4A0343-66CA-4540-8040-BC84B50A58D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3DAC7F-E72C-41E0-9D07-2FA765038F7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E343F4-FE59-4E44-B312-20D78FFC810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E07DD6-2868-413C-8FFE-C9ABE7D4E2F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00EB9E-BD20-48F7-8BBB-CA618916E66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1178B1-8733-4FC8-9D1F-EAA17AF9041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685E9F-EBDC-4FB6-A5D6-C32C09C23CF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6B84BB-C4E3-4CBE-A5DB-CA97AEB43F3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3F1701-A309-4B53-B20B-AC474377009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1842EF-57CE-44EF-949C-8170AAD9489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119F87-76EE-4B06-A248-3D1FFA70D49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D44D57-496C-4EA0-8880-106C26AF7C8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D3AB74-652E-4CB1-8F41-7AA389D411C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86A30D-BA1A-47CF-8E94-F496741B355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655CA7-6F3A-44AC-9F89-DF3822F7DE4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BB7957-94FE-4062-8D95-F2FB02B390D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9474B0-313F-4B04-B72C-D7F435EF03B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86C62C-4280-4961-8107-A5224E19D5A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9B5D00-D2F3-4E60-8848-EA4A1C5EF5C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9EC5BA-8193-4C40-B13B-D71BE3E034E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C73D9C-AD29-4B97-9344-7C4A7E7BB9A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B9D672-0300-4375-96DE-762AFD21801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2BA42A-625D-44C6-9E15-CFCB96E62D8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AC0D3B-7C9E-47D3-AF55-DF0D7A8C60F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2C9079-620B-4196-A831-EE8AEBCB87E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B29D58-B3C6-4D87-A701-51AC3A04F97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B88FE9-598E-45EE-B678-7FE975CBE25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BB3095-1155-48E5-A127-58771A7CE83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91EB31-6772-4BF9-AC91-D1AE4C0C2FC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FDFD14-C5DD-4A0B-829C-DC7544F1630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74CA3D-5898-498D-9D76-EF35D8FF576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4CB3CB-8C91-4718-8B8D-1F77CABB3E9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BF5558-40EC-4DF0-8F2A-A8C0030E35F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DDCADA-7FF8-43D0-BDCE-C9392ACCE4D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A6C4AC-07C0-43B6-9858-9D9575E5CC6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45468B-DA34-4865-9845-BFD42D3CF66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0BBE43-5C90-4AFD-81F9-5C59EEB213B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169171-71F1-4B57-B5FA-21512164B85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672D99-6599-413F-B887-A890B17D3BE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7CCFEC-9DF5-496C-B5D9-7324B98E74C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AADEA2-30DC-49E1-AEB9-F48DEDA9A48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289707-A92D-43A9-92D5-E9FBBB69479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239ACB-F7FA-4487-B5E2-9FB3E0009AF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910750-512B-4083-85AE-7E81EE320A7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89FDA4-A19D-4283-BD54-898CE4DFBCB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A479EA-2366-44CF-8F0B-29293CFEFB0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D4BEBE-8C76-4B28-BFA4-853D7ADCC26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F260A3-9783-49A9-8A7F-1BDB217AF04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21A825-D41C-4D6F-B124-6C14424CF38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0C6414-0BD3-42B7-AD73-E0BBF859DF6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E42CCB-46C3-484D-A9E2-00B1746BCF1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F5E994-55E6-4DC8-B82C-53C7A1ECB25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4A2FEC-EFFB-4703-9E84-56B6330DD1A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AC4573-C570-4FC0-BC34-42C09049F28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ADF8CC-3738-4185-BF25-7E92A819726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7AA921-03EB-4103-871D-CA3C88F4C88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0E04C7-D1CD-4A11-A587-B3B0EF81AAF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AEF8FB-AAA7-464F-B9D9-02A431BD085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695DA8-F0C8-4900-8F53-C5329B57249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EB39F4-4AF8-49DD-B500-030AA384C8E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470139-A8DC-4A97-958A-10BF6CC69F2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D1BC3D-845F-4DD0-9EC8-03066E4CDB2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94913B-5591-44A0-AAC5-0E62B20695A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9094F4-B14F-4D07-9C2B-74E8C02508B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3839A7-FFC0-40AC-AA67-41906290A7B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FF5D6A-3578-44DB-88B4-E39CD54B20C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845946-2552-4C8F-97F2-7A4611B9E11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F65561-CFE5-4608-B067-75A2DBC59C3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7CBFDC-A11C-4F38-B6A9-8EFB0F331B7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65B116-F0F9-458A-8834-4EC9B9F51CE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3F3E70-7F3C-4A6B-9C6D-68D43134C17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0EAECC-BEA3-4701-AA3F-BAF7C0644D8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AF1E20-5980-4D98-9AB2-8D8ED097DD8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CA68A6-FC9D-4C12-90B7-A24888469E8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3D778F-9C71-45FC-B8E9-9610D5E8739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2DF000-C523-42C0-9236-C82F91CC175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1B9AE0-639F-4A2E-AF9D-C4316530B62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2AA85D-65F6-4AE0-BF54-693047AAF9E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A6393D-B8CB-4D39-837B-0A5456BC632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E8609F-C8C0-4726-B407-C74205E82F1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669C4F-5C8B-43DA-84F3-E98C457FBD7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B51F87-A261-48DE-84CE-8C6B8082F9F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CBA8E2-5DD3-4D52-875A-778C4024528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A3A60E-1430-4417-831D-4BC8BC70C23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4B5B0E-2515-4092-9B98-5C0001951AE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49B8EA-1058-4498-A3C0-958A029A53A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1FA182-CDF1-41D3-93FD-F069E7B81BC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5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063DD4-A364-492F-9F17-415E01E058D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65D8F8-5576-4CA6-B3DE-D5A57B3D7A5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55CDD1-2479-47C5-BA08-8979E6C431E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A9EFF4-B364-4371-AFC0-966805FE877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CAB007-EA43-445E-8B38-96B51674090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B95DA5-6F4A-4E82-BC4B-2579C75B062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251583-0847-4533-9397-8A79CF880B0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6AEA36-FB49-49B6-81AE-CC80BD3501C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BAB05A-695F-4027-ADA6-02D82E900D7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907B65-4DA8-4E55-BBE8-DED7E3DBBFA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82F680-3B93-43EA-A2B3-71710ECA69E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738E12-411F-4F84-83C5-8878E1229FF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FFE2A8-3B54-4F4A-9945-75DE075CCE7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DA44A3-1648-4FAC-B740-99B57DD291C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BEAAD2-2F1A-471F-8CA4-5C3F2B15632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640E67-0180-425F-8258-AC36F60CB9C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75BBAD-152F-4A30-86FE-965F49AEBE5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947917-F282-4A8A-BA37-220FF2F0BBC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D380B1-2CC4-40D8-ACF7-036B1F521C8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C56C4D-D648-48CB-8031-6B218DE7DCB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A44EE1-378F-4EC9-BFC3-734CD72D3EC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A9024E-13FB-4364-BD41-80B7D291F1B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F783E3-E745-4CFB-9C52-3A577CAA74C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1BA759-2B19-402E-9BF7-9F45B5EC9C2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EC043F-0161-4F6C-9ABC-3C075E3697B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22A777-1B7C-45B1-8EF1-B4AFB701719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6CF814-2713-4F63-B678-B16EA613444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483FEE-D121-4F1F-9A01-B891C10F7E4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6DE0CE-9E1F-4F82-8733-FD05A71ACE0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CBE4AA-9A1D-4085-8AF4-0506A6DB859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9C2F86-167B-4192-AD3F-34E4994B550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FCF647-F774-4E70-88BB-8FBB68B57AC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ABDDFB-344C-4CB1-B399-639922EE4E2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9673EC-8681-4DA4-A029-1FF98643ABD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611072-58DA-4BD0-8FFB-2001C235062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82BAD1-5611-449B-B977-91B1F722CC5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C37FB1-22F5-4603-8BBC-BBC0989A410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05B650-2E99-47D8-8A34-551D34CF8D9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A68841-63B4-4C7A-A835-2517AE4C813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BA57E6-834C-4587-93A4-FB77A5A36C5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C6BD58-2FE5-485C-ACB7-27F7A49D392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F028F8-ACBB-49F9-A4AC-6AF37C18FA9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35CA8E-EE20-43E3-9CAB-467B3141CE4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0A38CE-3224-40F5-93C9-1EDB6F3C838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B51039-C8A3-457A-8B5D-F2CF7F29530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B07849-C4BE-4566-810C-7161CAADE4F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D0D322-646D-4CDD-9BED-E8036C0BF2F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155C6B-B4DC-4268-8D05-1F245295F6C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BD1E1E-283C-4AB4-A3BD-E2D3DA23E0B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AB96B9-4B58-44DC-8784-44134A74F09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B7B800-82B0-43FE-8733-E3CDA13F777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E274D2-FD96-412B-9D5E-DAEEC6B7DAD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1ABDD2-3420-4FF0-8FE5-4646A38886F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6F82C2-CC73-4D38-A5F9-FFA100695B0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09CEB1-C917-478C-AFDA-CC1BC1AAEBB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49B357-D2A3-4352-BEB3-21885A884C8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2FA5B1-8C97-40FC-92B6-436FE91143B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BD2EDD-A769-4EEC-AA20-2051E6DD21C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F7B0BE-7A49-4172-8E97-4AE9750615C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ACCD31-F0E6-442F-BBFD-D338B1447EA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CEFFA4-CAE8-4C75-9C98-4789B818696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50B3BA-0A7D-49AE-9097-88EDDE60411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6FFFEA-C61E-4538-BB3B-C6E4BC483BC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56B823-EB71-45F7-9AEC-E8E04878D93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2AF735-E13F-4B8F-9A67-9F4B7096145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8CB397-D384-445F-B1E2-F0EAC64BE77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499562-29FA-497B-BBDC-96A318126F5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E2720B-CDD2-4BE0-A084-472E4521822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08B069-C0CD-44AD-A7C9-05A59312A7D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9C8437-1BFF-4375-AFFB-1760A07E015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2CB1FE-02F1-4831-B5BA-1CD6093C5F9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99877C-17CD-408E-9100-4CEE4332F1B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AB810F-61E2-46D4-B666-795CB565139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6883F0-632E-44AF-92E7-E8386E96582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EFF574-57CF-454D-AC20-CD7E3930D14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D11344-5597-4B4B-AC8A-8DC5E984D95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E2D3C1-0981-44CB-B9C2-19DF860E000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380343-2CFE-466E-A3DA-2B6AAB34413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82C213-EED6-45E3-84CF-A694CA82C13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F4493B-6A9C-4E58-919D-D56703EE076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5D69B9-8836-4AB2-A1FA-FBB9B8DA5F9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8B1763-E476-4E43-B25D-7E34A336F1D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898158-D56E-4A15-9087-537BEC8974D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37B45F-AB70-41B6-80C5-817134651DE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41C00F-2350-4AC7-A223-3DEB2205CA1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E95877-C036-48D9-903F-77AA502971F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C7CE6C-624E-4888-9F5A-E9057BB7D77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508AFC-279C-4283-A9C5-7C2756BFD99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4D0057-347F-453D-85C6-DEF4D9D55A5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0B6DF3-A0AF-4490-B0E6-970BF2E04AE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238C60-E1D7-41F4-B474-D38599C7398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E50641-D1B5-43D4-8BD2-BE321947819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639895-4240-4AC0-AA9A-F51C126E2E4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2808BD-F8F1-4F8B-8FF4-9458C80F36C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BC36F5-C2F9-4F84-9C52-82A027C5697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37F2FA-827F-4C6F-8A42-58714F48186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A1AE54-FC84-4031-8D9F-465C52FCFC2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FFF257-C064-4F17-813E-69DCE42A7B4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E8BA54-995B-49A0-8D8D-56D1ADC1F79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6D3F02-1FF4-465D-9E87-C6AC45CA49C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6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65F1EA-9C1A-4C83-B497-4F9ED43EC5D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B21AEE-B59D-4ECD-9EB8-93AAA4E0473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BD4FBE-80B3-41B6-A8BD-161069F9484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0E998A-A66F-419A-BB49-57DB03F3AAF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D5E689-227E-485A-B942-23104630D96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8DE226-6DB9-48A3-B59F-D6529760497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CC2D5E-78A4-47BB-8DA7-1E7E6958E24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95F652-7411-4FDC-BA20-18348B77E46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378716-529A-4B9E-AAE3-CD86DC485DE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D8D418-1FDA-41A9-9059-2FC443B1A0A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CDEBB5-FA22-41CC-AFCC-9D420090FDD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61C9CE-EF21-4C09-8C23-6B3EB85BD2F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EFB6D2-74CF-4BD5-9C0D-914FD834282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2DBDAF-54AA-41F6-94E7-EAB388E15BE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A6BA76-63D8-40C8-83A2-B0D470BBE0C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815142-9924-45AE-BEC4-509ECECDCFC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9BC124-7082-494F-A80A-4801A3F28FD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202C0A-36FD-49B7-A749-83FD1438506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A6A677-CA2C-4ADC-A05C-FBD557564DB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474FE1-8F79-4CE5-A731-DF0D5C269E1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5EE62F-F741-41C3-97C9-0A18456E660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0A4C9A-F160-4506-B859-7CB81A51D2F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37C254-86B8-4E25-B89F-79604779182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A5528B-419F-4E88-A7CC-EA237833872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BDF4B0-D1B4-4BF6-AAD2-37EBAC2A313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3C9A62-2EE0-4DB9-8D57-ACCFD000AFF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92D62A-5F78-4F9C-841B-A47D5B51782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C93487-748E-4E8E-A849-F7689FDA88C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ACBC11-5F13-4A56-8E0B-ECAC0E995D1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2194CA-EC7F-4F52-A3B2-B6D7C188619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F7543D-0D44-4C29-990E-E900E8C469A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EB1A4D-7C4C-469C-8163-0BDE89B398E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304800" cy="304800"/>
    <xdr:sp macro="" textlink="">
      <xdr:nvSpPr>
        <xdr:cNvPr id="7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59AE99-4614-4A2C-AD24-5F7353AC23C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B891A0-9D3C-4C28-BCB6-8F6566BC8BB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BFADC3-39F9-4B4B-BE2B-39332322682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BF5DFF-4DA5-4F57-A4A3-EF81A1B97AB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FB15E2-5DB1-4886-B51D-DD3289DE32F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E22A28-2E6B-4484-937E-2D12D76615D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FF633A-4E5B-4588-92BC-E1D44DB38E3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D56BFF-BE01-45A8-A83B-44A42BA9709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C8F3DB-9AC7-4CD4-801C-87B36004DC7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FDCA67-8FB7-441F-89F9-6925EED265C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59776A-428B-475C-8B0D-EC048894D04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E8C652-B4B9-42E2-A995-F1BC1506E3D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AA593E-2D85-4460-ACBD-3FFFB7CFF48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F2E087-84D4-441C-BB1D-C0CA6F4CC60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C1C149-FD1E-40C7-A7B9-4B3839C2B35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16EE18-BBEA-4498-9E44-FE0F2B1FC3B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5BA85A-6A4C-4A6D-8F26-D0DB2A45777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909B83-7A31-4620-ACBF-A0495DA18AB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353C11-453B-4E69-BCCE-C94A095D9C6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AD5A0F-E065-4FCF-936C-4494D712689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F38295-B309-4FFE-BFC3-6CD0BFCEE6D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EC233E-000A-4118-A7B8-7BBFFAC1735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17AB92-43B6-4651-AF01-E74C80CA6D8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E0FA29-37A1-4F51-8E3D-B7E775A615F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FB4AD4-3766-4B8F-BE65-D1DA3D23D9D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C2AF2A-6742-4D8A-9F62-8A6742898D8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3216A8-7E4A-45FA-B694-C4C41EE7683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A858DF-51BE-43C6-AAC1-ED9364B5F3E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6FCB4C-D867-4BCF-8334-962E7A4CBFA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EA644E-6A3E-4FFB-91A6-5401DB544BA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25C66C-C820-4825-9F26-4E28B870FE8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B66925-8BFC-4C61-805A-D978A33C2DF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9D1611-4468-434D-BFC4-049944BCF76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409BAB-273C-4297-A1BF-AEE1409B89C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F25A2F-D8E0-4489-94BE-8471869120A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500CDE-F48A-4E0F-B22D-85BB5B5C462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68264F-21E9-470E-8712-58062D0958B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046357-D37E-44F0-9A8F-17A22B196BD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D57C8F-0471-4FBA-9710-D5E6097D0A9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43080B-7F8B-48D7-88AE-C0AE684274C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35934F-B734-4BC2-8F09-7C7115AA4A8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17A8ED-5E19-4ECE-9AE2-8134F002F16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81C5EB-2EE9-47BA-AE54-82AF17212B9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E30CD7-D0D3-4443-A104-329CF67DDAA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4DEA75-2E0D-422B-80AE-9FE867205F2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BA5C52-CCE3-419A-B48B-CF4EDFFB953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5C4BF4-6F63-4C69-9F93-03D4EFF8EE4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20D2D1-32D6-4BBC-8615-240BC98C7CE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981013-911F-4B6C-912C-464FB0184AC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027F68-6F52-465E-B7B2-32A275A5C24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CC1302-83A2-47B2-A7D9-B87D83F577E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4B8285-E137-4C6D-83DE-04DF1114F95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120576-BF9B-4A6D-8863-3D048BF442E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5D0C2B-D9EE-445C-A503-3F99FC19C8B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6A45B2-74A5-4CC5-9CDB-F8ED6708B66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D5B443-84DB-4335-BBDE-3FFF40D80B7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58DC64-B07B-4D2F-8646-4A7F828F2BB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C4D49F-58BC-462B-81DB-C176186FD5D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6CE915-9330-4FC5-87EF-603905A20C7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7BA425-3956-490D-A6D9-1D9F5B24701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4E647F-3F00-47CC-BF7A-AFFD4218600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736246-68E1-438C-B06E-056B6257638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CFC205-F0F9-4658-AD4A-B184DABC2A1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C12373-5CFE-469E-B134-28F0E7EF3F0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610B9E-30AE-4802-A1ED-909A69AE981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14FF84-03B5-49C5-87F1-752442E0282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BF0200-C94A-4411-A952-189AF40AAEE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3755BB-71EF-4963-B8C5-7F66D61B052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7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8DB556-8CAF-46BD-8604-254D15B5DCE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4F17B6-6221-41A8-B997-6FF285A96EE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8B9115-A671-40D3-B927-22B98126637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AEFEE0-201F-4B9B-9B2A-69C9622C894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49C306-EBA8-4935-BCED-64A4F6CA086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2E8BDA-33D0-45B8-9BEC-DB3E0CC1641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00D327-F695-4849-BF26-27169F376D2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2831E0-F610-4D25-872F-FC891B107E2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33A411-DA33-4169-8DAC-FB5CB7C72E5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15546E-0932-4C30-A6D6-61F1826E281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31434A-4EC8-45F8-BAF8-D59898F5DEF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7852AD-DB0F-4915-900E-112C5F71A76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7EB6A1-9C6D-409D-AEF2-07B9DF7BFD5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5DFFDC-AA78-43A8-ADBD-9DAFD5BDE73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CBD8C1-AF5D-4AB1-B5A7-9EF69A6D47C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3BED93-0F01-4DA6-A92E-11794F9FE46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BBE83C-6620-40C3-9435-E6BDAEAD3DE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FCA3EE-B8A0-4257-B992-C6B0140126D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0D0EF2-6EFB-4434-9511-7C0683F94BB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2F9D2F-2E4A-4B40-8BAE-ACDA4AEF688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019053-48CA-459A-BAA3-0F2030190B7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7F5198-4D48-4E77-A6B9-BC832D4B511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EE26E0-6796-43A9-BAE1-99EE49D4A68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CE6A91-BD48-48EF-A1A1-518B003F69C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2F5C02-590A-4B59-9C75-699505C961E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3AA7E7-943E-4B73-8E78-2482D20B408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352FC7-DD90-432D-8652-23D2428CFB3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FD7C12-2D6D-4E2A-9AAE-FA76044B0FE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880CA6-7841-4A14-B314-B65053EEC66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ACC7A1-DBDF-4E81-8987-608AFE5FFBC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DFC7C9-F854-4437-8F37-14D70A35922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F6A136-3E4E-4AFC-A127-BB6919503F9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55D413-70F3-4B3A-8BCB-7AD9D5EC4F1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0443BC-A923-4245-805D-C29F60CFF38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C9DC7A-10D6-422F-9B66-BA155EF20A0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BE22BE-3C1F-40D2-899F-5842CCABEF9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E5FC78-6E5E-4638-81E7-275B09758D2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2A60CF-1649-42A8-9863-2153AF3BDD2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CDB887-B402-4E4B-8734-6A15E46911B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88639B-071A-4591-B670-8671E78913F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414EDE-4F80-4BF4-AEBF-EA18543DF42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CC4009-F85F-4C80-9548-CD96FDC5BB1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B85864-9965-44B2-ADB3-AEE2630E52B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02D0A8-5BAD-44DA-9691-F72C51F5796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3D7DC6-9AFD-4C4D-A372-D52DC93755F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08F0E7-7562-4CCA-91C5-85CB5E8708D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847493-8237-462D-A2AD-57DBDFC8139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171958-742F-4C9B-9EF9-5C2D27136EB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314F6D-AE46-493E-B527-44974D875E8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F0A195-B42A-4BFF-90C7-4BD50FBCDB6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ED5366-6377-456B-A415-B3158442B00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DD8247-BBB6-4653-9ED5-F91E0F49ACE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D589BA-22CC-4426-A769-5BA1129848B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C5B747-A523-46C2-8578-960134EAA36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415932-3DAE-453B-8EEE-10EBBED1DA5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7C7381-534A-46AF-8985-73DE682C884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23EA23-3596-4E50-A373-9A35EABE462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F43DB2-DF0A-4118-BD67-114C1433834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944A4C-D7EB-42D2-96AF-C1AE95AA3CE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750581-803D-419C-82A0-23054DA68EE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6FCB18-0C7F-4F82-B397-C0944A70E20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7C2508-F178-45DD-8305-88F8AF8CE3F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B4C8F6-E300-41AF-9D05-8466A370E5F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48E94E-7A52-483D-ADE9-C90C54A185D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A0031A-699F-42BA-942C-F7A2C265EA6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1D34D2-415C-4602-B6A5-372A8A5B16F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9CF6FC-9E4A-4F6D-9EA5-CFE0422A4B5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521E5F-4DF5-41AD-B221-9F935DBEDE1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F9F72C-F344-482B-A1E4-6F5E97C0052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881D97-B55C-49DE-8463-694B71EB461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21BCAD-4C85-4CD9-A9F7-5C3F372CEA5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D94533-8E88-4842-842F-D333C9FC9BA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AC9110-9720-46FB-84CF-1FC4B5F3E8C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3984A5-F62F-4946-98D1-452B69F0285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618C40-48E8-4CB6-A5D2-15E7F929FC7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0A90CA-86B5-4A7E-B7AA-31B5A0F8CE6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29DB57-43C2-4EF3-8325-C5C9A71AB1A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6A8D91-2C5C-4327-8137-DA0BDB5FF18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F7E8E6-E34B-4DC1-8A39-407F8A8B548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C97029-C522-432D-A63C-E6A1E8B881D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6C52CE-54FB-423F-8B22-087D2A16C0B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44F1F1-C01A-4859-A60C-CC7B4087808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4FFA50-78EE-42D3-A5B5-BF65A233D22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A27434-84EF-4AB8-8A6B-E0D982F536A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88DA63-6AF4-49BE-9F9B-CA22A9BCB47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C614E6-B07E-4C00-8186-FE3063710E1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B953D6-5CE7-4F3A-B6CD-23C06B386E3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81E398-53E3-4E85-8CB0-B47110425AC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0FF673-2B12-498B-A769-CB3A9CE4655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C65CF1-76AF-415E-BB9A-A1098350B94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6EB9F9-756F-4ADE-924B-2985C4376C2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301E8C-69C2-4C73-85D8-8E7EE3294C1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350418-67FD-4656-9FF3-85F41F290CE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B9A75B-27B4-4DE2-A32F-BB0D2B99B3F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CD191D-B951-4DFA-9247-5CEEF2ACD55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A5A9C5-B937-445E-9030-F31419B9AC3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35B549-56CA-480E-83F6-26AA013BAAE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416101-3BC9-4F43-AD54-D21B4BD9E37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2DFC75-71D4-4C8F-AC7B-B954CA25654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9D169D-4318-449F-9F10-1786C9EF014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8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C71081-97F0-4A77-AD0E-B1D39351727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1ECE34-A113-494B-AF4F-CCFE335BA94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CD3C95-79D2-47EC-9C67-9C1C4BADF18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FC3CC2-7310-429B-9E9F-3E2E422709A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BDA3F7-0C06-47C8-A5BD-42905770DDB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42FFFF-9485-41FE-B1F6-F91090ED71B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0D5B5D-E9B1-4B53-9674-8891E4CADA4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8D23BE-2874-4E3E-9BF3-8D1C9667C5A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308DF2-C482-4BC6-B715-C7D282E6F02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45809E-ABE3-41A5-A79C-87498047E94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C4D865-CF62-4EBC-BFBC-F95B4742039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539B6E-4769-48D6-B6B1-A20144CC7BF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6D719D-1CB9-4A08-AF61-F5665E0FF33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A850B6-B18E-492E-A1DF-1D2505674D6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DE4A47-8F54-400D-8E29-633F95EEF07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088D56-BB79-47A2-A539-01F7D4A4DC2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868D6A-0A0B-46D1-B501-3B5C7D337EB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26E221-3ACC-4F1A-BECE-991BFB98AFA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55747F-802B-40D2-B64E-EBE52180004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EBBAB6-6A26-413C-9247-59929AD1709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133A71-4576-49D1-89BE-7E6E488A8C9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6A7D58-3B8D-4EAA-AD97-C2E9B0BE8ED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96613E-ACCF-4646-B7ED-96B2D8B373F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66F9C2-9CFC-4CDB-B04C-6A6EB063BA7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4EB5CC-15A3-4059-A7A0-6A9F43B789D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E03609-DE71-42A9-9E2D-C546B62FCF4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942ABF-48E1-47C8-90ED-16A66E06E6E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71B394-FF73-47B3-B858-749E255F6D1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B2AF43-739F-4E49-9D01-8C16BBDDFFB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761197-0EA1-4AA7-8D92-9B5E8EDD8EC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ECF77E-74E7-48DE-A31F-1F40AD0A540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4C877F-2293-4B84-BD68-B0946F2E794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116279-F3D5-4038-B2A9-0D20034E3A6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33587E-14B5-4314-8641-313FF86014F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DCBB9D-035E-4B73-B35C-5DB0423B93A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5A80E2-2627-4B7E-859F-21BBE434EE3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3AC092-1E05-4FBF-A999-72A3DF8850E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7466F8-8F96-4441-9EED-6EB07F8716C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B92B16-FBF9-4B86-9F85-6BC2A0CF5C0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320DEE-A09B-4816-8547-DB7C5E09146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B541D0-44E6-455B-AFF9-041802A4C61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349118-D447-4559-BDF0-B0C2F580CCF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3B6994-F382-4255-8252-AC789EE3CA7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A81B89-1FB9-4ED9-8F08-0D097B0E128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79EA1D-3CAB-4C80-BE13-8EE59D43C15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7A4B87-C8E7-49CA-9817-3279189536A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02FC79-A464-4B68-A72B-E6367A7B2C0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489EF1-13D8-45E7-88C8-EE785AB6A65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F82C98-615C-4653-BD90-D0456ABBBFE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508BD7-4B24-47E3-BA08-AC4C336C0CA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D4E384-49A4-4F56-98A1-AABCE140078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AE5E7E-5BE1-4911-B995-77470F10580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171C12-4A11-419E-919B-5066793AA27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F53248-09E4-451E-95D9-877B283B393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F4B430-EAFD-46C1-8979-7364B72F84F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187EE1-1198-4C3B-8C69-F95E42BED09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7B77D1-BCC2-4B30-B84A-6CAFDCA90F9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E7CDD5-3DD2-4F05-9337-4853F8C6DFB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B16A0C-8FF9-4266-A68E-CC768205658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5CEC70-23C7-4ABD-BFFF-53280C1FBA4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A1498E-C2C1-49E5-AEF9-A57C113D669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779213-68B6-4BB8-B8FF-3A38E3950BE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71707D-114F-4EB7-A089-D5EE2C70934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3C5211-2976-4473-BF98-018AA8C931B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CBD617-4CC0-4F61-97C0-6C622EFA78B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CBAADF-4BD0-4964-A0A1-E5EDF1B9D25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204129-AB26-47E8-892D-914C62D69C9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677FA5-348E-4EEB-AA4B-B63349C0620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B82456-C849-4B11-AC4D-B090F6E3AA6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8907E0-4694-428A-BAE9-C6ABEFAF0BE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426181-E3B2-41CC-8F23-F2B48E4809D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D019E8-8625-4B6C-B1EC-B4DF1089D2B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83BC64-27E7-47BA-97ED-25F605A0F3D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4329D2-ECB2-45BD-8A44-8B131CBD003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8EEE00-DF62-4999-BB44-E0ED42C2FDB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425185-1E66-4954-8E19-874741EAE3A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5DBD5A-AD17-47CF-A2C8-45EEE1CF25A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50162B-ABF2-4F74-9E3A-7A48808D38A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27D566-F86E-4D0C-9D6F-A6CFCCF3CDD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26EC11-8249-496F-8332-6D74F51299F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8A84A3-345D-47CC-B760-E1566EE7C86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03D5ED-0331-4CD3-A4B1-A590DDE0915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DBA26C-2DF2-4946-B5E8-22643BAD5EF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64D611-4A33-4AFA-9B66-FC92D565D39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031638-F78A-41D5-A1D9-1731DB10BDD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F76091-298E-4FBF-984C-D58913D8F21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677B42-784D-49C7-8754-1FCE4843807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02DFCA-6F2F-48EF-BF85-15CB2BDCC44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673704-D895-423F-8282-3DFD9586C0A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867C94-5D2C-4AC4-9048-3D488B39A92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F4E5E7-7A8C-42D7-AEE3-06F144FE807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B4398E-B38C-43DE-B2E7-9C3797478FB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A09240-1AFA-44F8-B95F-3FC7A18EB20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8FCC76-AEF9-4BD4-9F04-A4EC0494880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7BDC02-468F-4D75-897C-2E9565C27EA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63C358-F6BC-4F4A-BDF4-482EF939213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5FB7AD-6EC5-4803-974E-DFF5187C749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C17575-E4A2-4849-A7E9-BE931F4A2BB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714E59-7B0A-479C-BC74-684D7497AEF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3482E7-7B01-4736-8FDE-AD3817D8CDE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9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58F212-9806-4EEF-8041-581796CFEAC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555DD5-0DDE-4119-9FE8-AF51BD63EBF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B9757A-A2CD-400C-906B-02552B7876A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FB9D6D-A7BA-4D54-89FB-8591E5EC9AB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935633-3B00-4A7B-A2B6-848E441FC04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2C7D51-319E-4CA7-BB34-A6DFFFC53BF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F14823-4262-4BAB-86F8-36D49340F74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BF7BCD-5768-4A10-A8E4-ABD35D12328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F3758E-7DC5-4148-B5EC-346482AE2BA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7CF3A1-11F5-4B70-B9E3-9D20E57F752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97DCC5-71E9-421B-8683-CA79A0756A5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5C5038-89E0-4BB4-BE9F-1A2C4381366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86425C-7310-4B2A-954A-32E10689031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D0AEDD-2BA6-4D87-9D76-A3F7C9923FE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5DB9D0-9D9C-47CD-8742-F0071E2F6C7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5937CB-8F96-484C-8046-2B84F009824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8CA170-1DC4-43EE-A863-1155DE28D36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45107D-AA3E-454E-BA3F-EE04B4B3730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7F2A2E-5BF2-4244-953B-C0C96714DFF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89CFAC-290E-4CEA-959F-4CEA0538632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1F6E67-ED25-4A44-81B3-DC681F5A19C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8CADB5-1F8B-4F4D-A889-727B9735EB3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4A1704-CC5E-4FFF-A126-B515A2A80CC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35A167-3EE4-48EC-82DC-D4489820306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C79203-5EC4-4E87-A0F8-D18E371291D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EEAD5C-1E32-4DC9-9ED5-253767DB9C4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D4DBB8-BA01-46E2-A9BF-3B7D8EE0F3D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A77377-2449-4FDA-AC74-D38C464709D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0203A0-8B9B-43BD-8720-1C8AE8BFC09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179B8F-34A2-4D0D-AB1C-E6A2F37CCC6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78E5EA-E3D6-4E17-8F69-6E2E592F4CA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31C18A-725A-4164-BF09-843CDFD5079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6F30D9-D638-4BBE-941A-5435E5F1E65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5C9B1E-CAE9-4CBA-B738-50B65D53465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5393A1-3A82-42B5-BFB1-F6BE5A3C8A9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60C0C2-6E3B-4E3B-A673-F91DA525D14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E14F55-85FD-4CB7-9362-9A95B358A5E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49299A-C6FC-4BC5-AB9B-3FD9896388D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89B508-BE4C-4EEB-9F37-741207803D7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01AA1F-5B1A-40B6-AAF4-E878A80F914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283D85-5D8E-4813-B969-6867926C2B5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861856-DA77-4C8D-A47B-3E7EA620EFD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301A9F-6DD3-4E34-ABE7-EED95148906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B1480B-A307-4F10-91F0-DAF7C24BEA1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3A38AB-55D5-4513-B63D-7A201664264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E1C4F8-3584-43F2-AA07-265384E433F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E81D39-94EC-4E9D-947F-5F480FF8E00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529F3C-CE16-49AF-A34E-DA9F3F2D3B2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B89000-2F70-4E4C-BF6F-996038658C0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8797AB-C929-47F2-A79B-C8992746A81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352105-963A-43F4-9660-9BD29E05EE3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4B90AD-52F8-4A32-8273-ADAF1A70F53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4FF1EF-5661-4592-8C15-498AA730B9C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CCF847-35C3-4DE4-9B50-00E0E074159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DA91CE-F520-4C97-B744-C47BD8F7855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B60B9C-C107-4B0F-9035-D06B449370F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7A77D0-60F8-487A-907B-3F8D5C77889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7EBFE7-D888-4E3E-ACD9-DFA3F994A0C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0CF5BD-F587-4E3B-9EB6-E0A527D364C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8C2A55-EAFF-4C4B-87AF-66BFFA6460F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A1C0FF-EE2F-4D70-9C2C-4FEB9B45FF7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E7EC2E-C86C-4E3F-9CB1-54B58FE51C7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CD82B4-60ED-4A47-A283-E69BFF599E3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135EBE-FD16-46F9-B8C9-4FDB70A5103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CD2EF0-290E-46FD-9699-76DA6DD2CB4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4921CF-D4E2-4C80-84F8-FC6B5CD50C1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68FFB4-7C9B-46B5-9AC9-BB2BDC77230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25CA79-DB2E-48E1-A7BA-E1D3E62E66D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6744DB-029F-4255-8FA3-564627C8B31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76371D-0EA4-41C8-B91F-87AA2B4A88B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DEA33F-8547-43A0-B4E6-D6083A994F4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EBA9DA-6AF5-47D8-8AF0-B2B1130AE4E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FF6706-71F2-4807-9DAC-7BF4F9BFF4B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A47F19-AAC0-4387-96B7-D986594EC79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DE21F6-7BA6-46D4-960A-F7BACC419F8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B45CFD-8F04-425D-AFF9-001D3A7B4F3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348498-9EB1-49B3-95F4-8F2E13AFC8B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30A64F-321E-4F46-812A-636DFF52656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7D8B10-6D9F-430A-99D8-9D56E1EA824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011D6B-D802-4167-B691-565B494144E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A25F1D-AB62-41BB-A939-5BA18A55889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EDDBED-D4EA-4EC8-9907-819C63CE4F1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09B41D-24AF-43F0-8FCF-208EA187EB9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4A8FC8-5D3F-4396-981A-812DFC44346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686D17-011A-4EE9-9DD2-12EC9B9655C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581ACF-94A5-4B1C-B6D8-6B386AA64CF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97E05E-1FFC-46A9-A806-91B9BDF233A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9E41E3-F7C9-43B1-BAC0-4CD827A7AFF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938F27-45A5-4B41-A319-B15D1FB5EF7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D97ED6-6399-49A2-8D5A-563B2F4446F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DD8651-95FD-48D9-AF98-02676A9ABE8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892278-9940-404B-9C30-D9DDED561CD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48DB47-E470-4FB4-86E9-E38A9CCEE94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7683E3-7965-4E48-88C0-3326342F54E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FA7483-613E-432F-9A99-86659706037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19543F-A7F6-4AA0-ABD2-4B3E453FDAA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C13493-67E5-4FA6-A562-2DE315B6698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3BE9A0-65D6-4F15-95C2-15D71A33EC9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46E6FD-9AA5-422B-B30A-DACF9B4295F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B03B36-4A66-44A4-AB34-1D627F00CFF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0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200C98-E71A-418D-8C51-60DA40E2A41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8F1CB8-E292-45B1-9BB5-CAB01A84DA5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6834DC-95AA-4675-AF4F-46BE1F4C952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DE197A-B6B1-456E-B179-2BA70685CD7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2A6539-AE28-4BE9-A849-E24D233A8C9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104C1C-358D-43A6-9B2D-EE899D40270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096EF8-EF6A-48B1-AE07-593880C6D65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F687C6-A5B2-4381-BE21-AEE5ADFBE44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7C6ECD-6C3A-43CE-B64E-FCCF2C76FE1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EE9A69-C900-4BE0-ACAD-61EBD1086D8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A3AAFD-953A-48BF-8F11-F60E1476003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CA98D3-7F86-4E1C-AA17-10D6B5CF61A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EDDC62-E123-4838-952A-40E6D19D4E0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AA5C38-B58A-4843-BC44-89C08A4AE86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A26862-939E-4623-9284-96413DA2598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687C0B-FD49-4DB3-84F4-469476D0F4B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D933CE-9601-445C-A85B-448A8C8ED3C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4EE246-77D1-4B50-9770-67DC400C888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85754D-7019-4192-A9B8-92FA3AC3933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1C42C8-E6ED-4C93-B9B6-38AC8D99866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BCED49-1CA0-412B-B7AF-0C7A8D134F6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2D569B-F60C-4920-8E3E-DFFAD4AC8A5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46D48F-B149-45BC-B391-F69AACF8EAE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242920-018E-4A1F-A3AB-DE7673BC890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2B9095-FCF7-4821-9D21-2A5A42EA80B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E94367-75E1-473A-9C1C-01944E1C72C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B8A3B1-4262-4111-8408-0194005A6E9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DF57A6-155D-48BE-86A7-341BABDAB9B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3D2616-EAD3-47AB-B2EF-AE612325B26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18037E-6587-42CA-A674-6C535D18716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0A8C16-D036-495A-B561-FAF0D24C0B8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F68CE9-9372-4E0A-BC61-575208945BE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7421E8-0456-4A16-9224-B0C963D62AF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7191A5-8E4E-4F1F-AF8D-837D19AD05B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5C0FB7-7F05-4922-AF36-ABA7D222E3D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58FA9D-67DE-457F-A730-802033F220D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E1629F-A18D-4521-A8B7-148A4766332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8B72DA-BA03-4A7F-BBE8-F1C6792856E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4DB125-D661-4C93-A5E2-FF1BD343353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89DF9D-BAEE-45C7-B750-1558704509B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7E09C7-E5D1-4238-8A7B-E4C3DF5559F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5311B6-3E61-426A-9AFA-44ED382DD1E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342BAC-C0D2-44E9-9889-515ABE0264D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6D99E3-D3A9-4FFF-A763-E251258738F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795534-5BC2-4513-905B-8582D2CBE34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25B12D-7F74-442A-B093-B46F703B2FA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4934A9-E7C4-4EC1-AAAC-1A4BCFC1BF9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782C80-60CC-4F33-99E6-E96C5807B25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F4ED30-69C8-43E9-A089-82AFDC24B55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9E1CE0-4A23-4B76-996C-71D4E1FF010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4A7366-97CA-4134-B764-3BBFB5573A8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6493A9-C642-4F57-93D8-23101F6C0E4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BEBAD1-BA4E-46B6-830F-21F974794C7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B76EA0-3B38-402D-B2D0-5CF766B7F82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00E9FB-9BBC-4B64-B5ED-D623ADF1E27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FA73A8-2A58-4AB6-AD1F-CF2D216F529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49DEE8-E53F-4D92-9FB8-B96C3F27708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A338A4-DF63-4AB6-AD5B-E265366D3E4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AB1C83-8D37-4FAF-B11F-2DC025CFF73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1B97C5-CC49-4585-BA6E-81342A38C5B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6E8090-665F-4506-9274-6E2B13EB2B7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917854-34DA-4760-8EC2-C1F27797D69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EF12E2-FDC3-43B2-B0B9-AE4A47D6265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E598A8-BAD0-4A6F-9958-90101C1D3D8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B2FB0E-4250-40B6-A34E-24BFB22CCC9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E01AC8-F6D6-4349-93AA-314E281EADE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43513F-DEBC-42F6-9B2E-F6EE977B95C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2B0200-E951-4BEA-8EC6-E2FC3B05AB0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5A67B5-0A74-433F-B73B-8FD179E9DB0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165DE6-5473-40DD-A9CB-A5D10A744A6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A2320A-3862-428F-8A58-89D156C7912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638471-9348-4302-8F67-E7F31E5C826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16F141-6DAD-4B91-8372-AB1CE205CA9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CDADEF-A48B-47D4-B173-56A02E6AF7C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FB72D9-2DFE-4798-91C5-FCB658ED341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1447E4-0201-464C-8943-48560FFF60D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A2512A-4336-40E3-A1C2-CB98712A796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C7999E-C5FC-4DEE-B988-C4B871A3A1E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35F77A-BDAE-43BE-9A85-8C2E0146AEC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35DF1C-1AAF-4D1A-AC4D-2A0DC4AF411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73A656-256D-46F6-868F-2F329203056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93BF03-C9C3-4D68-96EB-8DF256A8652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726174-F7F1-477F-B0D6-099D030EC04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948A07-15A7-4E1C-B2D4-4EA8BA09802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718E0C-1A7C-4977-AAFE-89D8C528032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838C3D-3A39-46B9-A2F0-D16FCD0FF94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A74DA6-F7A9-48D6-BE3E-AAE8741CFF8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606C23-E490-4AC2-8E7B-97EAE940201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AF3D7C-1A3B-4021-BAD5-B775655F1CD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1A0427-CF9D-4845-A953-A33AFE45C75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0BC101-E5AE-4D33-A136-1180C0B7929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DE103F-88DE-438F-8FE6-B3AE32BBC6F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367796-2DB8-4DCA-AFE8-545AFD4626C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5E9741-80BB-4439-A386-F5732CBEFEB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3D1AA0-8020-48BE-8B94-57779CE1D33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A68F16-61E0-477C-A5BB-D8E1EB97D0E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CD4FB2-692F-4E98-BDEC-FF55FD9BFF8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CD0663-0A85-407A-B633-88DCA547DB4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5CBE5B-0CD6-429A-9BF8-55B57929701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E5AB2A-2CF5-4F81-9525-62CC1C5FFF8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1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28E1CA-8725-442E-9C69-D6D89E5F6E2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EFEBB4-A361-417F-B74B-CA05A39EF78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715146-DD42-43D7-8D6C-7CFF0F5237A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A2637C-8A3E-4B81-A156-4A5F0F7C2A1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7FCF86-873D-4756-84D2-2127C6088BA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E2EBCD-0A90-4EFA-8F28-7ADA81719AA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AEBA09-89E8-4925-8B06-DBFD9146415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7D2016-D601-4DA3-AA3C-FD792A50A6D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8A4F22-2F9A-46AE-9A8C-8D4D970B75A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D5CB0F-9020-4EFC-891D-2E31A263970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8710A5-3E79-4E8B-B2EF-A6B5384E8C4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CEF0FE-5A6A-4655-8DA5-2E7A73F979A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8F9488-DFDC-4A4D-A931-ED744A012A5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D2697A-3FD5-4284-A20D-01605083726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68AE3D-6DCC-4E3A-8332-052254B2D51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FACB7C-9B3A-494E-88C9-427FE76D20D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FB0606-7B44-4C5B-B839-F74E7E19B75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357FD2-6355-44CE-AE5C-B8B71578EB9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87BDB5-2EA4-480E-BD38-2CA38D6D8ED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BE8445-3642-4F68-BC93-F42F8AC743C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D20283-90E6-4EE7-9BE5-BD3397F7986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DD159F-56D8-43FC-8AE5-8BF9ED3B310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51D325-6AA2-475D-9217-540CF521EF6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353E47-B0F3-4E4D-BD28-B795D93ADA8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53CEB8-D7C1-4462-BD70-F339838A880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4B9A96-40E0-40DE-9DF8-2B68E0FAFEA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F26F6D-4DC1-462C-A07D-98D79B6FF02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31F903-CD31-400F-8934-BD1F451250D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8A49DE-1C7C-4607-B453-7FD29BAF31B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679EC0-E081-4822-AECA-A3C900E6CE0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7F9110-0094-4189-9E8F-7AA50CD53A7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F4D509-1B52-4A43-AB32-A6FF6513D4B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C9BB65-02DB-4229-9B23-2E393A0C411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01112B-2E98-4A34-AD53-18F765E40E1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6767FE-D719-4FF1-92F2-FB4FE3232E0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848294-0A3D-4FFA-8DDB-52F05110684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99DF49-DCC0-44F6-B160-C1CD350FD42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4B7180-44B7-4916-81E2-8EF418D7C95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28FCE7-E982-4F73-942A-62A37C8AF75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A4E343-0BDD-4793-9182-B7ACCE7807E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CDAE62-6964-4ADA-B441-AEA91FE7E11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55EA09-6954-41B5-AE7F-AAA43D0BF94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EFE8FC-8283-4EC9-9EC2-F60030D9DE7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56A470-1CCE-440B-953B-2165081E3E4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42EE81-EEA6-4FD8-8593-294D7786FB1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647176-68CE-49C8-A760-82DC061BCA1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931E84-5ECA-4D80-8316-1C1389EDF8B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62454C-55C4-411F-AA58-4D687B42FC6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A724AC-145F-4D4D-98EF-BC89C698796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A4DC16-CB31-47C9-A349-7D914803F39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58E0A5-9ED4-44F9-9FAA-16BCE9E0854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71C5F9-0849-4351-81C0-01F95D1B220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22A1D1-531C-45DB-85A5-F4B984A0736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1B788B-6B1B-45DC-90E0-D3DBDDFA641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EA7E3F-4F06-49CD-A83A-D04D3EF4844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E32EC0-34D3-4793-954E-C2DD3D2B690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B014BE-579D-49F5-AB72-CB1578223E4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4F0B1B-7321-4623-8816-9F405B81E40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5DDF1A-DCCA-4D97-A1F1-1F00608A230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1CFF82-18C4-42A8-8A9A-E3F41E7555D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B4F441-DA4B-4FE2-9418-825A467EBF7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8D9280-CFC4-4493-9884-DB5C0626C3B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DAC413-F618-4ED9-862F-1CC258F37BF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98E838-2665-4123-AF25-930C1055188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49DCBD-9CC8-4C6A-ADB9-0A9F5FD1A99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C45240-C474-4B79-8FF0-7F9BFD48684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680AA1-0BF5-45FF-97FF-DBAB31EDCD5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8131DD-3751-42C3-A65A-669FBF04396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98956C-50A8-418A-A239-A680F4AB76B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62DF07-3124-42D0-8D57-6A01B2C732C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594C90-14B1-4B6C-A39A-53CB1C41232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15131F-E692-4E90-966F-B9B36F02D36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C405BD-9E5B-43B7-9FF3-267786BAF69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0297E7-800A-45C8-856D-841F0C8BD34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BDF14A-523A-4C4C-8868-669B207F3E3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5CE3B0-6B24-4E61-82D0-98C4AB84B79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8D39CA-73F1-49B3-836E-F8F2855B514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A68F82-2A25-456C-837D-E392FF3D134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EE5FBC-EBB1-4A1C-ACD5-86388A0A1EE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524C27-AACF-47D7-87F3-31B4C903087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6E4FDE-1C35-4FAF-A8A9-6D3D38665B2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4FDB8E-6939-4031-B288-4BBD19C7FA1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AA9843-047D-4709-BABA-12447685A15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798F48-DBDE-4E45-9169-A202FBFFB94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09909D-87E0-45C7-B784-CE45F33250C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84A603-9749-4CED-8C28-73476FBD833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8B7F52-0906-411B-B9AF-705A4DA4B3E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F96B89-6646-4A0A-A062-AA5BFEB97BD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4597CD-17F5-4103-AA03-16D6FED42A4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61B5CB-863A-4068-AB85-1956074FC14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F5C5B9-8A3D-4007-9726-61C5B344FA0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4539BC-BEB3-41D6-9B03-59A7496072A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43806F-3F76-4964-B701-FD2FA6B1C2B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D0EF1A-908F-4C06-9315-FBE4DAE4D6A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A37D04-F22D-46FC-8BC4-96C5F533731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3ECC04-65EB-4452-A703-6E34B928527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1CE166-2896-4AB9-8E7D-F86BD3F775D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2B2E78-BF1D-4258-BDED-4E6E04380BA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04EBA0-8777-4D5F-AB30-20D02A013DD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281B59-248E-4C7E-9C37-13010FB4F0A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2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781DFD-6B41-4B99-95DD-07F33808D0C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16A24D-6878-4EEB-8615-BF3B1473E4A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8C6D92-B1DD-422B-B43C-20DC640CEA2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9CE37D-FF2B-422A-B807-785E4EC4DE6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2ED8A3-8D1F-47D0-9EFC-6347B6D8128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DA6511-AAA9-4073-982F-42CC174B663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46318A-92EB-4B65-A63D-886931EF5D6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CEEBDC-187D-4A31-AA9F-5ABAEB47348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95DC98-0606-4472-9A4C-28254F5FD35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1D814F-34CD-4F88-A049-13C4617FC90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67BF9D-EF9E-456E-A80A-114B3671420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105CC5-459E-431B-886D-A08E37E95BF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98931D-5D45-4BAC-919E-81430DF8A5F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145E54-0D08-4F1A-8EF4-A940587CBAD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7144C4-DB6D-4AC3-A594-5B456BC1913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1E1BFB-14CA-4ABE-A483-D30D43367A8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F2B562-5F01-43D0-863C-37FFB2DA9AB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24994A-3E49-4184-8933-7FA66B8EB29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335538-3DDC-4BAE-AA24-FCEFE63882C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FF80F6-CA53-48EA-A324-F991405E95E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94E234-E35C-4C8E-8F50-AF1CB021619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A741E6-60C0-4043-A3F5-6643F566CF5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74B3E2-ADB5-4C6B-B485-55191F2E0A8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A0EF74-035C-4A69-8106-AB7291511BE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940AA0-0233-42E2-AC0D-BA24CB06294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FC9A91-D836-4D03-AFE4-EBFCB1C6CD3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2F43FA-62DA-4BA3-97E8-F52779B9600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289F63-5342-4DDF-8002-28A93520145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9108D5-BD61-4533-9CCE-5F93E4DC8AC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FD962A-A420-4DAF-9EBC-C0ECB817629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CBADB6-365E-43EE-A4B4-EBEE90918EE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BFEEC4-8EA3-4033-9EC4-DB996A56F0A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62CADF-9244-4F89-9676-A2D3DCF264C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7D6F6E-652D-4F00-AF8B-D17F7B2B2FB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56183E-44C0-4807-AB48-0D53E04353F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478A49-84D3-4727-9C6D-8882D76361D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0A37D2-9971-41BB-B4B2-EF4DDE9EF90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64A696-0593-4C22-804B-E9D16FFFF38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98AF7C-BC4A-4A5E-ACE7-8A3618E101A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7F00DE-F17D-4819-A632-7E642B05F0A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1B8D29-BE3F-47AD-B82B-7AB70B5BACA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70D3E4-9786-439B-86B8-CD9D007938A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9664E6-1B52-43A4-B733-8C29638A094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486CC9-FA0B-41F2-8D80-A011E6F1CB6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01DDA5-12C6-43E1-A018-03C2BC30C69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285BBE-CF59-41F2-B957-9A203C80F89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F97443-C832-4FD0-9197-C976633B3E3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F6609E-5312-483A-9A7A-99746B036A9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1E5B04-6206-4C7B-908C-282130876EB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8CB0B0-257C-4CBC-B15D-DD41351DF36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34F406-A184-4BF2-9E64-A35E0E249BA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C734D0-8EAF-4CF6-9119-B71D303E308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65D177-A33A-4E7F-979D-9A384572F20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ABEFA2-21DE-4289-AE2C-76B0426438E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E19B3D-EFF0-488A-AEBE-F64939A2083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988CE9-84E4-4D80-B4A6-40930658A8F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750565-2B6D-493D-8223-98B70C49B05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4E759E-8AE4-47C4-9BFE-BE005E94C60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E2D0BB-5E80-4448-8F8A-890F9133CA1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31F122-1D70-4088-BDB1-9ADE927EA4D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7C7947-851D-44EA-8696-51ABA94B6E2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4184AA-61DA-435C-BF1B-8794237E4E6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3672B7-515B-4A38-9954-8DDB2E33845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25C212-B616-42B4-9103-91DED7E21CF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10B6C1-2243-4F42-B15B-1DEAD349768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5F2FD9-0A59-4B23-856C-C8D6D13892D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20D052-89EA-41C1-A59E-D9336D3F419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182A90-D180-401A-B8D9-464E47EB5B6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9B1344-10CF-4650-8A25-0F98D63393D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378179-1386-433A-98B2-9BCADE64B40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6684CE-9CD1-4DCA-9CC2-56CB618480A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3648CA-89FA-468B-8AAE-663D1219E6B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FD4226-DA49-4A79-95FC-45DF000EE8A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D99AF3-3172-4098-A5E7-AFAB05325D8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754439-DC42-420F-9B01-5C264F2DDB9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64E686-9851-4EE1-89D0-477F72F5CC0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210934-41D6-48C6-BBED-5E05FC1BA75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3814E0-ABED-4464-8BBF-8CA84A34A28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6D4CC3-E6E7-4D35-8F42-041D349E33D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D086FD-06AC-4599-B9C2-1CD8596E6FB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23C133-D922-4AD1-BA6A-5F387758E78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10FFA4-DF12-42A1-8174-DEDC815D315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290D28-FB5C-4254-84E9-FA899FB6A66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F5C53B-A3BA-42A8-9261-15D5ACADDCA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DD32FB-230B-4E51-82B2-FC7F60E8A81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897B5C-BB92-4A76-B218-4509F21376C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F73399-F6A2-4566-9295-EB0AE64AAB2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88CE0D-754C-4BF4-8F75-E1A95148A22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007F69-FFE4-4859-99B4-7FF3608A9AD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B09DCB-A8F7-4278-BE4E-19E213A9C57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4C4E12-2F67-4AEF-8850-3ACCC3A2A18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B95229-7186-4509-AB3C-7A2C9B1C172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A468D1-8DA1-494E-87A9-B8949A4FF4D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AC84DD-C33F-4B19-B626-AA5C30EB25A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532DE7-26FF-4ED5-9D6C-B0ADB6591E6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6A8C32-B820-4579-A46F-895A73DBE28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B25A55-C917-4971-9804-56E58E271C4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B31DDD-EA7F-4BF8-A62F-CE2A8F281D4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9BBD31-96DD-417B-8396-7CAEFF38359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6FFE67-2596-4895-8E5B-31616494095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3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017181-B47B-4F44-ADCC-3DC1AC2A2FA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4BF070-44C0-4C15-8000-0BEBC5A5278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668B66-0152-4E45-B075-0F8686AA65E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EB2F74-5EB3-4129-96CB-5A6131D842F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A97A47-7B9F-4615-8B9D-3B70E8CDC53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A9E51B-5189-4F0E-892C-613A27C69AD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225EC0-D821-4B15-BB2F-3832F2098A8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22D834-1337-41D5-8ADE-1466437FAAD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EEB50C-B627-4144-9BB5-D94C53A6C35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17A761-36CA-4D4E-B5BF-4C2C2936FB3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973112-AA6F-4FBE-AA0A-6C3830892F2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3097E0-4BEF-46B4-971F-892FD513B3E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7CA9EB-70C6-4ECD-8E61-897FA901DA3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B22C33-862B-4ADD-8A71-72CAE15BA41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A1AD61-FB37-4C51-BDE1-D8801CC1AEB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20C18F-513D-47DE-927E-E00421B5CC9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B01253-1991-4928-9E2E-2EEBFB7026F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D35A01-51FA-4DD9-BE61-79B6996289A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CCB0FF-8DE9-4789-89D0-383E068B80D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A00293-CC08-4F1E-B051-F730CCFBCFF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2696E5-4A35-4CB2-B1C0-A2CD5E823CE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13E922-91ED-4373-87C2-C6F359042D2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10C069-582B-4112-978E-CE274E452C7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2E93FC-BDC5-4F2D-96A5-72AC6004D2B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44728A-D439-4888-925A-AA0D799045B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79CD5D-395D-4147-A383-CAF3F61C1EF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9B3B33-B744-415A-9BF8-83B2C6B1851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79D420-D15C-4838-AF10-AE3C6B865F2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E2C764-13D2-4D37-8C05-4BF635060C2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31CBB9-0EE8-4220-ABE7-E5127B6936B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B269B0-1431-4FAD-AA75-02C0329ECC9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743F35-83A0-488B-9D63-C49042D011A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434CD6-30E8-4A5D-A2E7-2D2EBEC3830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1F7A39-A211-44EB-A640-A8182C334AE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08BBF7-8F35-4828-85C0-C501A508AB3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D501CE-5148-4CF4-BF12-AF10A6C77CE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33258A-FAC4-40B5-9192-A1762228961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268833-87F7-4338-AB2A-9F393D8A7FD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AC13D8-3308-4253-8FA2-E77CCFA55D5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68054D-4402-48FE-B69C-0D1633A3345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462126-F0E2-499D-8070-CEA6DCB6D6C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6CDB28-F0B5-4EBC-87BB-D1723031991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6C087A-FD2A-4807-8038-546113569FF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B31469-C069-419F-BE57-DB281CB887F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AEF7CC-BC4B-4BED-80A6-7432FC3090B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08C190-E284-4157-92DA-EED426C4A4B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1FDC7C-B196-4B29-9363-1EA0C8E1980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E0DF38-52F3-42E9-95A2-AEFE6E217A5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B8CDB0-B11E-4AB3-B011-09C606A26B2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8A6909-285E-40A5-9835-EEE938A018D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E4C188-AFC2-4C93-A243-9DF24A926BD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E8E85F-9FC4-4DD9-8BC7-E9E5EA5B1C0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A4A3D7-1146-4AF6-93CE-3A834A2175B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EE71F7-A221-4AEA-9333-7255B431969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0CA4DB-22B9-48A1-8C2C-9A5193FD3E3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D9438E-3210-4D8A-84F6-99D7536B9ED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9D68AE-646B-4E1F-8F1D-B5397CBFE99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63089C-9553-48CC-8B8F-6DC5D392240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5EB9F6-B5F0-4256-8152-3EBFB519ADF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DFDE25-8A78-4B7D-AD48-9B2EF0BDDFE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71966D-9655-4526-A30F-E3E4352A0E7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BCD862-F04B-4B0B-B6C0-13C086893C6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8147A9-1A06-454A-BED9-21C53A1D289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B812B4-E161-45D2-BA18-BE185C80219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F0F489-FECD-42D7-B4A9-8F8C51C7165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6876A1-3D91-4DC1-996B-913E2BF4410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DE6D4C-0BA9-4786-A3B7-98E07716829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4A895E-0414-4143-9466-750A56FEC62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FB8665-1F7B-4753-A332-AE47961382B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D45222-F5A4-486F-9E4A-8B26BFCFA48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68840C-87E4-463E-B989-BB08FE824ED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E6410E-5242-4153-BF57-CD803B2A825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DB92FC-72FF-4BB8-893B-567282276E1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EE8CC6-55E8-48C0-847A-0915AD23A89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17D247-B7D4-46E0-A21F-A03B5F4FC97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42A494-A514-4BBD-8F85-C00E14C9E05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892EA6-835B-46E9-A575-C08D0A8C2AC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64EF54-E35A-430A-BBE7-AFB842F4610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6154D4-76E9-402C-B863-87EE51ADA85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E8C017-B6CA-4D0F-8E52-5AF050D9B1D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18C778-2C76-4820-BCA1-9919F46D1BE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B5BB2A-D7CB-45BC-BE27-DCFCEC83707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00F125-6BEA-4BC9-9253-4C7EDD28EF1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A71E93-953C-4AF6-95C8-2D2C90839E1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87994D-D2FE-4350-88C0-26C5B3822A0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F4853B-BF07-4480-87E5-A7141F64EF5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D2EA43-6253-45D1-8BC0-E73C09E5F0A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009108-C17B-4FB2-B588-31B61BA7395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01093A-1288-4639-BB79-4CE518C8E6E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CB9AF4-A9C5-47EE-945A-FA8EDFDDC01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608181-93A6-4600-84F7-2868DF3E638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4CFA78-ABA1-4103-9E94-C05596039EA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F205B8-6C2A-4446-BEDD-53078D94D0D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57B2C3-CD2F-4276-BCBC-C390AF1491E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B83DD0-7EF7-40EC-9349-781C2FE5E82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67AA40-8B59-4E52-B2C0-427C333F8BF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F2EB6E-62A4-41D2-A961-A60495FBEB3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FE1F13-32A9-49E0-A8CC-771D4BAC133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14A555-508D-46B4-9D32-358AAF625AE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F9975F-DAAF-488A-ABD1-4D94AB0A5F7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4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1ECC4D-347B-4A77-BDAA-3455427BA41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4F6BBE-328D-4BF4-BFCB-059DFBDA35F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BE44B3-61C3-496C-A181-F8ADF23B202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CD64FB-3149-40D5-A106-8DCA83ED257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DC7443-4E92-4BD8-A6FF-4B292F008A2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9CC028-13AB-4487-919F-0B54EDBEC63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C565EC-FD06-4B26-9015-74824FBB2A7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FDBAD3-397B-48E1-8513-2FADB6AB4FB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C8F3A8-E087-41BE-978E-7F679A8D494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9A7E39-BF2E-4D1D-B4A5-B0CD64A86E1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3030E7-DBD1-4560-B248-D71F4E4C171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8B548B-C958-4336-A582-B6C54C53B81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D2069D-18EB-413E-8B85-52917ECF80F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C5D7E8-D3EF-424B-B434-0520D639AD5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856A82-1E15-4A6D-B9D7-FE1E941BE2B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2C85A0-650A-4FCE-8F41-A259FEC9592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B8EC56-56FC-4256-8BAB-8A2C21B8C79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51F33F-89B5-4721-8E07-9BB9AB25BD8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7A2CCE-DF22-4634-A351-0736779D264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B6A295-2F76-4990-85A6-5C2A551531F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4E6E74-2EE8-4FAD-BBB4-7C5DCF197D6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AC1B7A-94F9-4CA6-91EC-9FC826F34EA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17537B-CB59-4968-8E72-670DE723DEB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DCA653-F496-400F-A7B6-E5DA44B0403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83EA45-F4EB-4135-8601-2FDC777387A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789984-CF34-4DB5-A85A-41582AA5D03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3BAD5C-3D78-4DD1-B102-2E329526A6C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A515D2-1301-4903-AFA1-C92725D2DCC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E17D72-C5AC-423C-8CD7-39B38659216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39740C-D3FF-445E-B000-BA9322E85C8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EC9ABA-4248-4F33-9ADA-8C51923DE10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B52BC1-68D4-44AC-BA52-2312C2C2745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C0B028-24BC-4CE5-B63A-962EB3E7F53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B33C0B-C0FB-41AA-8D54-355AE694F5B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3158E1-DA00-4E21-8589-037BCFE4AB5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6CFBD5-5170-4265-A384-CF64147A1F3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B52DDD-A008-4339-BCA0-972F92DC775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9C16AE-2520-4792-B95D-58A0FE27561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F43AB1-96AD-43E7-876F-6554372586F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B32C63-5EAF-4FF7-B90A-6BF9D8CC71F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FF5292-E474-4F5E-A6C9-FC961B7CE4E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EDFDC8-AFF3-4206-BAD2-4D73AC1D643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A8AD87-A57E-4A4F-BD5C-4A86BEFCC54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1EBD99-939B-474C-876A-B08C684B005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49B4AB-840B-46BA-9908-E50A9BC9255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EE382C-1B27-4DA7-A915-C1EB4C6B032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043A5C-131A-4EBB-A63B-EA2823DA8A3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BFBD48-91F3-475B-85C8-C46BA307EA0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75660A-6FA2-45E5-9DB4-07E9E349E31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A79B84-C832-454F-8361-A0AF9EE2D8A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0BCD53-833D-43E3-B9D7-382442F1280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E4E520-D305-4026-BFBF-70A319F0F36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099402-8D93-4F2A-BA90-0E805543731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4B650A-9431-42F0-83AB-D1D916551F9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5DA8A7-8A03-4DE8-B010-994D416F040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C626D1-6059-4AB9-9945-AE8EB3804DA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0881F8-85CA-4DB9-B97C-B659324B561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27B137-595B-4E34-8971-AC616CB5AB4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7DF1BC-5419-41D7-BBA5-4C583561294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78145A-A8FA-48BB-B106-0CBADC6B65A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0D7577-C642-43C9-BC8B-1305F96B90B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AC9DE7-C64E-4A76-AC94-27B42D05854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2900D5-1C20-4747-B8DA-B49872D4D66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47CF84-FC69-43C9-AE7D-65571AB2959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22228F-6677-4B4D-9BD4-79F33AD2E4E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D8CA0A-D2B0-4310-A27E-D86D5C372A8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B19E99-C6FE-4C26-8D08-66AAAF485F7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31E0AB-C931-47FE-87A4-8D1C22F4DCD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93B818-98D8-42BE-94FF-F940A3BFB68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E24100-5E34-4B18-ABE9-87F60C23CF0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AC9A4A-2090-45C4-9A53-CA4A90015C8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B795F7-300C-4560-A5BD-5BA34A65CB3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8AC0C3-3391-42AA-9855-D0F69C7F0CC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C518D3-DBAC-410F-AF09-47EC8B82F32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BD10A6-42BE-47BE-A723-8331CA04E4F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F19365-87D2-40CE-86D6-4052CE2CC40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5A909C-EF7F-45A5-A208-C0F1EDDAC60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BA0854-1EE7-4E3A-B87F-3A6414746C7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3FB927-20FC-401A-AF1B-D9A410399FC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00E358-36B4-4438-95F7-5EE7C60BE41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A3694F-37FB-49FB-9A53-600DEDC582B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5B4F79-2A17-4FC6-9835-B6A47F0FFD5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C7E182-7F60-4680-986D-BF0351E59AF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9C9F3B-0CD7-4133-B170-5F9C7FC40E3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23FAEC-8F2A-42DD-AE86-D6FDCE91F34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EC9D7E-07AC-43A9-A5B2-A7142172DF5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9A18E5-7E08-4A59-8907-F2FBE257B62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578E5C-76DD-48AD-8FC9-088AFB5DE60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FF7150-A4EC-44AB-AB2F-1317190609F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45664A-D126-40D1-8E7A-1B76311CEC2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CA322B-329E-41D6-9E69-95D98941CDE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F0CE91-DE58-404F-BA6C-1BA78E1DDCA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DF03C6-7867-4064-B3A5-B4DC600741D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7FC321-766C-4F02-BED3-016FEF35AB5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F0F508-B850-4A32-A20F-53FB64104CF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E9EF7D-EABF-49BA-AA92-FE5CF70085E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0833B2-A429-4AB0-985D-D5F038AB69E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6411EF-D685-4549-8BA7-A9A72B5D03C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E34FD4-8FF9-46D7-AC60-D7C089F9E82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4B26EE-F707-475C-BC35-080A71751EF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5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F680DF-50DC-4F18-8CE6-2FF91A187BF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A3AEA2-BD6A-4DA6-8F46-C9BECEE1181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246755-6BB2-4379-906E-D80787A545B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5838F1-9BF5-45B2-B819-C86E01EE9A3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E33E0F-7800-4EB4-86EA-40BA2CD5F31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A450C6-0ED5-4267-A40F-822C7DDA46B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1216B2-8DBA-4140-BCCE-B8315438ACF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159197-7414-446E-ADEA-F35C8EA6553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C7062A-3729-4D0F-8B11-972DFB1C2D1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A4151D-9AF9-4F60-BBE9-3CA930C946F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9C596C-E108-4125-B5E4-38321FC43D9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0E8BB4-C60C-4BD9-A05D-8E1680496A3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A6C3FC-76CD-431A-AB49-5D26A88D9A3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F3079F-F411-4DC7-AD4F-4AEAC00C01C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080305-40AD-48D6-92ED-8E8FF3BF608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49B3A4-E6FB-4A72-8AF7-6FBAF9D447E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F9A7AD-9820-4355-9FD0-1471D47CB38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6EFF19-5010-4D08-B594-95B5BEB209A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BD4A2A-A9D8-4D62-9E35-A4D1EF9C717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D915E5-5776-4CE2-8C53-FF62DA1DCB0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E8CB07-C133-4F40-A0F6-82E28F840FB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B984B4-D8CE-47BC-B1D3-C3C60F31843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0615FE-77B2-47E1-B31A-D368CF3C5CA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6D7E67-0922-47EB-A853-72BAA931217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5C1CAC-10D4-4A4D-A962-9CA9DEA59CB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F1B3D7-B012-4F41-9ABD-D49204DA628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802646-94F2-4527-95E0-0AC659E38BE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AE493D-376C-407D-9915-F4C72728D9C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35E1B4-A66F-4F4E-AEE3-5AF7836813E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75B07B-B02D-48F2-ACD9-26FAB18F9EA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1F6E6F-E4AB-4B4F-B03E-2C4A5EFAA51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DE64AA-5819-476F-A7CD-B85B42BE89E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DE7CF0-0692-4B8D-81F4-021A9394480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026726-FB8E-4DDC-BB73-4E61F5FEF01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3EFF96-5B6D-4E8B-B0C6-0B1A02728BB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0CEE1F-BBE2-4CDE-A200-36F2E8CB2D2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CC2260-3009-421B-B267-E164D742550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ACE3DE-6058-48A3-9403-1ACD54B5A84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79DB1C-15D4-4BF3-9D23-AF850FCF0AC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0D8151-7CE0-45BA-99AD-F286DFE5047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8A5521-36F4-472B-80B0-9B05DC1EB2F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C2FB8C-80D0-4BCB-9529-8D7A116BC94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DA5624-F69E-4D30-BCBF-F7870A3CF50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94C8E1-C029-4E16-8AB3-E14DC9F08EE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1EB161-EA11-4CF1-9501-8E18A6F120F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943455-7F21-4EED-ABEE-ECE7AD3A2CC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656154-CD69-4DC3-8204-2E3EADEA0B1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4D7C21-EF5C-44B3-932D-A34CE845F88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4E6075-8454-46A6-9027-DD9E450196B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7859C0-4AAC-42CF-8081-9A78A2EFFBA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52E4D1-C359-496B-AF1A-B046A7F5D85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1A1BB6-EEA0-44A4-BB68-E0E6E09768C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3A0961-017D-43A6-8D0A-7EAF09F24AE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61A99B-E8E9-4786-BEB6-FED37EB77CB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307E9C-84C0-4E19-9EFF-1B49547A9E2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8496BD-34FA-483F-934B-04CB44DDC31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6E9147-38CB-4369-B81A-131EDEB01EE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0B3A4F-3411-4B15-B731-952FF9858CE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5DC660-DF4B-4F37-BFE3-DA91D6D4922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0CEE6B-F949-4E73-AB88-45ADDF41E0D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2E5243-438C-43CD-A58B-9133D87F7F4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F8FFF8-F93D-4805-9232-261F92FEAC1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1FEEA1-A586-4260-8D03-8441FF7548E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756192-1C67-420D-BD08-88C09C4191E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8E1E98-32FD-4F27-B296-698350B35B8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3F3352-2FD6-42D6-92C5-54465DFA3F1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CC641D-5BEC-40EE-AE83-D9B1473C378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774B8A-75C3-441E-A5BF-EE56050D349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1BF843-5A35-49A7-9307-D224AB7F07E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1925EF-F653-4DA6-9ABE-AE7FA0EEB2E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2912EE-165B-4FBF-8C86-ADA5D72F761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46ED1A-2A37-4B0F-86B7-1F1C49FB556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0C4B81-BE49-4DB0-AEA1-6244D99A9A4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517178-13AC-4DBC-AD7D-4C2BD0D9CA7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5528DB-DFCE-40B4-BB80-4C9E10ED8C5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C92D9B-EF66-4D0C-9CBD-CF95AE20EB3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DB5067-1B43-48BB-AD9C-6003DBA6548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C2367F-9B38-44EA-B98D-A57B4AB5929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A355B6-A4A9-47ED-84C3-C28D2ED06DB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E87E2B-A34C-401B-9A64-1B5F79C73A9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AF7465-4D8F-4490-9293-D7A3FD0E343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B9F011-A1EA-4FA3-BD60-3208F5836BF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2C6EC1-043C-4D20-8735-D04EB943607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46B5EB-B696-4FC3-97AB-A39785D56DB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563EE7-CC69-4762-A9D5-D75FAA559B7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4AB98F-1635-4AF9-AF19-C9C15C21A64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FA2764-547B-440D-A4C7-17022019589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9FAE38-6AE2-4C70-9025-C9EAD88324B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6A68F0-76B4-427C-A5DC-DB5236179A9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01D200-9664-4D3C-B81D-70F90BFA9BC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AE7786-252F-4266-9D3C-17CC1B58236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1E5C55-D88F-4F81-BB99-A127EED8913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6C1C0C-7210-459B-A35C-09CF2F95AEC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D84942-B21D-402C-9746-0BC8C671713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629298-6D84-4B0F-8864-85316C4A65F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70FD86-7C21-4510-AA76-333B7994D2E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936C71-9C68-4C87-AA90-7FF8A1325BE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69FF16-0661-4348-A0F2-81AF19FEC45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4542D7-D4BB-4B50-9E8C-056CE94083E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FDB93D-AC16-4239-AB61-599B55AF5A7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6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43EC7D-047B-4058-BA49-100E2E2DC92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B87056-7EEA-4219-993B-3FB34C298FE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0A45B0-A0D4-4758-BE76-C112A67D13B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BD6EE4-2A1C-427E-B312-B80B3B3DA8B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0F4092-2286-42CB-945C-06BC6788AAC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5013EA-084B-4ED5-8A95-0B2051D0172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515046-7F59-4959-B78A-20E9FBA9468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E5ECC2-C289-44C9-8E55-7801D8A68F5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E2BC94-954D-46C9-AECE-DD9DAF15181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556068-6B1D-4AE3-88CE-44BFFCF425D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43553D-722E-45A2-8C7D-62DFF8B8D7F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7A6771-EEFD-467C-B1CC-3BB53061B9F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6973FC-5154-4E3D-88ED-2651C579022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05303B-BF41-44E5-A1EB-2C547D2FD41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E82857-51F3-4B2A-B69F-07DB21D1E19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23BDFB-8330-4384-A3D2-473C7751AD3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9029CC-0950-4D20-B47F-E9F22D3C507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BD11A7-00F5-44C2-9D86-567825A0AE0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035A02-D8CB-4906-8848-493E51ED282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4EEC23-63DF-40B1-A83F-97C55963EE4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0765F7-B55E-4EEF-B709-F32C0D32309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4507C4-C4D6-4155-8BE6-5DCBD69EAC4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EBD09D-4FB6-457E-B00F-6B369557BCA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B3C2D8-2D72-4D3A-A467-F5EC063AE90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C0A5E4-F11E-45FD-98E6-F09445F40B8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F44667-7A73-4BAD-9400-69C35FD6504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F6E9E6-09E9-4F34-B5D8-3B646FB04AB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83FD07-CD9C-4FC0-A5D3-F0E7657189B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527B3B-6A5D-452C-B7E2-E7A0341B3E0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A34364-B99B-417A-98B3-86DF130FB16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335B2F-FB4B-4E00-BC78-6A19317C912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001AC7-43F2-4972-9475-F3C8C3A031E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300CA2-1980-4507-BE12-CDC250B5ABB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0AABE9-E4A2-4256-8538-3012E0BF35D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C89353-B63B-477F-BA00-4B1E62E4E27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6E1A48-0A42-4A3D-9DE2-B149274E49B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D064C8-DF63-4400-A70F-30AE71AD67E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53B739-E0EF-4BAE-9962-901D3E7BDF5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078D71-A745-4015-ACB4-FF1F7D86B67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5135AD-B5A9-4BE5-95B0-7D7D45D3D20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1D6C45-B211-4D0A-9C09-2401ACFCCC1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372A88-418E-4641-A5A9-9ECABA2A1C1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1F452F-0401-4AEA-A9D1-5D340C59121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084975-447F-4A55-B59B-7EF8A29C39F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4C0F4C-D23D-4668-B897-CA0CFF78F45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236CF1-FC80-447E-8DE7-3AD0877F7C8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DC59B6-14F2-4AD6-8FEA-ABB04391182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142EF1-27E3-4F9E-896B-E8CC47FC702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14D1D4-7F14-4AE9-B66F-E478EE591AE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30EE9E-5FD7-45FA-B8E1-4AD1DBF7FA8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A2BE3B-728C-4F0F-9A6D-8A4C4F332AD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A264CD-C0A0-418B-BA9D-B1DF58F9601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043768-BF42-440C-807D-FBEBD0CBABA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F47D3A-A6A5-4125-ACF6-AD12D582D5D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972B14-75C1-4B08-B4EE-3187A2890CB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65D533-B026-4E85-A96B-B447095B899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D8AB69-0BF9-4621-A92D-36B80084C17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D24BCE-7CEE-4602-9672-07561D5073E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A7EFA0-06B8-4195-9BC7-937F0B4CCD9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30C0B8-9153-4360-A26D-D9136330104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BCB6B1-B29D-4CF7-BE1D-7E0290972D7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1C25CA-4A51-4C07-9777-8AC011A322C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968165-366D-4FFA-B206-D8046C66D6B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EB1C37-D854-48D7-B5ED-2CB459CFA39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2B3A66-8D2F-451D-AAD6-ED24EEA05D5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0D91F6-C8B5-48E8-9D05-8E135DADDD1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24F4B7-6B0E-4B47-8AE9-896C488699A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9D4A21-4884-4141-B679-9961DBA986D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EA77D2-26DA-470B-BD34-AB40ADA3F55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C3788F-D1A3-4D3C-9F00-47C4E101002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B90857-4162-4B9F-AE73-514E3232643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D1F11E-8398-4A5D-A836-2211EB8F3DA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D56656-4E72-429B-8AAB-1F499A0D03B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A85C35-47E0-429E-8ADC-17C0EF0A3BC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E09F11-3521-40FA-8CA6-135205AEC61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8CA0DB-E590-4C7A-BB24-7D1D5B27B4C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7C3875-DDF6-4233-9FC4-EC27DB78094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D525D8-F57F-45B6-B56A-DE21D308A5D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FB047D-A544-40B1-BC37-CC37286537D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E12D9A-78E5-4AE6-B038-5317637E336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8C3E85-45B1-4BF3-911F-560E4309EC5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3D26C8-34C0-4BDB-9ACD-EE417068429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02649F-08C6-4E35-A226-14C50809B96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00E9BE-72D7-42C7-B324-9C6CC4F19CD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329C7B-541A-4AEC-B17C-E03FE44208E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754E2D-0346-429E-A1DF-53249088696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730D8A-63DD-43CC-8BD8-00F7912ED50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996293-17E6-4596-BE2B-20ADA9056B9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606FD9-86DB-48CD-A013-0B14D8D2EBD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A4966F-6372-411D-AF01-5BBC3CC71BE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097390-AA6A-4915-8F72-2C932A0F553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521396-BFDC-49C3-9801-5AC14CC7416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0E97E5-166A-4167-8062-C8BC369C18E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8CA8DE-F96C-4CEE-B791-F6E3CECB84B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8FA812-4FF7-4684-854D-F4CD1ADB8F2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075FB4-F114-4999-91A0-836F825D59E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52EE14-C9F5-4232-9100-43327AE6EC0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189CA7-BBD2-4D86-95B0-D5485F23493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AAD8B0-0765-4BBC-A623-3B7E9D57485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89156C-20EE-4498-93C8-82D577DAE96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7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E18886-A5FF-4D65-925E-CAEEED326BE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037C2F-D14B-43C4-9E99-6CB50C81500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BFB99D-C3D8-4F15-A97F-17A4492FAFD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C48C4F-08BA-4DE7-996F-C8996CF517C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EFCC9D-FBE5-4297-ADEE-3E20572604A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121C45-8B41-4E4A-8597-0110567C7AB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8517EF-56F6-43DD-9C65-E02934D50EB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D2395A-A245-498B-8AA2-A91A3236556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5E605E-DA03-4836-B247-AA6B2FF7D03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34ADA7-ABA9-4E15-A9DB-B45588ED8F2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33048A-D8B7-4EBF-8298-C7FE716C3D1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D69619-D626-400E-BE83-EFCD13F9BF9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6C566A-227B-416A-AE23-29F2F1E9463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F70504-0E52-485D-8186-F9DC8FE83E9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2F48F4-0AE1-42F7-9D5B-C5479B6AD36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FD087F-B268-432E-BAD0-C936CA2A6FF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E55F74-FB24-4F92-84DF-5828340BAF4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A952DA-EAEF-46C9-B5BC-D8E56EDA058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EA24EA-A6F4-4A9C-B52E-2AA1486EE44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5974D2-C55C-4931-8B2C-7E77BFAD489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241030-FAED-4D39-8FF3-44895F43A5B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D03C4C-E9FA-4DD4-95DD-ACB9C70B13B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4C92D4-9EE0-4ED0-8680-E807361426D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1858D3-5F26-452C-93E1-A0D9DEF5C10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CAE38F-364C-4D58-B30D-44677F6263F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C5C634-C95F-4729-8347-0988EA330D3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1ADFD5-5C5B-44DF-881E-5B1F706DF87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292FF3-D068-410B-AE7A-74A2789E769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C60890-F1C9-48C9-BA57-2773C17E12F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7DDFE6-5522-49C4-A12E-5283BF107C5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CC9B75-8E49-4C52-80BD-DB8C8E1842B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1718DE-723E-4617-ABEC-CB5B85D81D0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98FF37-813F-4F13-A408-D48864232BC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7AB9AB-8488-4174-86B7-B8798ACE460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03E03C-AEFE-476F-9B1C-7D5F61E70FA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2219F8-111C-40B7-914F-F3CE6CABABE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163376-E396-4ED3-B15F-97E4E5046BF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4A9FBD-B6A9-481F-9B29-219984177E7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E9FAB5-D8C6-4A7E-BA94-A11F5C975A8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6CA587-8DE1-493E-B033-2741B31808F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8F1942-8627-4615-8303-915E38F475E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19D568-B05D-43DE-BDB0-F8FC2A09A21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404257-28FD-4A67-91D4-0D5E4B75910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5DE358-8D83-420D-912D-8CCB147C86A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A40AA9-43A7-4DD1-B86E-CE5F83B2CD8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444C67-C640-4F57-8001-2B7EEF65B3E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A8BF98-F7BC-4E51-94D1-333FEE879D7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CF1ED0-70D2-4030-AFF7-FBE834AAEBE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A6AF57-5B1C-4003-B2A1-ABF0B302684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644136-E8E3-4508-A814-C0F8A3FB3E1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178BC6-6E17-4746-99A7-862922D48F8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1D7AD5-4E01-427E-BEF1-972DECFC920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C14BF4-52FE-427A-99C8-D9E4068D207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B0774D-5B54-41F6-B850-579EBD62BFB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0D12F2-3DE6-4795-A13B-8CE47DEAAD4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5FE945-68F8-4D69-B07C-1138DA7C0A0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13B4F9-ABEB-400E-8335-52D81D52A75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75CA05-9410-4A34-92A8-F9A4090C5BF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1D3D48-65A1-4005-8C78-1555D012554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5C0927-2ECD-4E75-BB5C-07CB5F78E19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608531-65E7-4593-8C61-C4B97000C18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1AE207-7A47-4D85-B7B0-971455D145F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A82D7B-1AA4-4F88-BD64-00379734A04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6D8C4C-76F0-45B1-8F62-8E92AF03436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73A835-76B2-47CA-90B8-6D757142970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C462AA-CBBC-47B2-A1A2-8E3A93E957A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BD9E45-D281-44FE-BD85-86E605B8315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991B19-A099-4856-95D0-0A0D2A1B799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5CA59B-0815-440B-83ED-A95A59CBF0C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B84540-5A45-459E-B8AD-4D718176A52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53619A-8A9C-4933-A6CD-705F7DBD11F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95584A-90D6-4A12-A0F4-D40871F01A8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7BDC99-9082-43A0-B105-8264A83B8F1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F36538-DE94-4792-90A7-E9FD2ACBD3D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579E85-F5DA-4180-BF0A-20A2070FBD9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B52AEC-101B-4545-B393-8080B4A2FB5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EF880F-5F4A-4E1E-9499-E6E9FD6938B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2DFE0F-23B4-47FC-901B-42C630F4792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F5516F-2D01-4000-9F91-43325690E14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6C9A85-83BF-4847-BF38-8A3F0A5E100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D66AC8-7E57-40BE-832A-725D207D1DB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B037AE-30B2-45EA-AC73-46125735518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A0802A-2D48-4038-8191-10555DCF638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46B9E1-EE77-4CCB-A404-8366D944A51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EAD033-AEEF-4527-B840-77FFD0BE50E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D92BC9-F736-4302-A0C7-25BCFED4941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DE3EE8-C98A-42AC-BF33-C6EBA269A74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CF6749-9C4E-493D-BE37-EED8040FE2A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1E39D2-BCFE-40B1-8524-E72A84A6602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F3686C-BE04-4704-A4F8-B24A9EB2EBC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242486-8328-489D-87C9-04AF53D4F96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2BAFDF-D323-453F-88A6-7BD31CD6634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72E6D5-AEA3-4A31-8864-CAC8D84D955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EBE30B-8AD2-4014-85CD-6412A5A7D4B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D81C33-10FD-406C-9D52-E2143EF3E6C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6FBC63-2DBE-4DD9-AB20-6130E5BC320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CD5CF8-E693-426B-BCAE-0F38845BC47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7BAF73-22D4-47B1-B74D-5CEC201B709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20B1CE-0358-4AE5-AA84-4BF4AE44D34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A1884C-4F90-488D-9822-95749CD058C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8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25FC3D-E89B-4490-A11E-AF4AB44CC21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B80CBD-BC96-4DFD-99FE-5E850F40A46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115CC9-B9A0-433E-9C05-9C983239ED5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EE99E3-5CAF-421E-BF89-1021980BE5A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CDD646-550C-46B7-BAC6-5FEA4DDC6CB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AA883A-3F8E-4457-A165-515F5103C95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53C561-7094-40F6-A952-55A70E113A6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148067-BB03-4930-B101-19E2E3CF0D2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CE56CD-74DB-4889-B82A-AD9AEEF1BF9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36197B-9297-4E3D-883C-5F334C60CA8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5DF937-D0E5-4799-9BE3-D0BAD209CBA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9FB46C-892D-44AA-A7F3-B2684E40282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B60ECD-911B-4701-BBE6-12E019C0732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E8B24C-15CC-4D5B-B7CA-ABA9E8B1FA6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C6B015-B96D-4D15-B12F-FC1B4175486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800A75-0714-401B-8505-E7556BEF070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A1EA1A-FF67-4F8A-8494-7CD399A0342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3E9564-7B23-424C-BDFC-A1FE76829C3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A8E7F4-1996-436F-8AD4-40D010BD600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5DD486-FC4A-44CD-BAFF-06758F5D79F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CB2AFC-ABA0-448B-B667-8D3A3547067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6ACB5A-CDBC-49EE-BFAB-5E340DD0F78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58543D-A677-4C5E-A9DC-95972A68D80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7A6A5E-754E-41D2-9AB3-76F68982046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283EAF-DA34-4F9F-82CE-AA68EF3C285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AA8A16-4017-4433-A8BA-1BB33498E65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7661A4-BF3F-4603-BC33-17554669878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353AAC-D1B8-43E3-8D5A-EF786A40AEE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DB9B64-465B-45B1-A940-7C89E3D1E93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6268E3-8CC8-4102-BF30-A6848CE4851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49DF23-E179-48A4-B3A2-662C7CFF75F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D6C835-0E39-42E5-96DF-00448E70C1B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41E0C6-644B-44FA-BAAA-E124710A970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7B2C42-5F6E-4F70-ADD2-20A1F5BC16C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97C6C4-A5AC-4909-A3F9-F85A7C75B1A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B3A4E7-8CA0-4C30-AD33-860EC5F2E01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F37BDB-41EE-435B-A8BE-86072230ECE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BA9F59-B577-407E-8574-ED6FC92D649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FFB645-70CC-4126-AE89-F72FDED4A6E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2EDB25-C5E4-4CDD-87E6-6C23278473B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FE70A6-BE4C-41C1-B4A3-0B145CBA9B1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C8FD73-CD4D-42E8-B6D7-868B33E2407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E10B06-9087-4B7F-9E7D-B610515B799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1FA802-018C-4120-A33F-313C645A8B1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866BE2-87BF-4200-B39E-2449645297E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ED3F95-12B1-41EC-8024-B3EB2AA1C94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E1630F-AD08-4970-8AEA-8FD865F45DC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E4B6F7-AD70-417C-BD8F-53068E2727D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25A839-9C1D-439D-8B1D-27E7E39E789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938F12-013E-406C-B602-25123B30C32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F26F86-9F59-4903-817D-FC4A5AF5A9E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1C03E9-5D74-49F4-9E3E-5BB19A49BC0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77A545-2709-4EB2-B191-A6962BA48CD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DBD436-A9E2-4DF7-A222-50F129FACDE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6DF78D-9C3C-4F8F-836F-97BA1B715E9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5578E1-1677-4E2F-961A-9897C630396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3E1780-327B-46FF-9AF1-32523AE301F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49BFB2-7CFF-4575-8A81-62167650285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17786E-D063-42CF-80BF-298EDBC22D8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2D4AC8-8050-49CC-87A4-EE9B43F1CC8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7900D7-001F-4F46-9727-7947591D368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929352-527E-44A8-B07A-A8BF977324E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4C8797-AC5C-4A76-B7FA-B3B3AC56D65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93A057-265F-42FF-B301-0C45B0DCEC6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52A860-6DE8-4495-892C-FA85889C261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FBD466-3906-483E-8B8D-71BEF257D26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44BB55-E21B-4D63-BDE9-F29F46EA687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378D8A-FF6C-4BDA-B2BD-ECD1D7D9890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ED90CA-157E-412D-AB98-82CE3E5850F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7B04A5-E8B7-4A6C-BCA5-E2A9CACE288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2A4E5B-53A0-46B9-A397-875A3C2451E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99134E-55BC-45E8-94ED-EF1EDDA613D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90F1A7-0359-4278-B13E-8BD2F6A64A1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0340B5-A204-4EC1-B4C1-0FE9814F822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164D83-81E2-4EE5-BE3D-BCC0DAD1A75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A77857-88C2-4320-BE3E-29F68B68738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7046FC-2800-41EF-8D98-82D74FB6592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8A60FB-9B84-4650-8AF1-269CD8C5214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041FDC-5DAE-4466-8FA3-0D8D2983C84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93461F-147D-4E34-82D3-16C0EA9ECE1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58E6B9-A6E1-4D6F-87E0-0C09C60FA14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26B192-7A99-47E8-9CB9-6D7158B881A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85C3E3-6C2C-4978-9F40-CCDBD3873B6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CFA23C-D32B-4B86-990C-537B22079BC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1EB406-9480-4983-B4E9-987D5AE649F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36E7FD-F20B-4BB5-A5ED-8831B1FEB91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10A06A-196A-4F94-AC92-46DC8403EFD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B3E9D8-1B1F-4B06-A32C-2D3B6F84D99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8F0CD6-BB10-46F7-95B9-E96E4E6C8FD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85BD34-5BA3-4A5E-9D12-238B1F5C799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B2BFB7-B33B-464E-92DA-95348716281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AE6522-A0BD-4AB3-B50E-7479672F19D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B0909A-7D04-4DBD-862D-D0C58D09E30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331539-D677-4EEF-AE3C-E16B61DD55F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AA0002-43DD-4642-8578-1E8BFE30F3D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ABA00C-E9A7-44B1-9947-362D54CA232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F51455-76F5-4989-A8F0-F9965DB7202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D964DD-8DAC-4792-A95C-906354F47B1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0F3329-8B51-4742-B42B-F4882271B62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9966B6-4E33-4341-A555-DC6BD4DF7E4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19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8A05C1-B55E-42D2-AC87-045F50935BF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966054-3A7A-4703-A38B-DEA09F0E80D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AA106F-A367-49AD-B22A-5A6784397EC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2AB9EE-E555-400E-90D0-D25354A0C4F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D1AC6E-2B14-4F9D-B3C5-A24B666A86F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0DCB56-EDFA-4991-BE79-0FA773BE969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381B35-FA8A-4D84-A7B5-4DF15E4DBFD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54701D-4881-448B-83DC-8C7A98D3827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4B1E37-B29A-41C0-94FB-A6026A8BCB4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A1DAA5-955A-4F38-BC3C-320816FE873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E93CC3-300C-4EB3-9728-F7DFB926A35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74A58D-872F-44AA-89D7-D85ED6C7FC7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7AD84B-9FF3-47D5-A1E6-F4CCA15EB8D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A562E5-A706-47BC-9274-0A7314A6611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109730-79E5-40A0-A7FE-9848CECF5C2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B6D75D-39DA-42FD-B67C-332FBEC9231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08CFF9-2FEA-4149-82AE-3501E0D8E0E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717FD3-6A1C-45AC-A4AE-40B6C24CC7F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4EF36A-E0FD-4BBC-8183-DCA9C2CB284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F20126-9BCB-48B9-93EA-90AD3D84C35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2A4E4D-5657-4403-BD70-E663387649C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4F7F2C-191E-4521-85B0-52B78945682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2310C7-B69D-4A9B-BD61-B595AC2EA11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DED0E1-236E-47FE-9B30-EAE4FAA7890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C25CAF-0A82-4572-A113-9ACCDA9FFD5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9B9E7B-3112-4497-A199-210DAF19F08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81AE66-FC7B-490F-8EAA-1DAE2F1032D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DD424B-6272-491A-92AF-A7DFA228E03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38CB50-5531-4B2D-94CC-3527D52722F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11A18A-6D34-4906-85E3-3C2E443E14F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398A7E-7379-4F63-BE19-2B7897F574F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41FDF0-4414-497F-9BD8-D64C2A728E4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CA0AA3-9B0A-4CDE-B834-80E7BD71400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60B559-F4E7-4F6D-96AB-4828B6960D3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5C9ECD-FE48-46C5-826E-C525283F57A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A1DB39-8A22-487C-9E3B-D5E19282578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B61E9F-755B-4181-A335-ABADA622357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505981-7688-4D28-8528-FB4A208A7A4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6767A1-8815-4D7D-A3D1-2D52ED1646C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A69D8A-A75B-426E-A9D7-1D8F3A475B3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34DC96-B064-4875-84B7-0A0DFA93D06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5499C2-0B5F-4628-B92B-22F3E29C148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4BC527-56A5-42C7-AB47-3831152E846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5567F5-3CFC-47E4-88E3-0CC1A8656A6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53EF2B-6D9C-4AB7-911E-AF75D4A0EA8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70CC89-1DB1-4099-A400-11440435E70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7DB419-8897-4D5B-B73A-AE2D5A41E6E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F98E69-5F1E-4342-A80C-4D2AC083DE7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9BAD2C-3E28-4AC7-BF64-4404E06D61F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D7C502-5D9E-414F-A663-313B235FE2A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117E72-54C6-4824-BDAF-E7C577DA14B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A6F42A-CA1C-4C85-B327-0DA21455C9C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EA2CB7-D28C-4533-BDC0-919910AADE6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BA336B-1F0A-4E42-A780-CAFAC7EB526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BF738D-8522-4687-87DE-599C373811A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146CF9-07A6-4E0D-9A04-9D1A7FE8394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3F9777-C1E3-4B9E-AFF9-8B6896A5153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E86A8F-B09C-400D-AEC3-7D2B46EBF93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E9882D-FF3B-4FD6-A5F3-8CC03FE36CC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33D7AE-2874-4707-86F6-FB8C245AD61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8A89DB-E88E-469A-96A3-C4A7CEF5CBA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EF5416-9CE1-44B8-BFA8-34BF1284339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C06289-4EAD-4636-8D2C-12A86D0C8D4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CE3AFD-D96B-41F9-BF3D-8467C37F503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8DB758-9AF5-451C-8861-14237E66397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D8B0FC-245C-47FC-BE65-70A38936810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D85F7B-917D-4358-A69C-B9A8A7F70E5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0B48AB-065A-4FA9-B53D-B1FC6780B20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93BAB7-50A7-47D7-B3C2-DB9F43BC868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A8A3F4-9AA2-43A4-8844-69ED5D1C6CB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32C509-B70C-4DA2-BEA7-C8C07398ACC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C28B37-B3AD-46C4-869F-7136D9CF0FA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D6D4BF-1A89-456F-8290-5E4C9B52DFC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FFC9B3-B840-48D9-8C2B-BC3F4AA8A7C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47A917-5EAB-464F-8BF6-3BFADDC8B35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63A35D-9E34-422F-962D-758FE450EFE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4F203D-63EB-44E0-AEAE-0CE8639707D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D78525-1B4F-452D-AC3B-387600E2FB3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A433EA-FC6F-4D7E-98F8-D524A52BF1D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04F488-B6A9-4A3A-8502-CAD73E12ADE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C85A7B-BDFC-4B42-AEC8-06E341CFFAD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3E88E7-EAB3-4859-B11B-1DE625434E7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A819AC-35CD-4141-B664-1CA8DD8B93C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44690E-3371-40C2-BDE5-A5379D2B87A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82D2FC-A5A3-460F-93BB-4A3DE7C96BC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D81555-E036-43CA-B4F4-B204082FAC1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A9AAD9-BC2D-427D-BDD7-7ECC5FEBE37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36D7D4-588B-4BB4-8375-2E9CDEDD723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0C123E-ADC1-42CE-A52D-E46DA5C2483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8DD3E7-2D68-46E7-980D-8BAA1062BB1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E56592-7373-40FB-9E89-DC1B5B5AB41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35213A-E845-47D8-B7F1-FE9A7D3510E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47A8B2-6F6E-4425-A3CE-48669D5D1EE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B768FC-803B-4F14-A8E2-6D7E1AC4A38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43D3FD-73D9-4117-B00B-BD952854797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6A396A-0837-4552-AF49-C3B3AB9223D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FCDD7B-811E-4EEB-97B1-6860362ABA3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A21C39-28BE-45EC-8DDB-11DA797D021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0BD284-C793-4AB8-99F8-60F6848CEAC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4E546F-86C4-4B08-95B6-BD40F124110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0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1D19C6-B076-4126-870D-CE8B4635D7E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214E64-1C36-4651-B4FA-86DBA37CD37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38770C-98C7-48F6-B80A-A02EB6FA5EE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E9F08A-8714-4789-ACE4-B8F4E4874CB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C20113-3E6B-4516-A2E4-A3564AC0417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C0DD64-ECD8-4605-B948-2859AEE12F5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E92D01-A490-4C74-8D8B-9184134D61E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661CA7-BF52-4306-9E17-266C4D54D04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6EE326-F24C-483E-A699-C290AE63374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2216E5-F048-40B7-9EA8-EB93AD7D00B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EF24FE-755A-48D0-95D0-7F33CF10561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490FF8-F3F9-4DB2-B5F9-2B82B95FDF1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9B9387-0031-45FB-B9B8-945A6F8C028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E1EA7A-3AEC-4BB2-BD01-ED11DDA9D7E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7A7D16-9BB9-41CD-8789-DB32E66A1C9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F00AFF-EDC4-4D37-81C2-3B97724EF8D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4A5EED-87F2-4D64-9D8C-E684999060E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326271-1963-412D-9BC4-739A559A3C1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C515B0-B37F-4E5E-9EF7-BD5D02AA7DB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33DBF0-8A88-48D3-ADCD-9557EAFF2A1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97F33A-E510-462E-9049-AE8EFB300A8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419300-3BE8-4B73-B161-C6F3669627A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B0F487-664B-406F-93CD-A0BCF7DD59C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9236FF-EB22-48EF-972F-F654B568C67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8BA5E3-5C14-4231-A8F8-A98BB31CD7A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7588AE-025E-4D4F-AD0A-961605E8676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EC20A4-2919-477B-B839-2882EAF44D5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3B8D68-1561-4622-A627-DC0AF376AF6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3AD7C7-28F6-4D82-9EC8-5481164E21A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BF2165-36A7-44BB-820E-0022683935F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CB25F3-6E8B-407A-AC22-E3D8DEB7E05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E75455-FC4B-4FDD-A1D5-63C4959C125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A32D58-ACCC-4D17-8B23-156B3A0B098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852066-51C4-4B5B-BE1A-C6AABD5B5D4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528FD0-A6DD-4EF8-83D3-369980645A6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98F4A5-7531-4E00-AFAC-F5AEC48C247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C35216-E0E7-4D76-90BC-F97DD572ACF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DA36E2-0C82-43AE-B08C-36A938329F5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D91EE0-72DE-4A35-B0C5-7A9D44E59B9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BBD7C2-865C-4413-A252-2D3121395DB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B323B9-46AC-49F0-A03A-8DCFA234AD1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966CA8-048B-4CAE-94B8-37D30B94D47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2DC755-1323-4E85-BCD1-4034D4DACFC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5663FB-7C0C-42EF-B57A-22D2C0B077F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839A98-DEB4-4AC2-B75C-3A79EA0B692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77AB63-7B48-4306-8EEE-9C8E04471D3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81AC18-76E3-45E2-9405-0FAC8D4254F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4F77D5-B209-488A-AAFF-AA5EE25E898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65650E-85C1-4AC9-8E59-41466609894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AA8CB4-39F2-460D-BF18-08C5DAD0797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FEB588-61D8-4487-BBF4-00A371EB78D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E78253-72A4-42F0-BD68-D89D74FDA40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A06BAC-F2A6-49EC-9298-C5B73A77B8A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632DCA-6DBE-4057-BE2D-EBEDA7EBFA2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86D497-05A0-452F-A4F3-25F9EDEF05F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45EA6D-99D7-46C1-98F1-D67E97628B5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38C584-6F82-4EFF-806E-07DAF465C15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279586-2BA9-4423-8DC0-32CA81521FE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E2BE78-DE3F-43E0-A98F-AAB9B8C9D7A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789F27-538D-443B-A2A8-10D4D7A5DCB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07D14A-E32E-4BA7-978F-563F6AC4995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06B9A0-B188-4E51-95DB-E63F3E268BF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0F3D1D-E353-47A7-BC66-99F8727DB6D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E0F871-0B78-4874-8B36-29D7CAC3C5B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0A53A8-9832-4CA0-9CD8-89E9D4DEEB1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A6524F-6601-46BB-8ABF-5550D39704E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3D13D0-F0B2-4FCC-85CB-032C07869E1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76EC6A-00AD-496B-92C2-0D695206F60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31C701-0939-4E5C-B5B4-FF48E837093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FDED54-A69F-4362-B465-A3F06EB41F4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15CCC5-E3C3-4E1F-8F92-C2E451C3765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F5BB96-DFC1-42DF-9DC9-39B6DF8E310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6385B4-252B-467E-BF1A-71C58844074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F4AF8A-EFB7-4F33-9CF1-21E63CB3B02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088ED5-3D01-4675-AC82-D75F6BCCEC3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4ACB64-F46D-4475-968B-D992ED321F9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ADA1E6-1362-40AE-BE9C-2BB249934A7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093B09-CC74-4C27-97B1-14BFEA35BA4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4010BC-082A-4A42-B15F-987EB116CA7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99E365-7C00-47BE-B9D3-9FDE0E7D39F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A4E3F0-F314-4750-BE8F-CEF006F753E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B3DB06-C70F-4E8C-91F9-91B63F98139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82C506-9FBF-48A3-91BC-5FCA9053F83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0794A4-2E78-4A91-9E1D-EDC1D445EB6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33E771-8723-4399-B839-3434AE6821E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35F92F-AA2B-4587-8166-62EEE8E07AF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FA88A5-FB58-44C3-8536-F16712679A1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D2254D-1480-4D1A-9C25-F33959C00E6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3EE8F4-C531-496F-89F1-C54A917D388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75DF1D-1A8C-4D68-8865-E9FA59F8058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6F3698-ABC7-429B-9DB4-818F4C16FBF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302512-02FD-4C8F-BB82-B8DCD82FEBD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6FAD6B-F310-4569-B445-30A9876C19B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DD106E-DC01-4D42-83E1-0C9C69000F5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A553E7-A448-4689-9964-8E22AD460DB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5B0DA6-04A1-437F-99E6-D1B7869615D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5D8B15-AB0E-4040-B474-FE38024035E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508B5A-9239-4CEC-B12E-E7AC0AB1AB7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182E39-FC7E-4FFA-AF28-358552360D8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623CDC-8071-4ED7-BA63-1374168DD65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1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6229F5-56A8-439D-9077-EE390BCD8D9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304800" cy="304800"/>
    <xdr:sp macro="" textlink="">
      <xdr:nvSpPr>
        <xdr:cNvPr id="22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067EA0-E638-4EAE-BB3D-8F13EC6394C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8F8211-715D-4307-B7AE-2729AFD5E03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28E12E-A243-4838-8C0F-DFAE702076E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B6E05B-0374-430D-8CC7-39F8C433C03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BDCAE8-87D4-4033-9C51-3FEDA73E704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226C63-1C80-4BA6-B05A-2794D4761F9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F06011-C90C-449A-8A89-8E573AE69FE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222474-1028-4F6E-8D45-5DB64C606DC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0EA4C9-67A4-4EC6-B393-E4B377A8FB6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D26359-C37D-40D6-A0A8-9F6197F07D0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5CC26A-2DCB-44F0-8E81-40907354414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C81240-329C-4D8A-A79A-5B00AF0CC2F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375307-6F80-4945-B203-E5D2093BB6E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034CE6-5D6C-4C99-B0AC-D40B7A98342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716E34-915B-4420-A544-5AB5E823B02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96F795-C915-4569-8E5E-0DFF559759C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B44EE5-5C52-4C8D-85FB-034C73A9FEF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BC11D1-77D2-4BB1-BC67-0A93B9014DB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4DF8B4-4CE6-407A-9928-2481F7CFFF4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3B4206-F377-46AB-8C9D-97E97501AAC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06D9AA-F434-469E-A1D4-D19166120D9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3ECC37-F56C-4DE0-896E-9906DA2B603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959656-1A7F-4252-A9C6-25BE5054E10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917669-2E2A-44E7-9ACA-A55A603930B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6A56E5-91C5-4346-8E62-C1191BD41F2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A83E89-1DBA-442B-95AC-D2A24840C96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952184-20DC-45D3-BF83-197973C71B0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F962E9-61D0-412A-AB0D-E2781E18DCD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F99AD4-2F1B-438F-B00B-2A3715FFCC4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2B48D7-C9E6-4014-A4C0-83B20247897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F8270D-B07D-42C3-AB2D-A3EB9EAE2E9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B76F92-F644-449E-95ED-7E6D27FB3B8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C51BB4-B70A-4453-A81A-06EBFEB4F29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7DC01D-A309-4F38-B63C-EAFB6891A5B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4D9199-0105-411E-B015-1BADA528D3E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8DE4CC-164D-4B0A-8244-45F69E42B3F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904566-9A7A-4DEA-BEB5-BFECD774AA0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05EFF0-1568-4F2B-8F0E-A7058935917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A8ED00-8928-471E-97CD-79D1BC548E6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1DACA3-1D35-4F06-9AD8-9D34C92989B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D3FA28-7350-4012-9D82-6E254D37751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2998D8-D687-46AB-9451-9711BDB4034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FB5218-AFD8-46F6-A5CA-E972CA47CA7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915657-4C90-4C86-8522-12D46D6E42B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D74216-321C-4D40-BB63-B7C3D61BE51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05190D-C254-4223-9C19-6A492367CBB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6FA897-9B94-4A08-AF5D-9797E23CF33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6D01B9-A972-4B5A-81A4-D6F769A0097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ABC411-9765-4D1B-A576-EC7490C4E64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E30A7D-E5F1-4092-AC5E-E397E8B57B3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BD6851-B402-47C3-8302-8BB4C9C66F2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96A1DB-723F-46E3-BA42-EB0705E24E60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4AFB0A-78A6-48CA-A3B3-25340EE6BBA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89A7C3-DBD3-4867-9BB2-EC7A03768DE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931344-C995-43AA-92A2-B72FECCCE207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F0101A-B9A9-43BA-A768-F010D7904BE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B6D238-4D0B-4C94-82FA-3341CD94BAA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F88641-85A9-4A4D-9CFC-458AFAD3FC31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486DD8-B1E0-44A2-971F-DFE479503D6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182A50-A701-4D87-8725-3C25AECB250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2D9080-EAFE-4990-A96C-7E5CDF2F9E8E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BC944B-CCF4-4401-9262-F28A8B04608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D8FA3E-7120-4E2D-A2F5-8F4B820D111D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C65C33-4E31-4095-9117-3FB64818DE5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9561D1-15F7-486F-8527-5B3517FFE30A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B28268-DAA0-4B14-890E-D9600596F61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7F1382-B14E-4B16-98EB-4D6502EC08EC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499B33-36BF-4ADE-B2D0-AAC602831FA6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08265A-861E-4E68-A08E-534A8302E173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79E9CD-90E8-4846-946A-36BCDA2A531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95FFC8-DC00-4A3C-BAE8-1C810FA73FC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9151BE-89A0-4D2D-A5F7-7476CAD235F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950437-0154-412B-9C6B-48175EB67965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87303A-18D5-49E9-B466-48C80FEB039B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F6875D-F55F-4931-AE44-4A04F263C31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24FC97-47BA-451D-A2CD-68BB67E48534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571ADB-C8E2-48D0-9155-E8921CC189B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9BD77D-799E-416F-8CF9-C3A6DD90FCE8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D9784D-CDBB-463E-BB1B-FC5957C66892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3A10AE-2D1D-4561-9285-71580256AC09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</xdr:row>
      <xdr:rowOff>0</xdr:rowOff>
    </xdr:from>
    <xdr:ext cx="304800" cy="304800"/>
    <xdr:sp macro="" textlink="">
      <xdr:nvSpPr>
        <xdr:cNvPr id="22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E619E1-5DA0-4B13-AC4F-E7017E6A90FF}"/>
            </a:ext>
          </a:extLst>
        </xdr:cNvPr>
        <xdr:cNvSpPr>
          <a:spLocks noChangeAspect="1" noChangeArrowheads="1"/>
        </xdr:cNvSpPr>
      </xdr:nvSpPr>
      <xdr:spPr bwMode="auto">
        <a:xfrm>
          <a:off x="185642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0222EB-EE15-4B63-A898-D2B7EF3931E7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BB8BA3-A67D-4C69-A85F-C7CB344FA8CA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1FCF25-049A-4140-8CA4-5A74794A141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366AC5-E815-45E9-9ED4-7B9A9B361B92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761100-3E9D-4F05-9C43-25793EB6ED14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9C56F9-C1F7-4978-B4F3-1246B70AEB6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26A066-D1EF-4558-A72A-6BB500CF96A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5E20DB-58DD-4551-A813-9588C7775A4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14375" cy="304800"/>
    <xdr:sp macro="" textlink="">
      <xdr:nvSpPr>
        <xdr:cNvPr id="22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7A37C8-CC3B-4665-9902-58C19B6D1AE2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D6F61D-5C75-43FF-8246-64745F4C1C3D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49BA03-3011-4DFA-943D-A45E5807473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C4437E-1164-4A55-B540-B240CCA1FCA7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5661CE-8415-4F33-AD88-FF27B075D2D3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F412CE-B8EE-4A14-9EA5-5F6B095E642C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14375" cy="304800"/>
    <xdr:sp macro="" textlink="">
      <xdr:nvSpPr>
        <xdr:cNvPr id="22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274081-ECCE-4941-B8AE-36FC1EC5FEE5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98505A-35C3-4F48-8B75-307BD3DF23A5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7D51C3-961D-4CF9-A8E1-A99FF0D3C05E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1E5EC4-20FB-42F6-8E8F-D3B54A1C7224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07B6DA-A085-4200-89C8-1522A22CA9A6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557D03-2A5C-4B9D-B1F0-C2609B4FB458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85464E-4DBF-49FF-8549-D91E841987DA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E379DA-9D7F-4FE7-99B5-A2381F1EABCC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D99F98-CF16-489A-9964-FC0E06598A63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3402BE-65D4-4240-9E4C-C41440F1EB03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F45533-EBB2-448B-83AF-98BECFA39D43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3C6C97-F09E-4830-9111-00761646D4DC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DADFCF-7B5C-4D49-A130-33451D2FCE5E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851D4D-B01C-4BE7-948B-64977913A2CF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B11CF1-7D33-40E9-83E0-3DA751C6A093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21E469-68E4-43C7-86BB-142E8F605902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291A60-8072-42FA-8833-BC1FDFA7CC08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002F51-FEBA-430A-99D9-F30C20389063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B7FE34-AA0F-41CB-8ED0-AB38C3D56D05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EA4BFD-AFC0-4CDF-98DD-D82076B0D1DB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E6DF94-6858-4D5C-9D1B-D90736F16BAB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B40D9F-1C81-41B0-807B-6E83174482F3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06003B-ADFE-4373-9A42-E96BA081FDD9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078CD3-5BD3-456D-AADF-D10984CB622E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E68D49-7954-400A-A779-93BF658FACFE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F4184E-6D52-4D4F-BB2F-0CC590071381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B48046-B8E1-409C-B83E-B37EC4EB90BD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FEF5EC-9FA0-4026-8CCA-BF0CB8DF21A4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17C1B9-DCF0-401F-B044-E5E256642D40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823F5D-DD14-45F8-8863-76DDD3C33014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9BA685-76BA-4428-848F-E5642ED7E772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C7A7F5-D4A4-48E4-9A40-45679E611664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75DEA8-AEF9-4770-B6F3-935DD5ADFBF0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73E3DD-FE25-48D1-A373-6A9C60E49BE4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32D320-9EB5-4E53-867E-B51A9F6B3244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443D07-0BE6-4C81-A62C-97AD79F6AB52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6C77BA-2A48-4DDC-9233-F02B1E0601C7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FEBDA2-AA4D-41A8-AB75-B44675BE1FC5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00BAD5-C9A9-4AAC-BDB0-DE3E903D8D77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2BF271-BE2A-4265-BBB3-A49AEB499A1E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D819F7-7123-412F-90A7-89D32C566A8F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10AAE2-F73B-4900-B01C-B3D431B56A89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AD5547-FE4B-4133-9C07-5745D4856DE4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E35EEC-F8AF-4E34-B3CA-76185F327F6C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4E55BE-0137-4790-9919-F7B0679165F1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14A1D3-14A2-4247-84B6-D57079BEE9BE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7A8EBB-4B08-454B-80A5-C98F5D257E71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424E4B-3A00-48E9-8DAC-9CB876FE3A31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991030-FAA6-4268-BAAE-D6732C0CA826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299B8F-FFF8-461E-970D-1B298451B16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6C4D13-F298-482D-A617-5F643A9CAD70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EB8A34-010B-4988-AF0E-C5555BF3BD4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5B11D4-6C0C-4082-A6F8-CA2B3520B73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4A18D6-AD1A-4455-AA6E-405694943DC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D3792C-1D52-4B88-AFE0-200A76C6A11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FAFF85-4A08-441A-86B5-29505FBD29AD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0B7C7D-8D53-49D0-8CF4-4DDEBB707A0D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14375" cy="304800"/>
    <xdr:sp macro="" textlink="">
      <xdr:nvSpPr>
        <xdr:cNvPr id="23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61B835-ECAE-4546-B983-BAAEDAF6ECD6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A0DCD7-2D28-4F94-B146-B82D649C61D8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E06EFC-AF8E-4CA9-8100-1D6B5679D371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67C7EC-9890-4386-BAC6-0C23FD1C546E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79BB4A-9B44-4D83-BF79-931ABF769FF2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E096E4-798A-4C05-BFE6-FB93CD37DEC8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14375" cy="304800"/>
    <xdr:sp macro="" textlink="">
      <xdr:nvSpPr>
        <xdr:cNvPr id="23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FE1F93-B686-4B6B-B8E7-EFD4A9D14153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FB8E46-2D8A-4CBF-99EA-E19A0FDD1A4C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CDF367-8A04-470E-AC43-426F5BAE1E98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77D78D-34D2-47A2-844C-7AC3ADFDC00E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BFE1D7-AA84-4F96-A387-58840B4C2BE2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872259-E815-4EB7-86B2-9BAF62B2E7CE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D65B10-999A-45D5-BE5B-2EF2D0D4570F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DF2634-CECB-4B23-8A47-A07151A645D1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52E811-8CFF-4D88-8BCC-91F4FB22289D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BBE4C0-A9DD-4F05-8F53-47F52747317F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172B87-33B5-4A48-A075-EF9A84EADE36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12D8EA-0795-4A2F-B7AD-336EF86A1E12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78DD3C-3DA4-4518-A8FA-612B99ACA73D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96E553-2852-4B16-9C97-98D7A4D85E9A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E8CAAF-06BB-4976-A067-5689A46862AE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4111A3-3EB3-4C0C-AF4D-5A181B1C5042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0CA8B4-20ED-4188-BE27-EC4E4CBF8D0B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75C733-B87E-43FE-BC47-5D2B614D12EE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837B15-AE21-4B65-8854-F4494E8EC6E8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05ECC6-D6D3-4B90-9D58-B951AC243C09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F35F03-2E3A-4451-A745-B9D3E9769C63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FADCCF-7568-4D15-B3C2-6668C1CC7248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F54E06-EBEE-4C09-989E-3BF122E13F85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002E43-4172-482C-8E6B-DDC8C2F5E846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78022B-A9E8-4772-8551-AFBC7AE6AEF4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9E4820-C470-466A-A7E1-A447D753E44E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A9E118-CF1A-43FD-A12A-C782336104E6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B45CB7-8DB7-40D1-8A58-1EB8B7AF40E0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4C5F5F-0F51-48BB-A4CA-37E272B9EDE5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151FCF-6692-46B0-9AE9-300C0DA0CB1E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02E6FA-51CE-492C-B747-EFB42E0A0A32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6AABF2-8385-4BD1-9B29-EC8142589ED0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172099-2849-447F-90B1-20CD8C1BF33D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6E68E9-DAC7-46AE-B2AA-14868FB4D7DD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D4BBB6-8D1B-459F-91C0-777DB76FB5F7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5CCD9B-24F3-476B-885A-922A26A2309D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9DEAC3-B4D6-4CAC-A9D9-E2E1C6CF157F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B5317A-A8D4-4BB2-B3E9-2C309A638630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2CECA6-A75C-44C3-8DBF-8A87469CF4D3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6C5404-30BF-48FE-83FA-BD32BBD29BCF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43C201-A50E-4A25-B0D6-9A4CCBE49019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C51221-F40E-4C2B-B17B-A2BED7936DA6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8AEDC5-F04C-4F5B-B194-DAA4FF404CA5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6701A5-58DC-42AB-82DE-596AC1CBB661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86C86E-4F94-4E91-9903-57EDE30496CE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1E6502-D588-4BF4-A7B8-BC87634951F0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4ED3F5-822D-4F65-BB9C-A4EDE5F51ACA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21B41F-5AC7-4144-B383-580FAC4131F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406B2E-78FA-4A3B-9FCC-3D5CB780F42D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EBDE59-E07A-4492-9A2C-EC598963E25D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AB4BD2-FBA9-4F2C-A6BF-78472503641B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7AAA5D-3A8F-4A91-BFBD-487F3D129642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101150-3B69-45E0-94A6-4FE7A542ED9D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C350BB-F61A-4C22-A13D-F26BCFDC001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87921A-809C-494C-A941-70C404DB40A4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8885A1-0068-4062-8A1B-7EE258DAA43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12F75C-E7AC-4D8C-BFF8-ADDB71FE7FAE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D64DFB-D738-4B0D-816B-A48964E870C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7E8033-F9BF-4210-9E52-A5124B4CA87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6869B3-83C6-490D-A291-9BD5C86BC296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F6E8D4-C015-4A31-A5A3-00D3E47ABC13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BC7C3C-4C6F-421C-8A64-922FF56E4836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6201DF-23D5-43ED-8140-31D39A60EB6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50E67E-FAA2-4BED-875F-92095D4F9046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247998-F574-4E2E-B5DE-F2EA41E06046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3A0452-8140-45D0-803C-823FBE4F6BC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B70B23-9488-4E23-9B70-7F2E5FDB1596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D0B6BB-C69D-4ABD-A782-054F60C9276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EC3319-FFCB-4E72-A810-BD275AD5E2E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32F0AD-6161-4401-8CFB-A97698BBB75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9535FC-3018-4F2D-996F-A403F711C58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10FC62-84BC-4549-B7A7-A6A60D175CB8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458E39-ADA7-43A3-9884-53C242A2453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DC8A42-3255-4070-B228-5EA5DEC70CE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7CA74B-736D-4D2C-8BD8-1E7F511A449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19FFBC-8546-4757-A7B2-1D4052C4D2BA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CD6001-6A2D-480E-B7F5-5FE0B5CA43C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CF152E-7294-425F-AC5C-039CD914A87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62C0D9-2731-4565-A2C2-20BFEF431807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F80DD3-D865-4C5F-913D-FF8B203BF3CD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14957E-07AB-4DD9-A4D8-FEAE47FA7DCD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0C740D-66D9-4C33-9CBC-DA01AB5D6AE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BB91C1-B1EA-4CEF-8CF8-B52105B7C5A7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55C890-5127-4EA0-9E7D-498DBB2D5B9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CAA0AD-4CAA-4B64-BD13-F435B8875CCA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3A4857-96D7-4A76-A498-3E6CF7A146C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48EE43-D28E-474F-9BA8-12E31C65FA7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1BAF28-6BB9-476A-ACD4-7022C7AE3360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330C92-0608-4341-8B35-82196B950A6A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D4F32B-C947-4F58-97D8-C399675B808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C88A20-C3B1-4EA8-B240-6CE9EC7D05AA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BF11A5-A5E7-4A26-AD4A-2F2A724361B8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C4CC88-2F51-41F5-9AA6-738CE0AA6FC7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CDDDB6-EB5F-48CF-A694-AC452C3F4087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70E298-8B56-4CA3-BA2F-0CC30D67D0F0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A1773A-96C3-4CC8-A9E2-40232862185B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A93A3A-E443-4AF0-BE63-AD165B0BB79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1BAD85-72BD-47F3-89F2-8A33BE928EC0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FB38C8-923C-470E-AD1F-9068F030879A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EBCF63-9C6D-4032-AF1F-87BF4EB55E27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5D0C60-E10F-4D06-9AD5-27D1232CE0D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A04A8D-6A05-4145-A688-AC6CD206E8C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F67357-1FF6-4E82-A7FD-655989A975A3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0C8C6D-24DB-474E-A1B0-CCFF5E782B9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50D0A4-CE76-449F-8BEB-7150A69CAB50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3245D1-6CBF-44B4-B0F3-84BD8D3085C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9675F0-4C94-4BD4-9880-F27D24D369F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6BCB75-9F05-46A3-AAE2-FC2316213EA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37FA35-E15B-4B47-99E7-4942B8A7A8FD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B4FE33-BFF3-4BCC-80E3-A64DF665788A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962484-7AE9-4084-90F4-E295B20CE12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FD07DC-4DE5-4883-B1F6-C18AC89F2B66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382D5A-B171-4A50-B391-C337B3305DC7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0A088A-A08C-4B20-82A2-1BE4350F8EE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2CDFCE-AA2B-40E0-A64E-D458A111FCB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1E3317-3DFE-45A2-B603-0CEF80B2F008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B66E0B-6636-416B-8D66-EA8CD2BB9CE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4C9622-55EB-4817-BC6D-9E6F19A52087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56BC6B-6E94-4BB2-8F29-B153FCCB68B2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FA9459-811B-4AE4-957E-1A7616953334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94E8D9-2FE0-4EBE-A886-F37F3DC245A3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9DB791-BBD4-4BB6-B6D8-F844A7C72E8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21AE2D-CC08-46B1-9456-59C01E4A70E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F5B595-8DC6-4F50-B16A-E7ED6F467DF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0AD551-9FCC-4C3B-9DC0-3029248B9D93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B91555-3DB7-4880-98C9-40D4D6B5E7A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84345A-2F7E-4FE2-9299-0EDD3A302887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6F7004-9843-44A5-9409-79E32000FBD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5D8E65-0F3B-4E1B-A2D7-ADCF044A657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0755FE-1CC1-4A64-AB72-FD732AE35CD2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B9091E-0100-479A-9058-E6A8BB2F5A3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714375" cy="304800"/>
    <xdr:sp macro="" textlink="">
      <xdr:nvSpPr>
        <xdr:cNvPr id="24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93A70D-9AFC-42A4-BE34-0F63E5E6D74E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7A9CB0-1D98-4340-ADDE-863E9A176C86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0CDDC7-B446-41A3-BBD6-2C8A3CDB12E8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93073A-0FDD-49EB-9877-D82CB701CED9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8149B6-2369-4A06-B244-6C719CB970D7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ED29F1-D3FA-4A5C-8C67-61833C6C897B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714375" cy="304800"/>
    <xdr:sp macro="" textlink="">
      <xdr:nvSpPr>
        <xdr:cNvPr id="24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652E24-102B-495A-A0AC-45BBCD0ED86C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F78AA7-D938-4EEF-917F-C210ED7628E7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AC49D9-53CE-41AA-BB8C-AB816B0AB5C6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0F9534-42D6-49F3-BE4A-F283E68198F1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AEE89C-3862-431D-90F1-C325D0A52ADB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02618F-BE5C-4F7E-A3F1-DAD8361C76E6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DDD24D-7E80-4075-B444-0E7612D4D86E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BF2C8C-95FC-4A20-9EEB-2CAD06C909FB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37B9F8-ACE6-4790-996B-D2DAECC93661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995346-991B-4CF6-BF2B-D58D94933EA1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786EAE-15C6-4912-8F84-0C7E5DE1BF2C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D9AC7F-B1AB-4C0F-8A4F-48E4682A8F1C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3C666F-9ED4-4713-828D-C9954F22297B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98C042-E9C6-4DF1-8C5C-BDD9941706B1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F30B78-5AAE-4D1A-A761-B72808EC9799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BAF63C-A186-4873-B5E7-7A27FE839206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96AF0C-9309-4CEC-8925-D8CAAE1F8E09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247522-E781-465E-BC67-3F987D0FD1E4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514B1F-153E-496D-AFF4-F8ACB85BA95C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5F3BBD-BB50-4511-B339-B50678AC6DF3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347085-2D65-4E06-A603-5B11EE40C725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714375" cy="304800"/>
    <xdr:sp macro="" textlink="">
      <xdr:nvSpPr>
        <xdr:cNvPr id="25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CFB224-89AA-4DBC-974B-9B5DFA063B22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D3A8FE-8B87-4161-ADFD-2CB141395D9D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1A645D-BFCF-47F4-BDAA-81A81ABD6B9C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60FCDE-A44B-4AAD-97A9-8CC88AADE788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25D289-B089-4FC4-AF52-D3BCC16D8E13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87A07D-8EFE-4887-B5B5-C6897C1A96D9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714375" cy="304800"/>
    <xdr:sp macro="" textlink="">
      <xdr:nvSpPr>
        <xdr:cNvPr id="25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C5107E-4837-4B2D-9765-43B8DCA28FCE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E479B5-97DA-4247-B555-D6D496135335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16E5E6-E75E-4E78-A330-1AA774DAFC58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5CD3DB-7BEB-4CCB-BB9E-11E820E528CC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2CB172-B361-4A0A-A42A-39B349E36636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40ACD9-8E84-4B64-B5E0-73195D35DBF9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482160-90EB-4C06-AC3A-A527A199381D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986255-B94C-4569-8B21-E39FF48126F2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521CB3-9957-4D64-92FD-000C744F55CF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7D1E1C-D887-439F-8031-4249DD8CEDA3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7FA2A3-E106-4C0B-B0FD-E4D94BEA495B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FA20B4-003E-4C3A-ABC8-53DB09A6D56E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7D5A8D-4EBC-4B28-86B8-7B1436921433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28DE5C-5D28-42AC-869A-D78686E549F3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45A233-94EE-4924-B296-91311BB10CE6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75B3B5-0341-423E-9509-E89573A00BF0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317861-140F-4372-8506-B8911544C67C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59C8DB-FCE0-4AF9-9583-8381E57E2A6A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E6842E-BC8A-4F21-A5BE-A4B26F6B1AAC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FB2F64-1B8E-4D8A-AE96-518075BE5090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D5531B-5EE3-47C1-8415-86654A02216C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5C92B-B4CA-4622-8D30-928875DCC431}">
  <dimension ref="A1:AQ115"/>
  <sheetViews>
    <sheetView tabSelected="1" workbookViewId="0">
      <pane xSplit="1" topLeftCell="B1" activePane="topRight" state="frozen"/>
      <selection pane="topRight" activeCell="Q85" sqref="Q85:S85"/>
    </sheetView>
  </sheetViews>
  <sheetFormatPr defaultRowHeight="15" x14ac:dyDescent="0.25"/>
  <cols>
    <col min="1" max="1" width="46.85546875" customWidth="1"/>
    <col min="2" max="2" width="5.140625" customWidth="1"/>
    <col min="3" max="3" width="0" hidden="1" customWidth="1"/>
    <col min="4" max="4" width="13.140625" customWidth="1"/>
    <col min="5" max="6" width="3.5703125" customWidth="1"/>
    <col min="7" max="7" width="10.28515625" bestFit="1" customWidth="1"/>
    <col min="8" max="9" width="3.5703125" customWidth="1"/>
    <col min="10" max="10" width="10.28515625" bestFit="1" customWidth="1"/>
    <col min="11" max="11" width="3.7109375" customWidth="1"/>
    <col min="12" max="12" width="3.5703125" customWidth="1"/>
    <col min="13" max="13" width="10.28515625" bestFit="1" customWidth="1"/>
    <col min="14" max="15" width="3.5703125" customWidth="1"/>
    <col min="16" max="16" width="10.28515625" bestFit="1" customWidth="1"/>
    <col min="17" max="17" width="4.140625" customWidth="1"/>
    <col min="18" max="18" width="3.5703125" customWidth="1"/>
    <col min="19" max="19" width="10.28515625" bestFit="1" customWidth="1"/>
    <col min="20" max="20" width="3.5703125" bestFit="1" customWidth="1"/>
    <col min="21" max="21" width="3.5703125" customWidth="1"/>
    <col min="22" max="22" width="10.28515625" bestFit="1" customWidth="1"/>
    <col min="23" max="23" width="3.5703125" bestFit="1" customWidth="1"/>
    <col min="24" max="24" width="3.5703125" customWidth="1"/>
    <col min="25" max="25" width="10.28515625" bestFit="1" customWidth="1"/>
    <col min="26" max="26" width="3.85546875" customWidth="1"/>
    <col min="27" max="27" width="4" customWidth="1"/>
    <col min="28" max="28" width="10" customWidth="1"/>
    <col min="29" max="29" width="4" bestFit="1" customWidth="1"/>
    <col min="30" max="30" width="4" customWidth="1"/>
    <col min="31" max="31" width="10" customWidth="1"/>
    <col min="32" max="32" width="3.5703125" bestFit="1" customWidth="1"/>
    <col min="33" max="33" width="4" customWidth="1"/>
    <col min="34" max="34" width="10.140625" customWidth="1"/>
    <col min="35" max="35" width="3.5703125" customWidth="1"/>
    <col min="36" max="36" width="4.42578125" bestFit="1" customWidth="1"/>
    <col min="37" max="37" width="10.140625" customWidth="1"/>
    <col min="38" max="38" width="3.5703125" bestFit="1" customWidth="1"/>
    <col min="39" max="39" width="4" customWidth="1"/>
    <col min="40" max="40" width="11.28515625" bestFit="1" customWidth="1"/>
    <col min="41" max="41" width="10.42578125" bestFit="1" customWidth="1"/>
    <col min="42" max="42" width="5.85546875" bestFit="1" customWidth="1"/>
    <col min="43" max="43" width="16.28515625" customWidth="1"/>
  </cols>
  <sheetData>
    <row r="1" spans="1:4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x14ac:dyDescent="0.25">
      <c r="A5" s="2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27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15.75" x14ac:dyDescent="0.25">
      <c r="A9" s="5" t="s">
        <v>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</row>
    <row r="10" spans="1:43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</row>
    <row r="11" spans="1:43" x14ac:dyDescent="0.25">
      <c r="A11" s="8" t="s">
        <v>2</v>
      </c>
      <c r="B11" s="9" t="s">
        <v>3</v>
      </c>
      <c r="C11" s="9"/>
      <c r="D11" s="9"/>
      <c r="E11" s="9" t="s">
        <v>4</v>
      </c>
      <c r="F11" s="9"/>
      <c r="G11" s="9"/>
      <c r="H11" s="9" t="s">
        <v>5</v>
      </c>
      <c r="I11" s="9"/>
      <c r="J11" s="9"/>
      <c r="K11" s="9" t="s">
        <v>6</v>
      </c>
      <c r="L11" s="9"/>
      <c r="M11" s="9"/>
      <c r="N11" s="9" t="s">
        <v>7</v>
      </c>
      <c r="O11" s="9"/>
      <c r="P11" s="9"/>
      <c r="Q11" s="9" t="s">
        <v>8</v>
      </c>
      <c r="R11" s="9"/>
      <c r="S11" s="9"/>
      <c r="T11" s="9" t="s">
        <v>9</v>
      </c>
      <c r="U11" s="9"/>
      <c r="V11" s="9"/>
      <c r="W11" s="9" t="s">
        <v>10</v>
      </c>
      <c r="X11" s="9"/>
      <c r="Y11" s="9"/>
      <c r="Z11" s="10" t="s">
        <v>11</v>
      </c>
      <c r="AA11" s="11"/>
      <c r="AB11" s="11"/>
      <c r="AC11" s="10" t="s">
        <v>12</v>
      </c>
      <c r="AD11" s="11"/>
      <c r="AE11" s="12"/>
      <c r="AF11" s="10" t="s">
        <v>13</v>
      </c>
      <c r="AG11" s="11"/>
      <c r="AH11" s="12"/>
      <c r="AI11" s="10" t="s">
        <v>14</v>
      </c>
      <c r="AJ11" s="11"/>
      <c r="AK11" s="12"/>
      <c r="AL11" s="9" t="s">
        <v>15</v>
      </c>
      <c r="AM11" s="9"/>
      <c r="AN11" s="9"/>
      <c r="AO11" s="13" t="s">
        <v>16</v>
      </c>
      <c r="AP11" s="14"/>
      <c r="AQ11" s="15"/>
    </row>
    <row r="12" spans="1:43" x14ac:dyDescent="0.25">
      <c r="A12" s="16" t="s">
        <v>17</v>
      </c>
      <c r="B12" s="17">
        <f>B13+B14+B15</f>
        <v>9586.0300000000007</v>
      </c>
      <c r="C12" s="18"/>
      <c r="D12" s="19"/>
      <c r="E12" s="20"/>
      <c r="F12" s="21"/>
      <c r="G12" s="22"/>
      <c r="H12" s="20"/>
      <c r="I12" s="21"/>
      <c r="J12" s="22"/>
      <c r="K12" s="20"/>
      <c r="L12" s="21"/>
      <c r="M12" s="22"/>
      <c r="N12" s="20"/>
      <c r="O12" s="21"/>
      <c r="P12" s="22"/>
      <c r="Q12" s="20"/>
      <c r="R12" s="21"/>
      <c r="S12" s="22"/>
      <c r="T12" s="20"/>
      <c r="U12" s="21"/>
      <c r="V12" s="22"/>
      <c r="W12" s="20"/>
      <c r="X12" s="21"/>
      <c r="Y12" s="22"/>
      <c r="Z12" s="23"/>
      <c r="AA12" s="23"/>
      <c r="AB12" s="23"/>
      <c r="AC12" s="24"/>
      <c r="AD12" s="25"/>
      <c r="AE12" s="26"/>
      <c r="AF12" s="27"/>
      <c r="AG12" s="27"/>
      <c r="AH12" s="27"/>
      <c r="AI12" s="28"/>
      <c r="AJ12" s="28"/>
      <c r="AK12" s="28"/>
      <c r="AL12" s="17">
        <f>9586.03</f>
        <v>9586.0300000000007</v>
      </c>
      <c r="AM12" s="18"/>
      <c r="AN12" s="19"/>
      <c r="AO12" s="29">
        <f>9586.03</f>
        <v>9586.0300000000007</v>
      </c>
      <c r="AP12" s="30"/>
      <c r="AQ12" s="31"/>
    </row>
    <row r="13" spans="1:43" x14ac:dyDescent="0.25">
      <c r="A13" s="32" t="s">
        <v>18</v>
      </c>
      <c r="B13" s="33">
        <f>13836</f>
        <v>13836</v>
      </c>
      <c r="C13" s="34"/>
      <c r="D13" s="35"/>
      <c r="E13" s="36"/>
      <c r="F13" s="37"/>
      <c r="G13" s="38"/>
      <c r="H13" s="36"/>
      <c r="I13" s="37"/>
      <c r="J13" s="38"/>
      <c r="K13" s="36"/>
      <c r="L13" s="37"/>
      <c r="M13" s="38"/>
      <c r="N13" s="36"/>
      <c r="O13" s="37"/>
      <c r="P13" s="38"/>
      <c r="Q13" s="36"/>
      <c r="R13" s="37"/>
      <c r="S13" s="38"/>
      <c r="T13" s="36"/>
      <c r="U13" s="37"/>
      <c r="V13" s="38"/>
      <c r="W13" s="36"/>
      <c r="X13" s="37"/>
      <c r="Y13" s="38"/>
      <c r="Z13" s="39"/>
      <c r="AA13" s="39"/>
      <c r="AB13" s="39"/>
      <c r="AC13" s="40"/>
      <c r="AD13" s="41"/>
      <c r="AE13" s="42"/>
      <c r="AF13" s="43"/>
      <c r="AG13" s="43"/>
      <c r="AH13" s="43"/>
      <c r="AI13" s="44"/>
      <c r="AJ13" s="44"/>
      <c r="AK13" s="44"/>
      <c r="AL13" s="33"/>
      <c r="AM13" s="34"/>
      <c r="AN13" s="35"/>
      <c r="AO13" s="45"/>
      <c r="AP13" s="46"/>
      <c r="AQ13" s="47"/>
    </row>
    <row r="14" spans="1:43" x14ac:dyDescent="0.25">
      <c r="A14" s="32" t="s">
        <v>19</v>
      </c>
      <c r="B14" s="33">
        <f>642.76</f>
        <v>642.76</v>
      </c>
      <c r="C14" s="34"/>
      <c r="D14" s="35"/>
      <c r="E14" s="36"/>
      <c r="F14" s="37"/>
      <c r="G14" s="38"/>
      <c r="H14" s="36"/>
      <c r="I14" s="37"/>
      <c r="J14" s="38"/>
      <c r="K14" s="36"/>
      <c r="L14" s="37"/>
      <c r="M14" s="38"/>
      <c r="N14" s="36"/>
      <c r="O14" s="37"/>
      <c r="P14" s="38"/>
      <c r="Q14" s="36"/>
      <c r="R14" s="37"/>
      <c r="S14" s="38"/>
      <c r="T14" s="36"/>
      <c r="U14" s="37"/>
      <c r="V14" s="38"/>
      <c r="W14" s="36"/>
      <c r="X14" s="37"/>
      <c r="Y14" s="38"/>
      <c r="Z14" s="39"/>
      <c r="AA14" s="39"/>
      <c r="AB14" s="39"/>
      <c r="AC14" s="40"/>
      <c r="AD14" s="41"/>
      <c r="AE14" s="42"/>
      <c r="AF14" s="43"/>
      <c r="AG14" s="43"/>
      <c r="AH14" s="43"/>
      <c r="AI14" s="44"/>
      <c r="AJ14" s="44"/>
      <c r="AK14" s="44"/>
      <c r="AL14" s="33"/>
      <c r="AM14" s="34"/>
      <c r="AN14" s="35"/>
      <c r="AO14" s="48"/>
      <c r="AP14" s="49"/>
      <c r="AQ14" s="50"/>
    </row>
    <row r="15" spans="1:43" x14ac:dyDescent="0.25">
      <c r="A15" s="32" t="s">
        <v>20</v>
      </c>
      <c r="B15" s="33">
        <f>-4892.73</f>
        <v>-4892.7299999999996</v>
      </c>
      <c r="C15" s="34"/>
      <c r="D15" s="35"/>
      <c r="E15" s="36"/>
      <c r="F15" s="37"/>
      <c r="G15" s="38"/>
      <c r="H15" s="36"/>
      <c r="I15" s="37"/>
      <c r="J15" s="38"/>
      <c r="K15" s="36"/>
      <c r="L15" s="37"/>
      <c r="M15" s="38"/>
      <c r="N15" s="36"/>
      <c r="O15" s="37"/>
      <c r="P15" s="38"/>
      <c r="Q15" s="36"/>
      <c r="R15" s="37"/>
      <c r="S15" s="38"/>
      <c r="T15" s="36"/>
      <c r="U15" s="37"/>
      <c r="V15" s="38"/>
      <c r="W15" s="36"/>
      <c r="X15" s="37"/>
      <c r="Y15" s="38"/>
      <c r="Z15" s="39"/>
      <c r="AA15" s="39"/>
      <c r="AB15" s="39"/>
      <c r="AC15" s="40"/>
      <c r="AD15" s="41"/>
      <c r="AE15" s="42"/>
      <c r="AF15" s="43"/>
      <c r="AG15" s="43"/>
      <c r="AH15" s="43"/>
      <c r="AI15" s="44"/>
      <c r="AJ15" s="44"/>
      <c r="AK15" s="44"/>
      <c r="AL15" s="33"/>
      <c r="AM15" s="34"/>
      <c r="AN15" s="35"/>
      <c r="AO15" s="48"/>
      <c r="AP15" s="49"/>
      <c r="AQ15" s="50"/>
    </row>
    <row r="16" spans="1:43" x14ac:dyDescent="0.25">
      <c r="A16" s="51" t="s">
        <v>21</v>
      </c>
      <c r="B16" s="52">
        <f>D27</f>
        <v>3009042.79</v>
      </c>
      <c r="C16" s="53"/>
      <c r="D16" s="54"/>
      <c r="E16" s="55"/>
      <c r="F16" s="56"/>
      <c r="G16" s="57"/>
      <c r="H16" s="55"/>
      <c r="I16" s="56"/>
      <c r="J16" s="57"/>
      <c r="K16" s="55"/>
      <c r="L16" s="56"/>
      <c r="M16" s="57"/>
      <c r="N16" s="55"/>
      <c r="O16" s="56"/>
      <c r="P16" s="57"/>
      <c r="Q16" s="55"/>
      <c r="R16" s="56"/>
      <c r="S16" s="57"/>
      <c r="T16" s="55"/>
      <c r="U16" s="56"/>
      <c r="V16" s="57"/>
      <c r="W16" s="55"/>
      <c r="X16" s="56"/>
      <c r="Y16" s="57"/>
      <c r="Z16" s="58"/>
      <c r="AA16" s="58"/>
      <c r="AB16" s="58"/>
      <c r="AC16" s="59"/>
      <c r="AD16" s="60"/>
      <c r="AE16" s="61"/>
      <c r="AF16" s="62"/>
      <c r="AG16" s="62"/>
      <c r="AH16" s="62"/>
      <c r="AI16" s="63"/>
      <c r="AJ16" s="63"/>
      <c r="AK16" s="63"/>
      <c r="AL16" s="52">
        <f>AN27</f>
        <v>1023123.5700000001</v>
      </c>
      <c r="AM16" s="53"/>
      <c r="AN16" s="54"/>
      <c r="AO16" s="64">
        <f>AQ27</f>
        <v>4032190.93</v>
      </c>
      <c r="AP16" s="65"/>
      <c r="AQ16" s="66"/>
    </row>
    <row r="17" spans="1:43" x14ac:dyDescent="0.25">
      <c r="A17" s="67" t="s">
        <v>22</v>
      </c>
      <c r="B17" s="68">
        <f>B102</f>
        <v>1370224.77</v>
      </c>
      <c r="C17" s="69"/>
      <c r="D17" s="70"/>
      <c r="E17" s="71"/>
      <c r="F17" s="72"/>
      <c r="G17" s="73"/>
      <c r="H17" s="71"/>
      <c r="I17" s="72"/>
      <c r="J17" s="73"/>
      <c r="K17" s="71"/>
      <c r="L17" s="72"/>
      <c r="M17" s="73"/>
      <c r="N17" s="71"/>
      <c r="O17" s="72"/>
      <c r="P17" s="73"/>
      <c r="Q17" s="71"/>
      <c r="R17" s="72"/>
      <c r="S17" s="73"/>
      <c r="T17" s="71"/>
      <c r="U17" s="72"/>
      <c r="V17" s="73"/>
      <c r="W17" s="71"/>
      <c r="X17" s="72"/>
      <c r="Y17" s="73"/>
      <c r="Z17" s="74"/>
      <c r="AA17" s="74"/>
      <c r="AB17" s="74"/>
      <c r="AC17" s="75"/>
      <c r="AD17" s="76"/>
      <c r="AE17" s="77"/>
      <c r="AF17" s="78"/>
      <c r="AG17" s="78"/>
      <c r="AH17" s="78"/>
      <c r="AI17" s="79"/>
      <c r="AJ17" s="79"/>
      <c r="AK17" s="79"/>
      <c r="AL17" s="68">
        <f>AL100</f>
        <v>600749.79999999993</v>
      </c>
      <c r="AM17" s="69"/>
      <c r="AN17" s="70"/>
      <c r="AO17" s="80">
        <f>AP100</f>
        <v>1970974.57</v>
      </c>
      <c r="AP17" s="81"/>
      <c r="AQ17" s="82"/>
    </row>
    <row r="18" spans="1:43" x14ac:dyDescent="0.25">
      <c r="A18" s="51" t="s">
        <v>23</v>
      </c>
      <c r="B18" s="83">
        <f>B16-B17+B12</f>
        <v>1648404.05</v>
      </c>
      <c r="C18" s="84"/>
      <c r="D18" s="85"/>
      <c r="E18" s="86"/>
      <c r="F18" s="87"/>
      <c r="G18" s="88"/>
      <c r="H18" s="86"/>
      <c r="I18" s="87"/>
      <c r="J18" s="88"/>
      <c r="K18" s="86"/>
      <c r="L18" s="87"/>
      <c r="M18" s="88"/>
      <c r="N18" s="86"/>
      <c r="O18" s="87"/>
      <c r="P18" s="88"/>
      <c r="Q18" s="86"/>
      <c r="R18" s="87"/>
      <c r="S18" s="88"/>
      <c r="T18" s="86"/>
      <c r="U18" s="87"/>
      <c r="V18" s="88"/>
      <c r="W18" s="86"/>
      <c r="X18" s="87"/>
      <c r="Y18" s="88"/>
      <c r="Z18" s="89"/>
      <c r="AA18" s="90"/>
      <c r="AB18" s="90"/>
      <c r="AC18" s="91"/>
      <c r="AD18" s="92"/>
      <c r="AE18" s="93"/>
      <c r="AF18" s="94"/>
      <c r="AG18" s="94"/>
      <c r="AH18" s="94"/>
      <c r="AI18" s="95"/>
      <c r="AJ18" s="95"/>
      <c r="AK18" s="95"/>
      <c r="AL18" s="83">
        <f>AL16-AL17</f>
        <v>422373.77000000014</v>
      </c>
      <c r="AM18" s="84"/>
      <c r="AN18" s="85"/>
      <c r="AO18" s="96">
        <f>AO16-AO17+AO12</f>
        <v>2070802.3900000001</v>
      </c>
      <c r="AP18" s="96"/>
      <c r="AQ18" s="96"/>
    </row>
    <row r="19" spans="1:43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1:4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x14ac:dyDescent="0.25">
      <c r="A21" s="97" t="s">
        <v>24</v>
      </c>
      <c r="B21" s="9" t="s">
        <v>3</v>
      </c>
      <c r="C21" s="9"/>
      <c r="D21" s="9"/>
      <c r="E21" s="10" t="s">
        <v>4</v>
      </c>
      <c r="F21" s="11"/>
      <c r="G21" s="12"/>
      <c r="H21" s="10" t="s">
        <v>5</v>
      </c>
      <c r="I21" s="11"/>
      <c r="J21" s="12"/>
      <c r="K21" s="10" t="s">
        <v>6</v>
      </c>
      <c r="L21" s="11"/>
      <c r="M21" s="12"/>
      <c r="N21" s="10" t="s">
        <v>7</v>
      </c>
      <c r="O21" s="11"/>
      <c r="P21" s="12"/>
      <c r="Q21" s="10" t="s">
        <v>8</v>
      </c>
      <c r="R21" s="11"/>
      <c r="S21" s="12"/>
      <c r="T21" s="10" t="s">
        <v>9</v>
      </c>
      <c r="U21" s="11"/>
      <c r="V21" s="12"/>
      <c r="W21" s="10" t="s">
        <v>10</v>
      </c>
      <c r="X21" s="11"/>
      <c r="Y21" s="12"/>
      <c r="Z21" s="10" t="s">
        <v>11</v>
      </c>
      <c r="AA21" s="11"/>
      <c r="AB21" s="11"/>
      <c r="AC21" s="10" t="s">
        <v>12</v>
      </c>
      <c r="AD21" s="11"/>
      <c r="AE21" s="12"/>
      <c r="AF21" s="10" t="s">
        <v>13</v>
      </c>
      <c r="AG21" s="11"/>
      <c r="AH21" s="12"/>
      <c r="AI21" s="10" t="s">
        <v>14</v>
      </c>
      <c r="AJ21" s="11"/>
      <c r="AK21" s="12"/>
      <c r="AL21" s="9" t="s">
        <v>15</v>
      </c>
      <c r="AM21" s="9"/>
      <c r="AN21" s="9"/>
      <c r="AO21" s="98" t="s">
        <v>25</v>
      </c>
      <c r="AP21" s="99" t="s">
        <v>16</v>
      </c>
      <c r="AQ21" s="99"/>
    </row>
    <row r="22" spans="1:43" x14ac:dyDescent="0.25">
      <c r="A22" s="100"/>
      <c r="B22" s="101" t="s">
        <v>26</v>
      </c>
      <c r="C22" s="102"/>
      <c r="D22" s="103" t="s">
        <v>27</v>
      </c>
      <c r="E22" s="103" t="s">
        <v>28</v>
      </c>
      <c r="F22" s="103" t="s">
        <v>29</v>
      </c>
      <c r="G22" s="103" t="s">
        <v>27</v>
      </c>
      <c r="H22" s="103" t="s">
        <v>28</v>
      </c>
      <c r="I22" s="103" t="s">
        <v>29</v>
      </c>
      <c r="J22" s="103" t="s">
        <v>27</v>
      </c>
      <c r="K22" s="103" t="s">
        <v>28</v>
      </c>
      <c r="L22" s="103" t="s">
        <v>29</v>
      </c>
      <c r="M22" s="103" t="s">
        <v>27</v>
      </c>
      <c r="N22" s="103" t="s">
        <v>28</v>
      </c>
      <c r="O22" s="103" t="s">
        <v>29</v>
      </c>
      <c r="P22" s="103" t="s">
        <v>27</v>
      </c>
      <c r="Q22" s="103" t="s">
        <v>28</v>
      </c>
      <c r="R22" s="103" t="s">
        <v>29</v>
      </c>
      <c r="S22" s="103" t="s">
        <v>27</v>
      </c>
      <c r="T22" s="103" t="s">
        <v>28</v>
      </c>
      <c r="U22" s="103" t="s">
        <v>29</v>
      </c>
      <c r="V22" s="103" t="s">
        <v>27</v>
      </c>
      <c r="W22" s="103" t="s">
        <v>28</v>
      </c>
      <c r="X22" s="103" t="s">
        <v>29</v>
      </c>
      <c r="Y22" s="103" t="s">
        <v>27</v>
      </c>
      <c r="Z22" s="103" t="s">
        <v>28</v>
      </c>
      <c r="AA22" s="103" t="s">
        <v>29</v>
      </c>
      <c r="AB22" s="104" t="s">
        <v>27</v>
      </c>
      <c r="AC22" s="105"/>
      <c r="AD22" s="105"/>
      <c r="AE22" s="105"/>
      <c r="AF22" s="103" t="s">
        <v>28</v>
      </c>
      <c r="AG22" s="103" t="s">
        <v>29</v>
      </c>
      <c r="AH22" s="105"/>
      <c r="AI22" s="105"/>
      <c r="AJ22" s="105"/>
      <c r="AK22" s="105"/>
      <c r="AL22" s="103" t="s">
        <v>28</v>
      </c>
      <c r="AM22" s="103" t="s">
        <v>29</v>
      </c>
      <c r="AN22" s="103" t="s">
        <v>27</v>
      </c>
      <c r="AO22" s="98"/>
      <c r="AP22" s="106" t="s">
        <v>26</v>
      </c>
      <c r="AQ22" s="106" t="s">
        <v>27</v>
      </c>
    </row>
    <row r="23" spans="1:43" x14ac:dyDescent="0.25">
      <c r="A23" s="107" t="s">
        <v>30</v>
      </c>
      <c r="B23" s="108">
        <v>158</v>
      </c>
      <c r="C23" s="109"/>
      <c r="D23" s="110">
        <f>17760.02+186880+2455.53+1205.11</f>
        <v>208300.65999999997</v>
      </c>
      <c r="E23" s="111"/>
      <c r="F23" s="111"/>
      <c r="G23" s="110"/>
      <c r="H23" s="111"/>
      <c r="I23" s="111"/>
      <c r="J23" s="110"/>
      <c r="K23" s="111"/>
      <c r="L23" s="111"/>
      <c r="M23" s="110"/>
      <c r="N23" s="111"/>
      <c r="O23" s="111"/>
      <c r="P23" s="110"/>
      <c r="Q23" s="111"/>
      <c r="R23" s="111"/>
      <c r="S23" s="110"/>
      <c r="T23" s="111"/>
      <c r="U23" s="111"/>
      <c r="V23" s="110"/>
      <c r="W23" s="111"/>
      <c r="X23" s="111"/>
      <c r="Y23" s="110"/>
      <c r="Z23" s="110"/>
      <c r="AA23" s="110"/>
      <c r="AB23" s="112"/>
      <c r="AC23" s="113"/>
      <c r="AD23" s="113"/>
      <c r="AE23" s="113"/>
      <c r="AF23" s="111"/>
      <c r="AG23" s="114"/>
      <c r="AH23" s="113"/>
      <c r="AI23" s="113"/>
      <c r="AJ23" s="113"/>
      <c r="AK23" s="113"/>
      <c r="AL23" s="111"/>
      <c r="AM23" s="114"/>
      <c r="AN23" s="113"/>
      <c r="AO23" s="115"/>
      <c r="AP23" s="116">
        <f>140+18+5584</f>
        <v>5742</v>
      </c>
      <c r="AQ23" s="117">
        <f>208300.66</f>
        <v>208300.66</v>
      </c>
    </row>
    <row r="24" spans="1:43" x14ac:dyDescent="0.25">
      <c r="A24" s="32" t="s">
        <v>31</v>
      </c>
      <c r="B24" s="108">
        <f>5584</f>
        <v>5584</v>
      </c>
      <c r="C24" s="109"/>
      <c r="D24" s="110">
        <f>2625767</f>
        <v>2625767</v>
      </c>
      <c r="E24" s="111">
        <v>-5</v>
      </c>
      <c r="F24" s="111">
        <v>25</v>
      </c>
      <c r="G24" s="118">
        <f>111920</f>
        <v>111920</v>
      </c>
      <c r="H24" s="111">
        <v>-7</v>
      </c>
      <c r="I24" s="111">
        <v>11</v>
      </c>
      <c r="J24" s="118">
        <v>111920</v>
      </c>
      <c r="K24" s="111">
        <v>-10</v>
      </c>
      <c r="L24" s="111">
        <v>15</v>
      </c>
      <c r="M24" s="118">
        <v>113115</v>
      </c>
      <c r="N24" s="111">
        <v>-8</v>
      </c>
      <c r="O24" s="111">
        <v>56</v>
      </c>
      <c r="P24" s="118">
        <v>113300</v>
      </c>
      <c r="Q24" s="111">
        <v>-19</v>
      </c>
      <c r="R24" s="111">
        <v>11</v>
      </c>
      <c r="S24" s="118">
        <v>160820</v>
      </c>
      <c r="T24" s="111">
        <v>-2</v>
      </c>
      <c r="U24" s="111">
        <v>12</v>
      </c>
      <c r="V24" s="118">
        <v>99920.03</v>
      </c>
      <c r="W24" s="111">
        <f>-2</f>
        <v>-2</v>
      </c>
      <c r="X24" s="111">
        <f>14</f>
        <v>14</v>
      </c>
      <c r="Y24" s="118">
        <f>120+360+140+360+100+360+360+360+360+360+360+360+360+360+360+360+360+360+360+360+360+360+360+360+360+40+360+20+360+120+360+360+360+360+360+360+360+20+20+20+20+20+20+20+20+360+20+360+360+20+20+20+1140+111800</f>
        <v>125960</v>
      </c>
      <c r="Z24" s="119">
        <f>-9</f>
        <v>-9</v>
      </c>
      <c r="AA24" s="120">
        <f>8</f>
        <v>8</v>
      </c>
      <c r="AB24" s="121">
        <f>1440+1500+3240+5780+4720+4020+500</f>
        <v>21200</v>
      </c>
      <c r="AC24" s="122">
        <f>-14</f>
        <v>-14</v>
      </c>
      <c r="AD24" s="123">
        <v>12</v>
      </c>
      <c r="AE24" s="124">
        <f>20+80+360+20+60+20+20+20+360+31620</f>
        <v>32580</v>
      </c>
      <c r="AF24" s="111">
        <v>-2</v>
      </c>
      <c r="AG24" s="125">
        <v>68</v>
      </c>
      <c r="AH24" s="124">
        <f>20+13740+20+20</f>
        <v>13800</v>
      </c>
      <c r="AI24" s="125">
        <f>-6</f>
        <v>-6</v>
      </c>
      <c r="AJ24" s="125">
        <v>142</v>
      </c>
      <c r="AK24" s="124">
        <f>20+20+1780+34280</f>
        <v>36100</v>
      </c>
      <c r="AL24" s="111">
        <f>-5-7-10-8-19-2-2-9-14-2-6</f>
        <v>-84</v>
      </c>
      <c r="AM24" s="114">
        <f>25+11+15+56+11+12+14+8+12+68+142</f>
        <v>374</v>
      </c>
      <c r="AN24" s="113">
        <f>G24+J24+M24+P24+S24+V24+Y24+AB24+AE24+AH24+AK24</f>
        <v>940635.03</v>
      </c>
      <c r="AO24" s="126">
        <f>AN24/AN27</f>
        <v>0.91937577979950158</v>
      </c>
      <c r="AP24" s="127">
        <f>E24+F24+H24+I24+K24+L24+N24+O24+Q24+R24+T24+U24+W24+X24+Z24+AA24+AC24+AD24+AF24+AG24</f>
        <v>154</v>
      </c>
      <c r="AQ24" s="128">
        <f>2625767+AN24</f>
        <v>3566402.0300000003</v>
      </c>
    </row>
    <row r="25" spans="1:43" x14ac:dyDescent="0.25">
      <c r="A25" s="129" t="s">
        <v>32</v>
      </c>
      <c r="B25" s="108"/>
      <c r="C25" s="109"/>
      <c r="D25" s="110">
        <f>174975.13</f>
        <v>174975.13</v>
      </c>
      <c r="E25" s="111"/>
      <c r="F25" s="111"/>
      <c r="G25" s="118">
        <f>8732.32</f>
        <v>8732.32</v>
      </c>
      <c r="H25" s="111"/>
      <c r="I25" s="111"/>
      <c r="J25" s="118">
        <v>6781.57</v>
      </c>
      <c r="K25" s="111"/>
      <c r="L25" s="111"/>
      <c r="M25" s="118">
        <v>6199.68</v>
      </c>
      <c r="N25" s="111"/>
      <c r="O25" s="111"/>
      <c r="P25" s="118">
        <v>7252.4</v>
      </c>
      <c r="Q25" s="111"/>
      <c r="R25" s="111"/>
      <c r="S25" s="118">
        <v>8016.26</v>
      </c>
      <c r="T25" s="111"/>
      <c r="U25" s="111"/>
      <c r="V25" s="118">
        <v>7378.23</v>
      </c>
      <c r="W25" s="111"/>
      <c r="X25" s="111"/>
      <c r="Y25" s="118">
        <f>9188.45</f>
        <v>9188.4500000000007</v>
      </c>
      <c r="Z25" s="110"/>
      <c r="AA25" s="110"/>
      <c r="AB25" s="121">
        <f>2635.97+1659.5+3172.24+159.75</f>
        <v>7627.4599999999991</v>
      </c>
      <c r="AC25" s="113"/>
      <c r="AD25" s="113"/>
      <c r="AE25" s="124">
        <f>3663.57+2420.54+1323.76</f>
        <v>7407.8700000000008</v>
      </c>
      <c r="AF25" s="111"/>
      <c r="AG25" s="125"/>
      <c r="AH25" s="124">
        <f>3592.28+378.5+1181.62+712.74+1919.17</f>
        <v>7784.3099999999995</v>
      </c>
      <c r="AI25" s="113"/>
      <c r="AJ25" s="113"/>
      <c r="AK25" s="124">
        <f>2853.03+2012.31+1254.65</f>
        <v>6119.99</v>
      </c>
      <c r="AL25" s="111"/>
      <c r="AM25" s="114"/>
      <c r="AN25" s="113">
        <f>G25+J25+M25+P25+S25+V25+Y25+AB25+AE25+AH25+AK25</f>
        <v>82488.540000000008</v>
      </c>
      <c r="AO25" s="126">
        <f>AN25/AN27</f>
        <v>8.0624220200498364E-2</v>
      </c>
      <c r="AP25" s="114"/>
      <c r="AQ25" s="128">
        <f>174975.13+AN25</f>
        <v>257463.67</v>
      </c>
    </row>
    <row r="26" spans="1:43" x14ac:dyDescent="0.25">
      <c r="A26" s="114" t="s">
        <v>33</v>
      </c>
      <c r="B26" s="108"/>
      <c r="C26" s="109"/>
      <c r="D26" s="110"/>
      <c r="E26" s="111"/>
      <c r="F26" s="111"/>
      <c r="G26" s="110"/>
      <c r="H26" s="111"/>
      <c r="I26" s="111"/>
      <c r="J26" s="110"/>
      <c r="K26" s="111"/>
      <c r="L26" s="111"/>
      <c r="M26" s="110"/>
      <c r="N26" s="111"/>
      <c r="O26" s="111"/>
      <c r="P26" s="110"/>
      <c r="Q26" s="111"/>
      <c r="R26" s="111"/>
      <c r="S26" s="110"/>
      <c r="T26" s="111"/>
      <c r="U26" s="111"/>
      <c r="V26" s="110"/>
      <c r="W26" s="111"/>
      <c r="X26" s="111"/>
      <c r="Y26" s="110"/>
      <c r="Z26" s="110"/>
      <c r="AA26" s="110"/>
      <c r="AB26" s="112"/>
      <c r="AC26" s="113"/>
      <c r="AD26" s="113"/>
      <c r="AE26" s="113"/>
      <c r="AF26" s="111"/>
      <c r="AG26" s="114"/>
      <c r="AH26" s="113"/>
      <c r="AI26" s="113"/>
      <c r="AJ26" s="113"/>
      <c r="AK26" s="113"/>
      <c r="AL26" s="111"/>
      <c r="AM26" s="114"/>
      <c r="AN26" s="113"/>
      <c r="AO26" s="115"/>
      <c r="AP26" s="116"/>
      <c r="AQ26" s="117">
        <f>24.57</f>
        <v>24.57</v>
      </c>
    </row>
    <row r="27" spans="1:43" x14ac:dyDescent="0.25">
      <c r="A27" s="130" t="s">
        <v>34</v>
      </c>
      <c r="B27" s="131">
        <f>SUM(B23:C26)</f>
        <v>5742</v>
      </c>
      <c r="C27" s="132"/>
      <c r="D27" s="133">
        <f>SUM(D23:D26)</f>
        <v>3009042.79</v>
      </c>
      <c r="E27" s="131">
        <f>B27+E24+F24</f>
        <v>5762</v>
      </c>
      <c r="F27" s="132"/>
      <c r="G27" s="133">
        <f>SUM(G23:G26)</f>
        <v>120652.32</v>
      </c>
      <c r="H27" s="131">
        <f>E27+H24+I24</f>
        <v>5766</v>
      </c>
      <c r="I27" s="132"/>
      <c r="J27" s="133">
        <f>SUM(J23:J26)</f>
        <v>118701.57</v>
      </c>
      <c r="K27" s="131">
        <f>H27+K24+L24</f>
        <v>5771</v>
      </c>
      <c r="L27" s="132"/>
      <c r="M27" s="133">
        <f>SUM(M23:M26)</f>
        <v>119314.68</v>
      </c>
      <c r="N27" s="131">
        <f>K27+N24+O24</f>
        <v>5819</v>
      </c>
      <c r="O27" s="132"/>
      <c r="P27" s="133">
        <f>SUM(P23:P26)</f>
        <v>120552.4</v>
      </c>
      <c r="Q27" s="131">
        <f>N27+Q24+R24</f>
        <v>5811</v>
      </c>
      <c r="R27" s="132"/>
      <c r="S27" s="133">
        <f>SUM(S23:S26)</f>
        <v>168836.26</v>
      </c>
      <c r="T27" s="131">
        <f>Q27+T24+U24</f>
        <v>5821</v>
      </c>
      <c r="U27" s="132"/>
      <c r="V27" s="133">
        <f>SUM(V23:V26)</f>
        <v>107298.26</v>
      </c>
      <c r="W27" s="131">
        <f>T27+W24+X24</f>
        <v>5833</v>
      </c>
      <c r="X27" s="132"/>
      <c r="Y27" s="133">
        <f>SUM(Y23:Y26)</f>
        <v>135148.45000000001</v>
      </c>
      <c r="Z27" s="134">
        <f>W27+Z24+AA24</f>
        <v>5832</v>
      </c>
      <c r="AA27" s="135"/>
      <c r="AB27" s="136">
        <f>SUM(AB23:AB26)</f>
        <v>28827.46</v>
      </c>
      <c r="AC27" s="137">
        <f>Z27+AC24+AD24</f>
        <v>5830</v>
      </c>
      <c r="AD27" s="137"/>
      <c r="AE27" s="138">
        <f>SUM(AE23:AE26)</f>
        <v>39987.870000000003</v>
      </c>
      <c r="AF27" s="137">
        <f>AC27+AF24+AG24</f>
        <v>5896</v>
      </c>
      <c r="AG27" s="137"/>
      <c r="AH27" s="133">
        <f>AH24+AH25</f>
        <v>21584.309999999998</v>
      </c>
      <c r="AI27" s="134">
        <f>AF27+AI24+AJ24</f>
        <v>6032</v>
      </c>
      <c r="AJ27" s="135"/>
      <c r="AK27" s="133">
        <f>SUM(AK24:AK26)</f>
        <v>42219.99</v>
      </c>
      <c r="AL27" s="139">
        <f>B27+AL24+AM24</f>
        <v>6032</v>
      </c>
      <c r="AM27" s="139"/>
      <c r="AN27" s="133">
        <f>SUM(AN23:AN26)</f>
        <v>1023123.5700000001</v>
      </c>
      <c r="AO27" s="140">
        <f>AN27/AN27</f>
        <v>1</v>
      </c>
      <c r="AP27" s="141">
        <f>SUM(AP23:AP26)</f>
        <v>5896</v>
      </c>
      <c r="AQ27" s="142">
        <f>SUM(AQ23:AQ26)</f>
        <v>4032190.93</v>
      </c>
    </row>
    <row r="28" spans="1:43" x14ac:dyDescent="0.25">
      <c r="A28" s="143" t="s">
        <v>118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</row>
    <row r="29" spans="1:43" x14ac:dyDescent="0.25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</row>
    <row r="30" spans="1:43" ht="15.75" x14ac:dyDescent="0.25">
      <c r="A30" s="144" t="s">
        <v>35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</row>
    <row r="31" spans="1:43" x14ac:dyDescent="0.25">
      <c r="A31" s="145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</row>
    <row r="32" spans="1:43" x14ac:dyDescent="0.25">
      <c r="A32" s="146" t="s">
        <v>22</v>
      </c>
      <c r="B32" s="9" t="s">
        <v>3</v>
      </c>
      <c r="C32" s="9"/>
      <c r="D32" s="9"/>
      <c r="E32" s="147" t="s">
        <v>4</v>
      </c>
      <c r="F32" s="148"/>
      <c r="G32" s="148"/>
      <c r="H32" s="147" t="s">
        <v>5</v>
      </c>
      <c r="I32" s="148"/>
      <c r="J32" s="148"/>
      <c r="K32" s="149" t="s">
        <v>6</v>
      </c>
      <c r="L32" s="149"/>
      <c r="M32" s="149"/>
      <c r="N32" s="147" t="s">
        <v>7</v>
      </c>
      <c r="O32" s="148"/>
      <c r="P32" s="150"/>
      <c r="Q32" s="147" t="s">
        <v>8</v>
      </c>
      <c r="R32" s="148"/>
      <c r="S32" s="148"/>
      <c r="T32" s="147" t="s">
        <v>9</v>
      </c>
      <c r="U32" s="148"/>
      <c r="V32" s="150"/>
      <c r="W32" s="10" t="s">
        <v>10</v>
      </c>
      <c r="X32" s="11"/>
      <c r="Y32" s="11"/>
      <c r="Z32" s="10" t="s">
        <v>11</v>
      </c>
      <c r="AA32" s="11"/>
      <c r="AB32" s="11"/>
      <c r="AC32" s="9" t="s">
        <v>12</v>
      </c>
      <c r="AD32" s="9"/>
      <c r="AE32" s="9"/>
      <c r="AF32" s="10" t="s">
        <v>13</v>
      </c>
      <c r="AG32" s="11"/>
      <c r="AH32" s="11"/>
      <c r="AI32" s="9" t="s">
        <v>14</v>
      </c>
      <c r="AJ32" s="9"/>
      <c r="AK32" s="9"/>
      <c r="AL32" s="9" t="s">
        <v>15</v>
      </c>
      <c r="AM32" s="9"/>
      <c r="AN32" s="9"/>
      <c r="AO32" s="151" t="s">
        <v>25</v>
      </c>
      <c r="AP32" s="99" t="s">
        <v>16</v>
      </c>
      <c r="AQ32" s="99"/>
    </row>
    <row r="33" spans="1:43" x14ac:dyDescent="0.25">
      <c r="A33" s="152" t="s">
        <v>36</v>
      </c>
      <c r="B33" s="153">
        <f>SUM(B34:D41)</f>
        <v>171975.98</v>
      </c>
      <c r="C33" s="153"/>
      <c r="D33" s="153"/>
      <c r="E33" s="154">
        <f>SUM(E34:E41)</f>
        <v>2990.34</v>
      </c>
      <c r="F33" s="155"/>
      <c r="G33" s="156"/>
      <c r="H33" s="154">
        <f>SUM(H34:H41)</f>
        <v>15532.5</v>
      </c>
      <c r="I33" s="155"/>
      <c r="J33" s="156"/>
      <c r="K33" s="157">
        <f>SUM(K34:K41)</f>
        <v>5932.5</v>
      </c>
      <c r="L33" s="157"/>
      <c r="M33" s="157"/>
      <c r="N33" s="154">
        <f t="shared" ref="N33" si="0">SUM(N34:N41)</f>
        <v>5682.5</v>
      </c>
      <c r="O33" s="155"/>
      <c r="P33" s="156"/>
      <c r="Q33" s="154">
        <f t="shared" ref="Q33" si="1">SUM(Q34:Q41)</f>
        <v>5678.15</v>
      </c>
      <c r="R33" s="155"/>
      <c r="S33" s="156"/>
      <c r="T33" s="154">
        <f t="shared" ref="T33" si="2">SUM(T34:T41)</f>
        <v>5574.27</v>
      </c>
      <c r="U33" s="155"/>
      <c r="V33" s="156"/>
      <c r="W33" s="158">
        <f>SUM(W34:Y41)</f>
        <v>11532.5</v>
      </c>
      <c r="X33" s="159"/>
      <c r="Y33" s="159"/>
      <c r="Z33" s="158">
        <f>SUM(Z34:AB41)</f>
        <v>11952.5</v>
      </c>
      <c r="AA33" s="159"/>
      <c r="AB33" s="159"/>
      <c r="AC33" s="153">
        <f>SUM(AC34:AE41)</f>
        <v>11952.5</v>
      </c>
      <c r="AD33" s="153"/>
      <c r="AE33" s="153"/>
      <c r="AF33" s="158">
        <f>SUM(AF34:AH41)</f>
        <v>16186.41</v>
      </c>
      <c r="AG33" s="159"/>
      <c r="AH33" s="159"/>
      <c r="AI33" s="158">
        <f>SUM(AI34:AK41)</f>
        <v>16186.41</v>
      </c>
      <c r="AJ33" s="159"/>
      <c r="AK33" s="159"/>
      <c r="AL33" s="153">
        <f>SUM(AL34:AN41)</f>
        <v>109200.58</v>
      </c>
      <c r="AM33" s="153"/>
      <c r="AN33" s="153"/>
      <c r="AO33" s="160">
        <f>AL33/AL100</f>
        <v>0.18177380999544238</v>
      </c>
      <c r="AP33" s="161">
        <f>SUM(AP34:AQ41)</f>
        <v>279536.62000000005</v>
      </c>
      <c r="AQ33" s="161"/>
    </row>
    <row r="34" spans="1:43" x14ac:dyDescent="0.25">
      <c r="A34" s="162" t="s">
        <v>37</v>
      </c>
      <c r="B34" s="163">
        <f>61810.3</f>
        <v>61810.3</v>
      </c>
      <c r="C34" s="163"/>
      <c r="D34" s="163"/>
      <c r="E34" s="164">
        <v>1790.34</v>
      </c>
      <c r="F34" s="165"/>
      <c r="G34" s="166"/>
      <c r="H34" s="164">
        <v>10000</v>
      </c>
      <c r="I34" s="165"/>
      <c r="J34" s="166"/>
      <c r="K34" s="167">
        <v>0</v>
      </c>
      <c r="L34" s="167"/>
      <c r="M34" s="167"/>
      <c r="N34" s="164">
        <v>0</v>
      </c>
      <c r="O34" s="165"/>
      <c r="P34" s="166"/>
      <c r="Q34" s="168">
        <v>0</v>
      </c>
      <c r="R34" s="169"/>
      <c r="S34" s="170"/>
      <c r="T34" s="164">
        <v>0</v>
      </c>
      <c r="U34" s="165"/>
      <c r="V34" s="166"/>
      <c r="W34" s="168">
        <v>0</v>
      </c>
      <c r="X34" s="169"/>
      <c r="Y34" s="169"/>
      <c r="Z34" s="168">
        <v>0</v>
      </c>
      <c r="AA34" s="169"/>
      <c r="AB34" s="170"/>
      <c r="AC34" s="171">
        <v>0</v>
      </c>
      <c r="AD34" s="171"/>
      <c r="AE34" s="171"/>
      <c r="AF34" s="168">
        <v>0</v>
      </c>
      <c r="AG34" s="169"/>
      <c r="AH34" s="169"/>
      <c r="AI34" s="171">
        <v>0</v>
      </c>
      <c r="AJ34" s="171"/>
      <c r="AK34" s="171"/>
      <c r="AL34" s="163">
        <f>1790.34+10000</f>
        <v>11790.34</v>
      </c>
      <c r="AM34" s="163"/>
      <c r="AN34" s="163"/>
      <c r="AO34" s="172">
        <f>AL34/AL100</f>
        <v>1.9626040657857901E-2</v>
      </c>
      <c r="AP34" s="171">
        <f>60410.3+AL34</f>
        <v>72200.639999999999</v>
      </c>
      <c r="AQ34" s="171"/>
    </row>
    <row r="35" spans="1:43" x14ac:dyDescent="0.25">
      <c r="A35" s="173" t="s">
        <v>38</v>
      </c>
      <c r="B35" s="163">
        <v>0</v>
      </c>
      <c r="C35" s="163"/>
      <c r="D35" s="163"/>
      <c r="E35" s="168">
        <v>0</v>
      </c>
      <c r="F35" s="169"/>
      <c r="G35" s="170"/>
      <c r="H35" s="168">
        <v>0</v>
      </c>
      <c r="I35" s="169"/>
      <c r="J35" s="170"/>
      <c r="K35" s="167">
        <v>0</v>
      </c>
      <c r="L35" s="167"/>
      <c r="M35" s="167"/>
      <c r="N35" s="168">
        <v>0</v>
      </c>
      <c r="O35" s="169"/>
      <c r="P35" s="170"/>
      <c r="Q35" s="168">
        <v>0</v>
      </c>
      <c r="R35" s="169"/>
      <c r="S35" s="170"/>
      <c r="T35" s="168">
        <v>0</v>
      </c>
      <c r="U35" s="169"/>
      <c r="V35" s="170"/>
      <c r="W35" s="168">
        <f>6000</f>
        <v>6000</v>
      </c>
      <c r="X35" s="169"/>
      <c r="Y35" s="169"/>
      <c r="Z35" s="168">
        <f>6000</f>
        <v>6000</v>
      </c>
      <c r="AA35" s="169"/>
      <c r="AB35" s="170"/>
      <c r="AC35" s="171">
        <f>6000</f>
        <v>6000</v>
      </c>
      <c r="AD35" s="171"/>
      <c r="AE35" s="171"/>
      <c r="AF35" s="168">
        <f>6000</f>
        <v>6000</v>
      </c>
      <c r="AG35" s="169"/>
      <c r="AH35" s="169"/>
      <c r="AI35" s="171">
        <f>6000</f>
        <v>6000</v>
      </c>
      <c r="AJ35" s="171"/>
      <c r="AK35" s="171"/>
      <c r="AL35" s="163">
        <f>6000+6000+6000+6000+6000</f>
        <v>30000</v>
      </c>
      <c r="AM35" s="163"/>
      <c r="AN35" s="163"/>
      <c r="AO35" s="172">
        <f>AL35/AL100</f>
        <v>4.9937594652549204E-2</v>
      </c>
      <c r="AP35" s="168">
        <f>0+AL35</f>
        <v>30000</v>
      </c>
      <c r="AQ35" s="170"/>
    </row>
    <row r="36" spans="1:43" x14ac:dyDescent="0.25">
      <c r="A36" s="162" t="s">
        <v>39</v>
      </c>
      <c r="B36" s="163">
        <f>28820.48</f>
        <v>28820.48</v>
      </c>
      <c r="C36" s="163"/>
      <c r="D36" s="163"/>
      <c r="E36" s="164">
        <v>1200</v>
      </c>
      <c r="F36" s="165"/>
      <c r="G36" s="166"/>
      <c r="H36" s="164">
        <v>840</v>
      </c>
      <c r="I36" s="165"/>
      <c r="J36" s="166"/>
      <c r="K36" s="167">
        <v>1240</v>
      </c>
      <c r="L36" s="167"/>
      <c r="M36" s="167"/>
      <c r="N36" s="164">
        <v>990</v>
      </c>
      <c r="O36" s="165"/>
      <c r="P36" s="166"/>
      <c r="Q36" s="168">
        <v>985.65</v>
      </c>
      <c r="R36" s="169"/>
      <c r="S36" s="170"/>
      <c r="T36" s="164">
        <v>881.77</v>
      </c>
      <c r="U36" s="165"/>
      <c r="V36" s="166"/>
      <c r="W36" s="168">
        <f>840</f>
        <v>840</v>
      </c>
      <c r="X36" s="169"/>
      <c r="Y36" s="169"/>
      <c r="Z36" s="168">
        <f>1260</f>
        <v>1260</v>
      </c>
      <c r="AA36" s="169"/>
      <c r="AB36" s="170"/>
      <c r="AC36" s="171">
        <f>1260</f>
        <v>1260</v>
      </c>
      <c r="AD36" s="171"/>
      <c r="AE36" s="171"/>
      <c r="AF36" s="168">
        <f>840</f>
        <v>840</v>
      </c>
      <c r="AG36" s="169"/>
      <c r="AH36" s="169"/>
      <c r="AI36" s="171">
        <f>840</f>
        <v>840</v>
      </c>
      <c r="AJ36" s="171"/>
      <c r="AK36" s="171"/>
      <c r="AL36" s="163">
        <f>1200+840+1240+990+985.65+881.77+840+1260+1260+840+840</f>
        <v>11177.42</v>
      </c>
      <c r="AM36" s="163"/>
      <c r="AN36" s="163"/>
      <c r="AO36" s="172">
        <f>AL36/AL100</f>
        <v>1.8605782307376549E-2</v>
      </c>
      <c r="AP36" s="171">
        <f>28580.54+AL36</f>
        <v>39757.96</v>
      </c>
      <c r="AQ36" s="171"/>
    </row>
    <row r="37" spans="1:43" x14ac:dyDescent="0.25">
      <c r="A37" s="162" t="s">
        <v>40</v>
      </c>
      <c r="B37" s="163">
        <f>45518.05</f>
        <v>45518.05</v>
      </c>
      <c r="C37" s="163"/>
      <c r="D37" s="163"/>
      <c r="E37" s="164">
        <v>0</v>
      </c>
      <c r="F37" s="165"/>
      <c r="G37" s="166"/>
      <c r="H37" s="164">
        <v>4692.5</v>
      </c>
      <c r="I37" s="165"/>
      <c r="J37" s="166"/>
      <c r="K37" s="167">
        <v>4692.5</v>
      </c>
      <c r="L37" s="167"/>
      <c r="M37" s="167"/>
      <c r="N37" s="164">
        <v>4692.5</v>
      </c>
      <c r="O37" s="165"/>
      <c r="P37" s="166"/>
      <c r="Q37" s="168">
        <v>4692.5</v>
      </c>
      <c r="R37" s="169"/>
      <c r="S37" s="170"/>
      <c r="T37" s="164">
        <v>4692.5</v>
      </c>
      <c r="U37" s="165"/>
      <c r="V37" s="166"/>
      <c r="W37" s="168">
        <f>4692.5</f>
        <v>4692.5</v>
      </c>
      <c r="X37" s="169"/>
      <c r="Y37" s="169"/>
      <c r="Z37" s="168">
        <f>4692.5</f>
        <v>4692.5</v>
      </c>
      <c r="AA37" s="169"/>
      <c r="AB37" s="170"/>
      <c r="AC37" s="171">
        <f>4692.5</f>
        <v>4692.5</v>
      </c>
      <c r="AD37" s="171"/>
      <c r="AE37" s="171"/>
      <c r="AF37" s="168">
        <f>4846.41</f>
        <v>4846.41</v>
      </c>
      <c r="AG37" s="169"/>
      <c r="AH37" s="169"/>
      <c r="AI37" s="171">
        <f>4846.41</f>
        <v>4846.41</v>
      </c>
      <c r="AJ37" s="171"/>
      <c r="AK37" s="171"/>
      <c r="AL37" s="163">
        <f>4692.5+4692.5+4692.5+4692.5+4692.5+4692.5+4692.5+4692.5+4846.41+4846.41</f>
        <v>47232.820000000007</v>
      </c>
      <c r="AM37" s="163"/>
      <c r="AN37" s="163"/>
      <c r="AO37" s="172">
        <f>AL37/AL100</f>
        <v>7.8623113981893977E-2</v>
      </c>
      <c r="AP37" s="171">
        <f>45518.05+AL37</f>
        <v>92750.87000000001</v>
      </c>
      <c r="AQ37" s="171"/>
    </row>
    <row r="38" spans="1:43" x14ac:dyDescent="0.25">
      <c r="A38" s="162" t="s">
        <v>41</v>
      </c>
      <c r="B38" s="163">
        <f>17669.75</f>
        <v>17669.75</v>
      </c>
      <c r="C38" s="163"/>
      <c r="D38" s="163"/>
      <c r="E38" s="164">
        <v>0</v>
      </c>
      <c r="F38" s="165"/>
      <c r="G38" s="166"/>
      <c r="H38" s="164">
        <v>0</v>
      </c>
      <c r="I38" s="165"/>
      <c r="J38" s="166"/>
      <c r="K38" s="167">
        <v>0</v>
      </c>
      <c r="L38" s="167"/>
      <c r="M38" s="167"/>
      <c r="N38" s="164">
        <v>0</v>
      </c>
      <c r="O38" s="165"/>
      <c r="P38" s="166"/>
      <c r="Q38" s="168">
        <v>0</v>
      </c>
      <c r="R38" s="169"/>
      <c r="S38" s="170"/>
      <c r="T38" s="164">
        <v>0</v>
      </c>
      <c r="U38" s="165"/>
      <c r="V38" s="166"/>
      <c r="W38" s="168">
        <v>0</v>
      </c>
      <c r="X38" s="169"/>
      <c r="Y38" s="169"/>
      <c r="Z38" s="168">
        <v>0</v>
      </c>
      <c r="AA38" s="169"/>
      <c r="AB38" s="170"/>
      <c r="AC38" s="171">
        <v>0</v>
      </c>
      <c r="AD38" s="171"/>
      <c r="AE38" s="171"/>
      <c r="AF38" s="168">
        <f>4500</f>
        <v>4500</v>
      </c>
      <c r="AG38" s="169"/>
      <c r="AH38" s="169"/>
      <c r="AI38" s="171">
        <f>4500</f>
        <v>4500</v>
      </c>
      <c r="AJ38" s="171"/>
      <c r="AK38" s="171"/>
      <c r="AL38" s="163">
        <f>4500+4500</f>
        <v>9000</v>
      </c>
      <c r="AM38" s="163"/>
      <c r="AN38" s="163"/>
      <c r="AO38" s="172">
        <f>AL38/AL100</f>
        <v>1.4981278395764762E-2</v>
      </c>
      <c r="AP38" s="171">
        <f>17669.75+AL38</f>
        <v>26669.75</v>
      </c>
      <c r="AQ38" s="171"/>
    </row>
    <row r="39" spans="1:43" x14ac:dyDescent="0.25">
      <c r="A39" s="162" t="s">
        <v>42</v>
      </c>
      <c r="B39" s="163">
        <f>8289</f>
        <v>8289</v>
      </c>
      <c r="C39" s="163"/>
      <c r="D39" s="163"/>
      <c r="E39" s="164">
        <v>0</v>
      </c>
      <c r="F39" s="165"/>
      <c r="G39" s="166"/>
      <c r="H39" s="164">
        <v>0</v>
      </c>
      <c r="I39" s="165"/>
      <c r="J39" s="166"/>
      <c r="K39" s="167">
        <v>0</v>
      </c>
      <c r="L39" s="167"/>
      <c r="M39" s="167"/>
      <c r="N39" s="164">
        <v>0</v>
      </c>
      <c r="O39" s="165"/>
      <c r="P39" s="166"/>
      <c r="Q39" s="168">
        <v>0</v>
      </c>
      <c r="R39" s="169"/>
      <c r="S39" s="170"/>
      <c r="T39" s="164">
        <v>0</v>
      </c>
      <c r="U39" s="165"/>
      <c r="V39" s="166"/>
      <c r="W39" s="168">
        <v>0</v>
      </c>
      <c r="X39" s="169"/>
      <c r="Y39" s="169"/>
      <c r="Z39" s="168">
        <v>0</v>
      </c>
      <c r="AA39" s="169"/>
      <c r="AB39" s="170"/>
      <c r="AC39" s="171">
        <v>0</v>
      </c>
      <c r="AD39" s="171"/>
      <c r="AE39" s="171"/>
      <c r="AF39" s="168">
        <v>0</v>
      </c>
      <c r="AG39" s="169"/>
      <c r="AH39" s="169"/>
      <c r="AI39" s="171">
        <v>0</v>
      </c>
      <c r="AJ39" s="171"/>
      <c r="AK39" s="171"/>
      <c r="AL39" s="163">
        <v>0</v>
      </c>
      <c r="AM39" s="163"/>
      <c r="AN39" s="163"/>
      <c r="AO39" s="172">
        <f>AL39/AL100</f>
        <v>0</v>
      </c>
      <c r="AP39" s="171">
        <f>8289+AL39</f>
        <v>8289</v>
      </c>
      <c r="AQ39" s="171"/>
    </row>
    <row r="40" spans="1:43" x14ac:dyDescent="0.25">
      <c r="A40" s="162" t="s">
        <v>43</v>
      </c>
      <c r="B40" s="163">
        <f>7863.4</f>
        <v>7863.4</v>
      </c>
      <c r="C40" s="163"/>
      <c r="D40" s="163"/>
      <c r="E40" s="164">
        <v>0</v>
      </c>
      <c r="F40" s="165"/>
      <c r="G40" s="166"/>
      <c r="H40" s="164">
        <v>0</v>
      </c>
      <c r="I40" s="165"/>
      <c r="J40" s="166"/>
      <c r="K40" s="167">
        <v>0</v>
      </c>
      <c r="L40" s="167"/>
      <c r="M40" s="167"/>
      <c r="N40" s="164">
        <v>0</v>
      </c>
      <c r="O40" s="165"/>
      <c r="P40" s="166"/>
      <c r="Q40" s="168">
        <v>0</v>
      </c>
      <c r="R40" s="169"/>
      <c r="S40" s="170"/>
      <c r="T40" s="164">
        <v>0</v>
      </c>
      <c r="U40" s="165"/>
      <c r="V40" s="166"/>
      <c r="W40" s="168">
        <v>0</v>
      </c>
      <c r="X40" s="169"/>
      <c r="Y40" s="169"/>
      <c r="Z40" s="168">
        <v>0</v>
      </c>
      <c r="AA40" s="169"/>
      <c r="AB40" s="170"/>
      <c r="AC40" s="171">
        <v>0</v>
      </c>
      <c r="AD40" s="171"/>
      <c r="AE40" s="171"/>
      <c r="AF40" s="168">
        <v>0</v>
      </c>
      <c r="AG40" s="169"/>
      <c r="AH40" s="169"/>
      <c r="AI40" s="171">
        <v>0</v>
      </c>
      <c r="AJ40" s="171"/>
      <c r="AK40" s="171"/>
      <c r="AL40" s="163">
        <f>0</f>
        <v>0</v>
      </c>
      <c r="AM40" s="163"/>
      <c r="AN40" s="163"/>
      <c r="AO40" s="172">
        <f>AL40/AL100</f>
        <v>0</v>
      </c>
      <c r="AP40" s="171">
        <f>7863.4+AL40</f>
        <v>7863.4</v>
      </c>
      <c r="AQ40" s="171"/>
    </row>
    <row r="41" spans="1:43" x14ac:dyDescent="0.25">
      <c r="A41" s="162" t="s">
        <v>44</v>
      </c>
      <c r="B41" s="163">
        <f>2005</f>
        <v>2005</v>
      </c>
      <c r="C41" s="163"/>
      <c r="D41" s="163"/>
      <c r="E41" s="164">
        <v>0</v>
      </c>
      <c r="F41" s="165"/>
      <c r="G41" s="166"/>
      <c r="H41" s="164">
        <v>0</v>
      </c>
      <c r="I41" s="165"/>
      <c r="J41" s="166"/>
      <c r="K41" s="167">
        <v>0</v>
      </c>
      <c r="L41" s="167"/>
      <c r="M41" s="167"/>
      <c r="N41" s="164">
        <v>0</v>
      </c>
      <c r="O41" s="165"/>
      <c r="P41" s="166"/>
      <c r="Q41" s="168">
        <v>0</v>
      </c>
      <c r="R41" s="169"/>
      <c r="S41" s="170"/>
      <c r="T41" s="164">
        <v>0</v>
      </c>
      <c r="U41" s="165"/>
      <c r="V41" s="166"/>
      <c r="W41" s="168">
        <v>0</v>
      </c>
      <c r="X41" s="169"/>
      <c r="Y41" s="169"/>
      <c r="Z41" s="168">
        <v>0</v>
      </c>
      <c r="AA41" s="169"/>
      <c r="AB41" s="170"/>
      <c r="AC41" s="171">
        <v>0</v>
      </c>
      <c r="AD41" s="171"/>
      <c r="AE41" s="171"/>
      <c r="AF41" s="168">
        <v>0</v>
      </c>
      <c r="AG41" s="169"/>
      <c r="AH41" s="169"/>
      <c r="AI41" s="171">
        <v>0</v>
      </c>
      <c r="AJ41" s="171"/>
      <c r="AK41" s="171"/>
      <c r="AL41" s="163">
        <v>0</v>
      </c>
      <c r="AM41" s="163"/>
      <c r="AN41" s="163"/>
      <c r="AO41" s="172">
        <f>AL41/AL100</f>
        <v>0</v>
      </c>
      <c r="AP41" s="171">
        <f>2005+AL41</f>
        <v>2005</v>
      </c>
      <c r="AQ41" s="171"/>
    </row>
    <row r="42" spans="1:43" x14ac:dyDescent="0.25">
      <c r="A42" s="152" t="s">
        <v>45</v>
      </c>
      <c r="B42" s="153">
        <f>SUM(B43:D44)</f>
        <v>366074.13</v>
      </c>
      <c r="C42" s="153"/>
      <c r="D42" s="153"/>
      <c r="E42" s="153">
        <f t="shared" ref="E42" si="3">SUM(E43:G44)</f>
        <v>0</v>
      </c>
      <c r="F42" s="153"/>
      <c r="G42" s="153"/>
      <c r="H42" s="153">
        <f t="shared" ref="H42" si="4">SUM(H43:J44)</f>
        <v>0</v>
      </c>
      <c r="I42" s="153"/>
      <c r="J42" s="153"/>
      <c r="K42" s="153">
        <f t="shared" ref="K42" si="5">SUM(K43:M44)</f>
        <v>0</v>
      </c>
      <c r="L42" s="153"/>
      <c r="M42" s="153"/>
      <c r="N42" s="153">
        <f t="shared" ref="N42" si="6">SUM(N43:P44)</f>
        <v>0</v>
      </c>
      <c r="O42" s="153"/>
      <c r="P42" s="153"/>
      <c r="Q42" s="153">
        <f t="shared" ref="Q42" si="7">SUM(Q43:S44)</f>
        <v>0</v>
      </c>
      <c r="R42" s="153"/>
      <c r="S42" s="153"/>
      <c r="T42" s="153">
        <f t="shared" ref="T42" si="8">SUM(T43:V44)</f>
        <v>0</v>
      </c>
      <c r="U42" s="153"/>
      <c r="V42" s="153"/>
      <c r="W42" s="153">
        <f>SUM(W43:Y44)</f>
        <v>0</v>
      </c>
      <c r="X42" s="153"/>
      <c r="Y42" s="158"/>
      <c r="Z42" s="153">
        <f>SUM(Z43:AB44)</f>
        <v>0</v>
      </c>
      <c r="AA42" s="153"/>
      <c r="AB42" s="158"/>
      <c r="AC42" s="153">
        <f>SUM(AC43:AE44)</f>
        <v>0</v>
      </c>
      <c r="AD42" s="153"/>
      <c r="AE42" s="153"/>
      <c r="AF42" s="153">
        <f>SUM(AF43:AH44)</f>
        <v>0</v>
      </c>
      <c r="AG42" s="153"/>
      <c r="AH42" s="158"/>
      <c r="AI42" s="153">
        <f>SUM(AI43:AK45)</f>
        <v>1000</v>
      </c>
      <c r="AJ42" s="153"/>
      <c r="AK42" s="158"/>
      <c r="AL42" s="153">
        <f>SUM(AL43:AN45)</f>
        <v>1000</v>
      </c>
      <c r="AM42" s="153"/>
      <c r="AN42" s="153"/>
      <c r="AO42" s="174">
        <f>AL42/AL100</f>
        <v>1.6645864884183067E-3</v>
      </c>
      <c r="AP42" s="175">
        <f>SUM(AP43:AQ45)</f>
        <v>367074.13</v>
      </c>
      <c r="AQ42" s="175"/>
    </row>
    <row r="43" spans="1:43" x14ac:dyDescent="0.25">
      <c r="A43" s="162" t="s">
        <v>46</v>
      </c>
      <c r="B43" s="163">
        <f>214077.5</f>
        <v>214077.5</v>
      </c>
      <c r="C43" s="163"/>
      <c r="D43" s="163"/>
      <c r="E43" s="164">
        <v>0</v>
      </c>
      <c r="F43" s="165"/>
      <c r="G43" s="166"/>
      <c r="H43" s="164">
        <v>0</v>
      </c>
      <c r="I43" s="165"/>
      <c r="J43" s="166"/>
      <c r="K43" s="167">
        <v>0</v>
      </c>
      <c r="L43" s="167"/>
      <c r="M43" s="167"/>
      <c r="N43" s="164">
        <v>0</v>
      </c>
      <c r="O43" s="165"/>
      <c r="P43" s="166"/>
      <c r="Q43" s="168">
        <v>0</v>
      </c>
      <c r="R43" s="169"/>
      <c r="S43" s="170"/>
      <c r="T43" s="164">
        <v>0</v>
      </c>
      <c r="U43" s="165"/>
      <c r="V43" s="166"/>
      <c r="W43" s="168">
        <v>0</v>
      </c>
      <c r="X43" s="169"/>
      <c r="Y43" s="169"/>
      <c r="Z43" s="168">
        <v>0</v>
      </c>
      <c r="AA43" s="169"/>
      <c r="AB43" s="170"/>
      <c r="AC43" s="171">
        <v>0</v>
      </c>
      <c r="AD43" s="171"/>
      <c r="AE43" s="171"/>
      <c r="AF43" s="168">
        <v>0</v>
      </c>
      <c r="AG43" s="169"/>
      <c r="AH43" s="169"/>
      <c r="AI43" s="171">
        <v>0</v>
      </c>
      <c r="AJ43" s="171"/>
      <c r="AK43" s="171"/>
      <c r="AL43" s="163">
        <v>0</v>
      </c>
      <c r="AM43" s="163"/>
      <c r="AN43" s="163"/>
      <c r="AO43" s="172">
        <f>AL43/AL100</f>
        <v>0</v>
      </c>
      <c r="AP43" s="171">
        <f>214077.5+AL43</f>
        <v>214077.5</v>
      </c>
      <c r="AQ43" s="171"/>
    </row>
    <row r="44" spans="1:43" x14ac:dyDescent="0.25">
      <c r="A44" s="162" t="s">
        <v>47</v>
      </c>
      <c r="B44" s="163">
        <f>151996.63</f>
        <v>151996.63</v>
      </c>
      <c r="C44" s="163"/>
      <c r="D44" s="163"/>
      <c r="E44" s="164">
        <v>0</v>
      </c>
      <c r="F44" s="165"/>
      <c r="G44" s="166"/>
      <c r="H44" s="164">
        <v>0</v>
      </c>
      <c r="I44" s="165"/>
      <c r="J44" s="166"/>
      <c r="K44" s="167">
        <v>0</v>
      </c>
      <c r="L44" s="167"/>
      <c r="M44" s="167"/>
      <c r="N44" s="164">
        <v>0</v>
      </c>
      <c r="O44" s="165"/>
      <c r="P44" s="166"/>
      <c r="Q44" s="168">
        <v>0</v>
      </c>
      <c r="R44" s="169"/>
      <c r="S44" s="170"/>
      <c r="T44" s="164">
        <v>0</v>
      </c>
      <c r="U44" s="165"/>
      <c r="V44" s="166"/>
      <c r="W44" s="168">
        <v>0</v>
      </c>
      <c r="X44" s="169"/>
      <c r="Y44" s="169"/>
      <c r="Z44" s="168">
        <v>0</v>
      </c>
      <c r="AA44" s="169"/>
      <c r="AB44" s="170"/>
      <c r="AC44" s="171">
        <v>0</v>
      </c>
      <c r="AD44" s="171"/>
      <c r="AE44" s="171"/>
      <c r="AF44" s="168">
        <v>0</v>
      </c>
      <c r="AG44" s="169"/>
      <c r="AH44" s="169"/>
      <c r="AI44" s="171">
        <v>0</v>
      </c>
      <c r="AJ44" s="171"/>
      <c r="AK44" s="171"/>
      <c r="AL44" s="163">
        <v>0</v>
      </c>
      <c r="AM44" s="163"/>
      <c r="AN44" s="163"/>
      <c r="AO44" s="172">
        <f>AL44/AL100</f>
        <v>0</v>
      </c>
      <c r="AP44" s="171">
        <f>151996.63+AL44</f>
        <v>151996.63</v>
      </c>
      <c r="AQ44" s="171"/>
    </row>
    <row r="45" spans="1:43" x14ac:dyDescent="0.25">
      <c r="A45" s="162" t="s">
        <v>48</v>
      </c>
      <c r="B45" s="33">
        <v>0</v>
      </c>
      <c r="C45" s="34"/>
      <c r="D45" s="35"/>
      <c r="E45" s="168">
        <v>0</v>
      </c>
      <c r="F45" s="169"/>
      <c r="G45" s="170"/>
      <c r="H45" s="168">
        <v>0</v>
      </c>
      <c r="I45" s="169"/>
      <c r="J45" s="170"/>
      <c r="K45" s="168">
        <v>0</v>
      </c>
      <c r="L45" s="169"/>
      <c r="M45" s="170"/>
      <c r="N45" s="168">
        <v>0</v>
      </c>
      <c r="O45" s="169"/>
      <c r="P45" s="170"/>
      <c r="Q45" s="168">
        <v>0</v>
      </c>
      <c r="R45" s="169"/>
      <c r="S45" s="170"/>
      <c r="T45" s="168">
        <v>0</v>
      </c>
      <c r="U45" s="169"/>
      <c r="V45" s="170"/>
      <c r="W45" s="168">
        <v>0</v>
      </c>
      <c r="X45" s="169"/>
      <c r="Y45" s="170"/>
      <c r="Z45" s="168">
        <v>0</v>
      </c>
      <c r="AA45" s="169"/>
      <c r="AB45" s="170"/>
      <c r="AC45" s="168">
        <v>0</v>
      </c>
      <c r="AD45" s="169"/>
      <c r="AE45" s="170"/>
      <c r="AF45" s="168">
        <v>0</v>
      </c>
      <c r="AG45" s="169"/>
      <c r="AH45" s="170"/>
      <c r="AI45" s="168">
        <f>250+250+250+250</f>
        <v>1000</v>
      </c>
      <c r="AJ45" s="169"/>
      <c r="AK45" s="170"/>
      <c r="AL45" s="33">
        <f>0+1000</f>
        <v>1000</v>
      </c>
      <c r="AM45" s="34"/>
      <c r="AN45" s="35"/>
      <c r="AO45" s="172">
        <f>AL45/AL101</f>
        <v>2.3675712627704124E-3</v>
      </c>
      <c r="AP45" s="168">
        <f>1000</f>
        <v>1000</v>
      </c>
      <c r="AQ45" s="170"/>
    </row>
    <row r="46" spans="1:43" x14ac:dyDescent="0.25">
      <c r="A46" s="152" t="s">
        <v>49</v>
      </c>
      <c r="B46" s="153">
        <f>SUM(B47:D49)</f>
        <v>57379.83</v>
      </c>
      <c r="C46" s="153"/>
      <c r="D46" s="153"/>
      <c r="E46" s="153">
        <f t="shared" ref="E46" si="9">SUM(E47:G49)</f>
        <v>0</v>
      </c>
      <c r="F46" s="153"/>
      <c r="G46" s="153"/>
      <c r="H46" s="153">
        <f t="shared" ref="H46" si="10">SUM(H47:J49)</f>
        <v>12.25</v>
      </c>
      <c r="I46" s="153"/>
      <c r="J46" s="153"/>
      <c r="K46" s="153">
        <f t="shared" ref="K46" si="11">SUM(K47:M49)</f>
        <v>9.5</v>
      </c>
      <c r="L46" s="153"/>
      <c r="M46" s="153"/>
      <c r="N46" s="153">
        <f t="shared" ref="N46" si="12">SUM(N47:P49)</f>
        <v>0</v>
      </c>
      <c r="O46" s="153"/>
      <c r="P46" s="153"/>
      <c r="Q46" s="153">
        <f t="shared" ref="Q46" si="13">SUM(Q47:S49)</f>
        <v>8265</v>
      </c>
      <c r="R46" s="153"/>
      <c r="S46" s="153"/>
      <c r="T46" s="153">
        <f t="shared" ref="T46" si="14">SUM(T47:V49)</f>
        <v>0</v>
      </c>
      <c r="U46" s="153"/>
      <c r="V46" s="153"/>
      <c r="W46" s="153">
        <f t="shared" ref="W46" si="15">SUM(W47:Y49)</f>
        <v>1449.95</v>
      </c>
      <c r="X46" s="153"/>
      <c r="Y46" s="158"/>
      <c r="Z46" s="153">
        <f>SUM(Z47:AB49)</f>
        <v>6.25</v>
      </c>
      <c r="AA46" s="153"/>
      <c r="AB46" s="158"/>
      <c r="AC46" s="153">
        <f>SUM(AC47:AE49)</f>
        <v>176.58</v>
      </c>
      <c r="AD46" s="153"/>
      <c r="AE46" s="153"/>
      <c r="AF46" s="153">
        <f>SUM(AF47:AH49)</f>
        <v>0</v>
      </c>
      <c r="AG46" s="153"/>
      <c r="AH46" s="158"/>
      <c r="AI46" s="153">
        <f>SUM(AI47:AK49)</f>
        <v>10505.9</v>
      </c>
      <c r="AJ46" s="153"/>
      <c r="AK46" s="158"/>
      <c r="AL46" s="153">
        <f>SUM(AL47:AN49)</f>
        <v>20425.43</v>
      </c>
      <c r="AM46" s="153"/>
      <c r="AN46" s="153"/>
      <c r="AO46" s="160">
        <f>AL46/AL100</f>
        <v>3.3999894798133937E-2</v>
      </c>
      <c r="AP46" s="161">
        <f>SUM(AP47:AQ49)</f>
        <v>77211.740000000005</v>
      </c>
      <c r="AQ46" s="161"/>
    </row>
    <row r="47" spans="1:43" x14ac:dyDescent="0.25">
      <c r="A47" s="162" t="s">
        <v>50</v>
      </c>
      <c r="B47" s="176">
        <f>3448.33</f>
        <v>3448.33</v>
      </c>
      <c r="C47" s="176"/>
      <c r="D47" s="176"/>
      <c r="E47" s="164">
        <v>0</v>
      </c>
      <c r="F47" s="165"/>
      <c r="G47" s="166"/>
      <c r="H47" s="164">
        <v>0</v>
      </c>
      <c r="I47" s="165"/>
      <c r="J47" s="166"/>
      <c r="K47" s="167">
        <v>0</v>
      </c>
      <c r="L47" s="167"/>
      <c r="M47" s="167"/>
      <c r="N47" s="164">
        <v>0</v>
      </c>
      <c r="O47" s="165"/>
      <c r="P47" s="166"/>
      <c r="Q47" s="168">
        <v>0</v>
      </c>
      <c r="R47" s="169"/>
      <c r="S47" s="170"/>
      <c r="T47" s="164">
        <v>0</v>
      </c>
      <c r="U47" s="165"/>
      <c r="V47" s="166"/>
      <c r="W47" s="177">
        <v>0</v>
      </c>
      <c r="X47" s="178"/>
      <c r="Y47" s="178"/>
      <c r="Z47" s="168">
        <v>0</v>
      </c>
      <c r="AA47" s="169"/>
      <c r="AB47" s="170"/>
      <c r="AC47" s="171">
        <f>176.58</f>
        <v>176.58</v>
      </c>
      <c r="AD47" s="171"/>
      <c r="AE47" s="171"/>
      <c r="AF47" s="168">
        <v>0</v>
      </c>
      <c r="AG47" s="169"/>
      <c r="AH47" s="169"/>
      <c r="AI47" s="171">
        <v>0</v>
      </c>
      <c r="AJ47" s="171"/>
      <c r="AK47" s="171"/>
      <c r="AL47" s="163">
        <f>176.58</f>
        <v>176.58</v>
      </c>
      <c r="AM47" s="163"/>
      <c r="AN47" s="163"/>
      <c r="AO47" s="172">
        <f>AL47/AL100</f>
        <v>2.9393268212490463E-4</v>
      </c>
      <c r="AP47" s="171">
        <f>3238.33+AL47</f>
        <v>3414.91</v>
      </c>
      <c r="AQ47" s="171"/>
    </row>
    <row r="48" spans="1:43" x14ac:dyDescent="0.25">
      <c r="A48" s="162" t="s">
        <v>51</v>
      </c>
      <c r="B48" s="163">
        <f>8945.5</f>
        <v>8945.5</v>
      </c>
      <c r="C48" s="163"/>
      <c r="D48" s="163"/>
      <c r="E48" s="164">
        <v>0</v>
      </c>
      <c r="F48" s="165"/>
      <c r="G48" s="166"/>
      <c r="H48" s="164">
        <v>12.25</v>
      </c>
      <c r="I48" s="165"/>
      <c r="J48" s="166"/>
      <c r="K48" s="167">
        <v>9.5</v>
      </c>
      <c r="L48" s="167"/>
      <c r="M48" s="167"/>
      <c r="N48" s="164">
        <v>0</v>
      </c>
      <c r="O48" s="165"/>
      <c r="P48" s="166"/>
      <c r="Q48" s="168">
        <v>0</v>
      </c>
      <c r="R48" s="169"/>
      <c r="S48" s="170"/>
      <c r="T48" s="164">
        <v>0</v>
      </c>
      <c r="U48" s="165"/>
      <c r="V48" s="166"/>
      <c r="W48" s="168">
        <f>1449.95</f>
        <v>1449.95</v>
      </c>
      <c r="X48" s="169"/>
      <c r="Y48" s="169"/>
      <c r="Z48" s="168">
        <f>6.25</f>
        <v>6.25</v>
      </c>
      <c r="AA48" s="169"/>
      <c r="AB48" s="170"/>
      <c r="AC48" s="171">
        <v>0</v>
      </c>
      <c r="AD48" s="171"/>
      <c r="AE48" s="171"/>
      <c r="AF48" s="168">
        <v>0</v>
      </c>
      <c r="AG48" s="169"/>
      <c r="AH48" s="169"/>
      <c r="AI48" s="171">
        <f>1575.9</f>
        <v>1575.9</v>
      </c>
      <c r="AJ48" s="171"/>
      <c r="AK48" s="171"/>
      <c r="AL48" s="163">
        <f>12.25+9.5+1449.95+6.25+1575.9</f>
        <v>3053.8500000000004</v>
      </c>
      <c r="AM48" s="163"/>
      <c r="AN48" s="163"/>
      <c r="AO48" s="172">
        <f>AL48/AL100</f>
        <v>5.0833974476562471E-3</v>
      </c>
      <c r="AP48" s="171">
        <f>8561.98+AL48</f>
        <v>11615.83</v>
      </c>
      <c r="AQ48" s="171"/>
    </row>
    <row r="49" spans="1:43" x14ac:dyDescent="0.25">
      <c r="A49" s="162" t="s">
        <v>52</v>
      </c>
      <c r="B49" s="163">
        <f>44986</f>
        <v>44986</v>
      </c>
      <c r="C49" s="163"/>
      <c r="D49" s="163"/>
      <c r="E49" s="164">
        <v>0</v>
      </c>
      <c r="F49" s="165"/>
      <c r="G49" s="166"/>
      <c r="H49" s="164">
        <v>0</v>
      </c>
      <c r="I49" s="165"/>
      <c r="J49" s="166"/>
      <c r="K49" s="167">
        <v>0</v>
      </c>
      <c r="L49" s="167"/>
      <c r="M49" s="167"/>
      <c r="N49" s="164">
        <v>0</v>
      </c>
      <c r="O49" s="165"/>
      <c r="P49" s="166"/>
      <c r="Q49" s="168">
        <v>8265</v>
      </c>
      <c r="R49" s="169"/>
      <c r="S49" s="170"/>
      <c r="T49" s="164">
        <v>0</v>
      </c>
      <c r="U49" s="165"/>
      <c r="V49" s="166"/>
      <c r="W49" s="168">
        <v>0</v>
      </c>
      <c r="X49" s="169"/>
      <c r="Y49" s="169"/>
      <c r="Z49" s="168">
        <v>0</v>
      </c>
      <c r="AA49" s="169"/>
      <c r="AB49" s="170"/>
      <c r="AC49" s="171">
        <v>0</v>
      </c>
      <c r="AD49" s="171"/>
      <c r="AE49" s="171"/>
      <c r="AF49" s="168">
        <v>0</v>
      </c>
      <c r="AG49" s="169"/>
      <c r="AH49" s="169"/>
      <c r="AI49" s="171">
        <f>8930</f>
        <v>8930</v>
      </c>
      <c r="AJ49" s="171"/>
      <c r="AK49" s="171"/>
      <c r="AL49" s="163">
        <f>8265+8930</f>
        <v>17195</v>
      </c>
      <c r="AM49" s="163"/>
      <c r="AN49" s="163"/>
      <c r="AO49" s="172">
        <f>AL49/AL100</f>
        <v>2.8622564668352786E-2</v>
      </c>
      <c r="AP49" s="171">
        <f>44986+AL49</f>
        <v>62181</v>
      </c>
      <c r="AQ49" s="171"/>
    </row>
    <row r="50" spans="1:43" x14ac:dyDescent="0.25">
      <c r="A50" s="152" t="s">
        <v>53</v>
      </c>
      <c r="B50" s="153">
        <f>SUM(B51:D62)</f>
        <v>196250.06</v>
      </c>
      <c r="C50" s="153"/>
      <c r="D50" s="153"/>
      <c r="E50" s="153">
        <f t="shared" ref="E50" si="16">SUM(E51:G62)</f>
        <v>3394.76</v>
      </c>
      <c r="F50" s="153"/>
      <c r="G50" s="153"/>
      <c r="H50" s="153">
        <f t="shared" ref="H50" si="17">SUM(H51:J62)</f>
        <v>3445.4700000000003</v>
      </c>
      <c r="I50" s="153"/>
      <c r="J50" s="153"/>
      <c r="K50" s="153">
        <f t="shared" ref="K50" si="18">SUM(K51:M62)</f>
        <v>3648.71</v>
      </c>
      <c r="L50" s="153"/>
      <c r="M50" s="153"/>
      <c r="N50" s="153">
        <f t="shared" ref="N50" si="19">SUM(N51:P62)</f>
        <v>3566.1600000000003</v>
      </c>
      <c r="O50" s="153"/>
      <c r="P50" s="153"/>
      <c r="Q50" s="153">
        <f t="shared" ref="Q50" si="20">SUM(Q51:S62)</f>
        <v>5452.22</v>
      </c>
      <c r="R50" s="153"/>
      <c r="S50" s="153"/>
      <c r="T50" s="153">
        <f t="shared" ref="T50" si="21">SUM(T51:V62)</f>
        <v>5594.24</v>
      </c>
      <c r="U50" s="153"/>
      <c r="V50" s="153"/>
      <c r="W50" s="153">
        <f>SUM(W51:Y62)</f>
        <v>3578.57</v>
      </c>
      <c r="X50" s="153"/>
      <c r="Y50" s="158"/>
      <c r="Z50" s="153">
        <f>SUM(Z51:AB62)</f>
        <v>3583.9700000000003</v>
      </c>
      <c r="AA50" s="153"/>
      <c r="AB50" s="158"/>
      <c r="AC50" s="153">
        <f>SUM(AC51:AE62)</f>
        <v>3583.52</v>
      </c>
      <c r="AD50" s="153"/>
      <c r="AE50" s="153"/>
      <c r="AF50" s="153">
        <f>SUM(AF51:AH62)</f>
        <v>3586.8</v>
      </c>
      <c r="AG50" s="153"/>
      <c r="AH50" s="158"/>
      <c r="AI50" s="153">
        <f>SUM(AI51:AK62)</f>
        <v>3615.02</v>
      </c>
      <c r="AJ50" s="153"/>
      <c r="AK50" s="158"/>
      <c r="AL50" s="153">
        <f>SUM(AL51:AN62)</f>
        <v>43049.440000000002</v>
      </c>
      <c r="AM50" s="153"/>
      <c r="AN50" s="153"/>
      <c r="AO50" s="160">
        <f>AL50/AL100</f>
        <v>7.1659516157974598E-2</v>
      </c>
      <c r="AP50" s="161">
        <f>SUM(AP51:AQ62)</f>
        <v>236258.72999999995</v>
      </c>
      <c r="AQ50" s="161"/>
    </row>
    <row r="51" spans="1:43" x14ac:dyDescent="0.25">
      <c r="A51" s="179" t="s">
        <v>54</v>
      </c>
      <c r="B51" s="163">
        <f>5210.64</f>
        <v>5210.6400000000003</v>
      </c>
      <c r="C51" s="163"/>
      <c r="D51" s="163"/>
      <c r="E51" s="164">
        <v>0</v>
      </c>
      <c r="F51" s="165"/>
      <c r="G51" s="166"/>
      <c r="H51" s="164">
        <v>0</v>
      </c>
      <c r="I51" s="165"/>
      <c r="J51" s="166"/>
      <c r="K51" s="167">
        <v>0</v>
      </c>
      <c r="L51" s="167"/>
      <c r="M51" s="167"/>
      <c r="N51" s="164">
        <v>0</v>
      </c>
      <c r="O51" s="165"/>
      <c r="P51" s="166"/>
      <c r="Q51" s="168">
        <v>0</v>
      </c>
      <c r="R51" s="169"/>
      <c r="S51" s="170"/>
      <c r="T51" s="164">
        <v>0</v>
      </c>
      <c r="U51" s="165"/>
      <c r="V51" s="166"/>
      <c r="W51" s="168">
        <v>0</v>
      </c>
      <c r="X51" s="169"/>
      <c r="Y51" s="169"/>
      <c r="Z51" s="168">
        <v>0</v>
      </c>
      <c r="AA51" s="169"/>
      <c r="AB51" s="170"/>
      <c r="AC51" s="171">
        <v>0</v>
      </c>
      <c r="AD51" s="171"/>
      <c r="AE51" s="171"/>
      <c r="AF51" s="168">
        <v>0</v>
      </c>
      <c r="AG51" s="169"/>
      <c r="AH51" s="169"/>
      <c r="AI51" s="171">
        <v>0</v>
      </c>
      <c r="AJ51" s="171"/>
      <c r="AK51" s="171"/>
      <c r="AL51" s="33">
        <v>0</v>
      </c>
      <c r="AM51" s="34"/>
      <c r="AN51" s="35"/>
      <c r="AO51" s="172">
        <f>AL51/AL100</f>
        <v>0</v>
      </c>
      <c r="AP51" s="180">
        <f>28211.28+AL51</f>
        <v>28211.279999999999</v>
      </c>
      <c r="AQ51" s="181"/>
    </row>
    <row r="52" spans="1:43" x14ac:dyDescent="0.25">
      <c r="A52" s="162" t="s">
        <v>55</v>
      </c>
      <c r="B52" s="163">
        <f>7320</f>
        <v>7320</v>
      </c>
      <c r="C52" s="163"/>
      <c r="D52" s="163"/>
      <c r="E52" s="164">
        <v>0</v>
      </c>
      <c r="F52" s="165"/>
      <c r="G52" s="166"/>
      <c r="H52" s="164">
        <v>0</v>
      </c>
      <c r="I52" s="165"/>
      <c r="J52" s="166"/>
      <c r="K52" s="167">
        <v>0</v>
      </c>
      <c r="L52" s="167"/>
      <c r="M52" s="167"/>
      <c r="N52" s="164">
        <v>0</v>
      </c>
      <c r="O52" s="165"/>
      <c r="P52" s="166"/>
      <c r="Q52" s="168">
        <v>0</v>
      </c>
      <c r="R52" s="169"/>
      <c r="S52" s="170"/>
      <c r="T52" s="164">
        <v>2020</v>
      </c>
      <c r="U52" s="165"/>
      <c r="V52" s="166"/>
      <c r="W52" s="168">
        <v>0</v>
      </c>
      <c r="X52" s="169"/>
      <c r="Y52" s="169"/>
      <c r="Z52" s="168">
        <v>0</v>
      </c>
      <c r="AA52" s="169"/>
      <c r="AB52" s="170"/>
      <c r="AC52" s="171">
        <v>0</v>
      </c>
      <c r="AD52" s="171"/>
      <c r="AE52" s="171"/>
      <c r="AF52" s="168">
        <v>0</v>
      </c>
      <c r="AG52" s="169"/>
      <c r="AH52" s="169"/>
      <c r="AI52" s="171">
        <v>0</v>
      </c>
      <c r="AJ52" s="171"/>
      <c r="AK52" s="171"/>
      <c r="AL52" s="33">
        <f>2020</f>
        <v>2020</v>
      </c>
      <c r="AM52" s="34"/>
      <c r="AN52" s="35"/>
      <c r="AO52" s="172">
        <f>AL52/AL100</f>
        <v>3.3624647066049797E-3</v>
      </c>
      <c r="AP52" s="168">
        <f>7320+AL52</f>
        <v>9340</v>
      </c>
      <c r="AQ52" s="170"/>
    </row>
    <row r="53" spans="1:43" x14ac:dyDescent="0.25">
      <c r="A53" s="162" t="s">
        <v>56</v>
      </c>
      <c r="B53" s="163">
        <f>38253.84</f>
        <v>38253.839999999997</v>
      </c>
      <c r="C53" s="163"/>
      <c r="D53" s="163"/>
      <c r="E53" s="164">
        <v>450</v>
      </c>
      <c r="F53" s="165"/>
      <c r="G53" s="166"/>
      <c r="H53" s="164">
        <v>450</v>
      </c>
      <c r="I53" s="165"/>
      <c r="J53" s="166"/>
      <c r="K53" s="167">
        <v>690</v>
      </c>
      <c r="L53" s="167"/>
      <c r="M53" s="167"/>
      <c r="N53" s="164">
        <v>450</v>
      </c>
      <c r="O53" s="165"/>
      <c r="P53" s="166"/>
      <c r="Q53" s="168">
        <v>450</v>
      </c>
      <c r="R53" s="169"/>
      <c r="S53" s="170"/>
      <c r="T53" s="164">
        <v>450</v>
      </c>
      <c r="U53" s="165"/>
      <c r="V53" s="166"/>
      <c r="W53" s="168">
        <f>450</f>
        <v>450</v>
      </c>
      <c r="X53" s="169"/>
      <c r="Y53" s="169"/>
      <c r="Z53" s="168">
        <f>450</f>
        <v>450</v>
      </c>
      <c r="AA53" s="169"/>
      <c r="AB53" s="170"/>
      <c r="AC53" s="171">
        <f>450</f>
        <v>450</v>
      </c>
      <c r="AD53" s="171"/>
      <c r="AE53" s="171"/>
      <c r="AF53" s="168">
        <f>450</f>
        <v>450</v>
      </c>
      <c r="AG53" s="169"/>
      <c r="AH53" s="169"/>
      <c r="AI53" s="171">
        <f>450</f>
        <v>450</v>
      </c>
      <c r="AJ53" s="171"/>
      <c r="AK53" s="171"/>
      <c r="AL53" s="33">
        <f>450+450+690+450+450+450+450+450+450+450+450</f>
        <v>5190</v>
      </c>
      <c r="AM53" s="34"/>
      <c r="AN53" s="35"/>
      <c r="AO53" s="172">
        <f>AL53/AL100</f>
        <v>8.6392038748910119E-3</v>
      </c>
      <c r="AP53" s="168">
        <f>11250+AL53</f>
        <v>16440</v>
      </c>
      <c r="AQ53" s="170"/>
    </row>
    <row r="54" spans="1:43" x14ac:dyDescent="0.25">
      <c r="A54" s="162" t="s">
        <v>57</v>
      </c>
      <c r="B54" s="163">
        <f>43576.7</f>
        <v>43576.7</v>
      </c>
      <c r="C54" s="163"/>
      <c r="D54" s="163"/>
      <c r="E54" s="164">
        <v>0</v>
      </c>
      <c r="F54" s="165"/>
      <c r="G54" s="166"/>
      <c r="H54" s="164">
        <v>0</v>
      </c>
      <c r="I54" s="165"/>
      <c r="J54" s="166"/>
      <c r="K54" s="167">
        <v>0</v>
      </c>
      <c r="L54" s="167"/>
      <c r="M54" s="167"/>
      <c r="N54" s="164">
        <v>0</v>
      </c>
      <c r="O54" s="165"/>
      <c r="P54" s="166"/>
      <c r="Q54" s="168">
        <v>0</v>
      </c>
      <c r="R54" s="169"/>
      <c r="S54" s="170"/>
      <c r="T54" s="164">
        <v>0</v>
      </c>
      <c r="U54" s="165"/>
      <c r="V54" s="166"/>
      <c r="W54" s="168">
        <v>0</v>
      </c>
      <c r="X54" s="169"/>
      <c r="Y54" s="169"/>
      <c r="Z54" s="168">
        <v>0</v>
      </c>
      <c r="AA54" s="169"/>
      <c r="AB54" s="170"/>
      <c r="AC54" s="171">
        <v>0</v>
      </c>
      <c r="AD54" s="171"/>
      <c r="AE54" s="171"/>
      <c r="AF54" s="168">
        <v>0</v>
      </c>
      <c r="AG54" s="169"/>
      <c r="AH54" s="169"/>
      <c r="AI54" s="171">
        <v>0</v>
      </c>
      <c r="AJ54" s="171"/>
      <c r="AK54" s="171"/>
      <c r="AL54" s="33">
        <v>0</v>
      </c>
      <c r="AM54" s="34"/>
      <c r="AN54" s="35"/>
      <c r="AO54" s="172">
        <f>AL54/AL100</f>
        <v>0</v>
      </c>
      <c r="AP54" s="168">
        <f>43576.7+AL54</f>
        <v>43576.7</v>
      </c>
      <c r="AQ54" s="170"/>
    </row>
    <row r="55" spans="1:43" x14ac:dyDescent="0.25">
      <c r="A55" s="162" t="s">
        <v>58</v>
      </c>
      <c r="B55" s="163">
        <f>65396.1</f>
        <v>65396.1</v>
      </c>
      <c r="C55" s="163"/>
      <c r="D55" s="163"/>
      <c r="E55" s="164">
        <v>2581.65</v>
      </c>
      <c r="F55" s="165"/>
      <c r="G55" s="166"/>
      <c r="H55" s="164">
        <v>2590.5100000000002</v>
      </c>
      <c r="I55" s="165"/>
      <c r="J55" s="166"/>
      <c r="K55" s="167">
        <v>2595.6</v>
      </c>
      <c r="L55" s="167"/>
      <c r="M55" s="167"/>
      <c r="N55" s="164">
        <v>2597.4</v>
      </c>
      <c r="O55" s="165"/>
      <c r="P55" s="166"/>
      <c r="Q55" s="168">
        <v>2618.5500000000002</v>
      </c>
      <c r="R55" s="169"/>
      <c r="S55" s="170"/>
      <c r="T55" s="164">
        <v>2615.4</v>
      </c>
      <c r="U55" s="165"/>
      <c r="V55" s="166"/>
      <c r="W55" s="168">
        <f>2619.9</f>
        <v>2619.9</v>
      </c>
      <c r="X55" s="169"/>
      <c r="Y55" s="169"/>
      <c r="Z55" s="168">
        <f>2625.3</f>
        <v>2625.3</v>
      </c>
      <c r="AA55" s="169"/>
      <c r="AB55" s="170"/>
      <c r="AC55" s="171">
        <f>2624.85</f>
        <v>2624.85</v>
      </c>
      <c r="AD55" s="171"/>
      <c r="AE55" s="171"/>
      <c r="AF55" s="168">
        <f>2623.05</f>
        <v>2623.05</v>
      </c>
      <c r="AG55" s="169"/>
      <c r="AH55" s="169"/>
      <c r="AI55" s="171">
        <f>2656.35</f>
        <v>2656.35</v>
      </c>
      <c r="AJ55" s="171"/>
      <c r="AK55" s="171"/>
      <c r="AL55" s="163">
        <f>2581.65+2590.51+2595.6+2597.4+2618.55+2615.4+2619.9+2625.3+2624.85+2623.05+2656.35</f>
        <v>28748.559999999994</v>
      </c>
      <c r="AM55" s="163"/>
      <c r="AN55" s="163"/>
      <c r="AO55" s="172">
        <f>AL55/AL100</f>
        <v>4.7854464537482988E-2</v>
      </c>
      <c r="AP55" s="182">
        <f>65396.1+AL55</f>
        <v>94144.659999999989</v>
      </c>
      <c r="AQ55" s="182"/>
    </row>
    <row r="56" spans="1:43" x14ac:dyDescent="0.25">
      <c r="A56" s="162" t="s">
        <v>59</v>
      </c>
      <c r="B56" s="163">
        <f>5687.89</f>
        <v>5687.89</v>
      </c>
      <c r="C56" s="163"/>
      <c r="D56" s="163"/>
      <c r="E56" s="164">
        <v>273.11</v>
      </c>
      <c r="F56" s="165"/>
      <c r="G56" s="166"/>
      <c r="H56" s="164">
        <v>273.11</v>
      </c>
      <c r="I56" s="165"/>
      <c r="J56" s="166"/>
      <c r="K56" s="167">
        <v>273.11</v>
      </c>
      <c r="L56" s="167"/>
      <c r="M56" s="167"/>
      <c r="N56" s="164">
        <v>293.67</v>
      </c>
      <c r="O56" s="165"/>
      <c r="P56" s="166"/>
      <c r="Q56" s="168">
        <v>293.67</v>
      </c>
      <c r="R56" s="169"/>
      <c r="S56" s="170"/>
      <c r="T56" s="164">
        <v>293.67</v>
      </c>
      <c r="U56" s="165"/>
      <c r="V56" s="166"/>
      <c r="W56" s="168">
        <f>293.67</f>
        <v>293.67</v>
      </c>
      <c r="X56" s="169"/>
      <c r="Y56" s="169"/>
      <c r="Z56" s="168">
        <f>293.67</f>
        <v>293.67</v>
      </c>
      <c r="AA56" s="169"/>
      <c r="AB56" s="170"/>
      <c r="AC56" s="171">
        <f>293.67</f>
        <v>293.67</v>
      </c>
      <c r="AD56" s="171"/>
      <c r="AE56" s="171"/>
      <c r="AF56" s="168">
        <f>293.67</f>
        <v>293.67</v>
      </c>
      <c r="AG56" s="169"/>
      <c r="AH56" s="169"/>
      <c r="AI56" s="171">
        <f>293.67</f>
        <v>293.67</v>
      </c>
      <c r="AJ56" s="171"/>
      <c r="AK56" s="171"/>
      <c r="AL56" s="163">
        <f>273.11+273.11+273.11+293.67+293.67+293.67+293.67+293.67+293.67+293.67+293.67</f>
        <v>3168.6900000000005</v>
      </c>
      <c r="AM56" s="163"/>
      <c r="AN56" s="163"/>
      <c r="AO56" s="172">
        <f>AL56/AL100</f>
        <v>5.2745585599862053E-3</v>
      </c>
      <c r="AP56" s="171">
        <f>5687.89+AL56</f>
        <v>8856.5800000000017</v>
      </c>
      <c r="AQ56" s="171"/>
    </row>
    <row r="57" spans="1:43" x14ac:dyDescent="0.25">
      <c r="A57" s="162" t="s">
        <v>60</v>
      </c>
      <c r="B57" s="163">
        <f>360</f>
        <v>360</v>
      </c>
      <c r="C57" s="163"/>
      <c r="D57" s="163"/>
      <c r="E57" s="164">
        <v>90</v>
      </c>
      <c r="F57" s="165"/>
      <c r="G57" s="166"/>
      <c r="H57" s="164">
        <v>131.85</v>
      </c>
      <c r="I57" s="165"/>
      <c r="J57" s="166"/>
      <c r="K57" s="167">
        <v>90</v>
      </c>
      <c r="L57" s="167"/>
      <c r="M57" s="167"/>
      <c r="N57" s="164">
        <v>225.09</v>
      </c>
      <c r="O57" s="165"/>
      <c r="P57" s="166"/>
      <c r="Q57" s="168">
        <v>90</v>
      </c>
      <c r="R57" s="169"/>
      <c r="S57" s="170"/>
      <c r="T57" s="164">
        <v>215.17</v>
      </c>
      <c r="U57" s="165"/>
      <c r="V57" s="166"/>
      <c r="W57" s="168">
        <f>215</f>
        <v>215</v>
      </c>
      <c r="X57" s="169"/>
      <c r="Y57" s="169"/>
      <c r="Z57" s="168">
        <f>215</f>
        <v>215</v>
      </c>
      <c r="AA57" s="169"/>
      <c r="AB57" s="170"/>
      <c r="AC57" s="171">
        <f>215</f>
        <v>215</v>
      </c>
      <c r="AD57" s="171"/>
      <c r="AE57" s="171"/>
      <c r="AF57" s="168">
        <f>220.08</f>
        <v>220.08</v>
      </c>
      <c r="AG57" s="169"/>
      <c r="AH57" s="169"/>
      <c r="AI57" s="171">
        <f>215</f>
        <v>215</v>
      </c>
      <c r="AJ57" s="171"/>
      <c r="AK57" s="171"/>
      <c r="AL57" s="163">
        <f>90+131.85+90+225.09+90+215.17+215+215+215+220.08+215</f>
        <v>1922.19</v>
      </c>
      <c r="AM57" s="163"/>
      <c r="AN57" s="163"/>
      <c r="AO57" s="172">
        <f>AL57/AL100</f>
        <v>3.1996515021727851E-3</v>
      </c>
      <c r="AP57" s="171">
        <f>696.75+AL57</f>
        <v>2618.94</v>
      </c>
      <c r="AQ57" s="171"/>
    </row>
    <row r="58" spans="1:43" x14ac:dyDescent="0.25">
      <c r="A58" s="162" t="s">
        <v>61</v>
      </c>
      <c r="B58" s="163">
        <f>19782.78</f>
        <v>19782.78</v>
      </c>
      <c r="C58" s="163"/>
      <c r="D58" s="163"/>
      <c r="E58" s="164">
        <v>0</v>
      </c>
      <c r="F58" s="165"/>
      <c r="G58" s="166"/>
      <c r="H58" s="164">
        <v>0</v>
      </c>
      <c r="I58" s="165"/>
      <c r="J58" s="166"/>
      <c r="K58" s="167">
        <v>0</v>
      </c>
      <c r="L58" s="167"/>
      <c r="M58" s="167"/>
      <c r="N58" s="164">
        <v>0</v>
      </c>
      <c r="O58" s="165"/>
      <c r="P58" s="166"/>
      <c r="Q58" s="168">
        <v>2000</v>
      </c>
      <c r="R58" s="169"/>
      <c r="S58" s="170"/>
      <c r="T58" s="164">
        <v>0</v>
      </c>
      <c r="U58" s="165"/>
      <c r="V58" s="166"/>
      <c r="W58" s="168">
        <v>0</v>
      </c>
      <c r="X58" s="169"/>
      <c r="Y58" s="169"/>
      <c r="Z58" s="168">
        <v>0</v>
      </c>
      <c r="AA58" s="169"/>
      <c r="AB58" s="170"/>
      <c r="AC58" s="171">
        <v>0</v>
      </c>
      <c r="AD58" s="171"/>
      <c r="AE58" s="171"/>
      <c r="AF58" s="168">
        <v>0</v>
      </c>
      <c r="AG58" s="169"/>
      <c r="AH58" s="169"/>
      <c r="AI58" s="171">
        <v>0</v>
      </c>
      <c r="AJ58" s="171"/>
      <c r="AK58" s="171"/>
      <c r="AL58" s="163">
        <f>2000</f>
        <v>2000</v>
      </c>
      <c r="AM58" s="163"/>
      <c r="AN58" s="163"/>
      <c r="AO58" s="172">
        <f>AL58/AL100</f>
        <v>3.3291729768366134E-3</v>
      </c>
      <c r="AP58" s="171">
        <f>21782.46+AL58</f>
        <v>23782.46</v>
      </c>
      <c r="AQ58" s="171"/>
    </row>
    <row r="59" spans="1:43" x14ac:dyDescent="0.25">
      <c r="A59" s="162" t="s">
        <v>62</v>
      </c>
      <c r="B59" s="163">
        <f>3000</f>
        <v>3000</v>
      </c>
      <c r="C59" s="163"/>
      <c r="D59" s="163"/>
      <c r="E59" s="164">
        <v>0</v>
      </c>
      <c r="F59" s="165"/>
      <c r="G59" s="166"/>
      <c r="H59" s="164">
        <v>0</v>
      </c>
      <c r="I59" s="165"/>
      <c r="J59" s="166"/>
      <c r="K59" s="167">
        <v>0</v>
      </c>
      <c r="L59" s="167"/>
      <c r="M59" s="167"/>
      <c r="N59" s="164">
        <v>0</v>
      </c>
      <c r="O59" s="165"/>
      <c r="P59" s="166"/>
      <c r="Q59" s="168">
        <v>0</v>
      </c>
      <c r="R59" s="169"/>
      <c r="S59" s="170"/>
      <c r="T59" s="164">
        <v>0</v>
      </c>
      <c r="U59" s="165"/>
      <c r="V59" s="166"/>
      <c r="W59" s="168">
        <v>0</v>
      </c>
      <c r="X59" s="169"/>
      <c r="Y59" s="169"/>
      <c r="Z59" s="168">
        <v>0</v>
      </c>
      <c r="AA59" s="169"/>
      <c r="AB59" s="170"/>
      <c r="AC59" s="171">
        <v>0</v>
      </c>
      <c r="AD59" s="171"/>
      <c r="AE59" s="171"/>
      <c r="AF59" s="168">
        <v>0</v>
      </c>
      <c r="AG59" s="169"/>
      <c r="AH59" s="169"/>
      <c r="AI59" s="171">
        <v>0</v>
      </c>
      <c r="AJ59" s="171"/>
      <c r="AK59" s="171"/>
      <c r="AL59" s="163">
        <v>0</v>
      </c>
      <c r="AM59" s="163"/>
      <c r="AN59" s="163"/>
      <c r="AO59" s="172">
        <f>AL59/AL100</f>
        <v>0</v>
      </c>
      <c r="AP59" s="171">
        <f>1500+AL59</f>
        <v>1500</v>
      </c>
      <c r="AQ59" s="171"/>
    </row>
    <row r="60" spans="1:43" x14ac:dyDescent="0.25">
      <c r="A60" s="162" t="s">
        <v>63</v>
      </c>
      <c r="B60" s="163">
        <f>5618.11</f>
        <v>5618.11</v>
      </c>
      <c r="C60" s="163"/>
      <c r="D60" s="163"/>
      <c r="E60" s="164">
        <v>0</v>
      </c>
      <c r="F60" s="165"/>
      <c r="G60" s="166"/>
      <c r="H60" s="164">
        <v>0</v>
      </c>
      <c r="I60" s="165"/>
      <c r="J60" s="166"/>
      <c r="K60" s="167">
        <v>0</v>
      </c>
      <c r="L60" s="167"/>
      <c r="M60" s="167"/>
      <c r="N60" s="164">
        <v>0</v>
      </c>
      <c r="O60" s="165"/>
      <c r="P60" s="166"/>
      <c r="Q60" s="168">
        <v>0</v>
      </c>
      <c r="R60" s="169"/>
      <c r="S60" s="170"/>
      <c r="T60" s="164">
        <v>0</v>
      </c>
      <c r="U60" s="165"/>
      <c r="V60" s="166"/>
      <c r="W60" s="168">
        <v>0</v>
      </c>
      <c r="X60" s="169"/>
      <c r="Y60" s="169"/>
      <c r="Z60" s="168">
        <v>0</v>
      </c>
      <c r="AA60" s="169"/>
      <c r="AB60" s="170"/>
      <c r="AC60" s="171">
        <v>0</v>
      </c>
      <c r="AD60" s="171"/>
      <c r="AE60" s="171"/>
      <c r="AF60" s="168">
        <v>0</v>
      </c>
      <c r="AG60" s="169"/>
      <c r="AH60" s="169"/>
      <c r="AI60" s="171">
        <v>0</v>
      </c>
      <c r="AJ60" s="171"/>
      <c r="AK60" s="171"/>
      <c r="AL60" s="163">
        <v>0</v>
      </c>
      <c r="AM60" s="163"/>
      <c r="AN60" s="163"/>
      <c r="AO60" s="172">
        <f>AL60/AL100</f>
        <v>0</v>
      </c>
      <c r="AP60" s="171">
        <f>5618.11+AL60</f>
        <v>5618.11</v>
      </c>
      <c r="AQ60" s="171"/>
    </row>
    <row r="61" spans="1:43" x14ac:dyDescent="0.25">
      <c r="A61" s="162" t="s">
        <v>64</v>
      </c>
      <c r="B61" s="163">
        <f>84</f>
        <v>84</v>
      </c>
      <c r="C61" s="163"/>
      <c r="D61" s="163"/>
      <c r="E61" s="164">
        <v>0</v>
      </c>
      <c r="F61" s="165"/>
      <c r="G61" s="166"/>
      <c r="H61" s="164">
        <v>0</v>
      </c>
      <c r="I61" s="165"/>
      <c r="J61" s="166"/>
      <c r="K61" s="167">
        <v>0</v>
      </c>
      <c r="L61" s="167"/>
      <c r="M61" s="167"/>
      <c r="N61" s="164">
        <v>0</v>
      </c>
      <c r="O61" s="165"/>
      <c r="P61" s="166"/>
      <c r="Q61" s="168">
        <v>0</v>
      </c>
      <c r="R61" s="169"/>
      <c r="S61" s="170"/>
      <c r="T61" s="164">
        <v>0</v>
      </c>
      <c r="U61" s="165"/>
      <c r="V61" s="166"/>
      <c r="W61" s="168">
        <v>0</v>
      </c>
      <c r="X61" s="169"/>
      <c r="Y61" s="169"/>
      <c r="Z61" s="168">
        <v>0</v>
      </c>
      <c r="AA61" s="169"/>
      <c r="AB61" s="170"/>
      <c r="AC61" s="171">
        <v>0</v>
      </c>
      <c r="AD61" s="171"/>
      <c r="AE61" s="171"/>
      <c r="AF61" s="168">
        <v>0</v>
      </c>
      <c r="AG61" s="169"/>
      <c r="AH61" s="169"/>
      <c r="AI61" s="171">
        <v>0</v>
      </c>
      <c r="AJ61" s="171"/>
      <c r="AK61" s="171"/>
      <c r="AL61" s="163">
        <f>0</f>
        <v>0</v>
      </c>
      <c r="AM61" s="163"/>
      <c r="AN61" s="163"/>
      <c r="AO61" s="172">
        <f>AL61/AL100</f>
        <v>0</v>
      </c>
      <c r="AP61" s="171">
        <f>0+AL61</f>
        <v>0</v>
      </c>
      <c r="AQ61" s="171"/>
    </row>
    <row r="62" spans="1:43" x14ac:dyDescent="0.25">
      <c r="A62" s="162" t="s">
        <v>65</v>
      </c>
      <c r="B62" s="163">
        <f>1960</f>
        <v>1960</v>
      </c>
      <c r="C62" s="163"/>
      <c r="D62" s="163"/>
      <c r="E62" s="164">
        <v>0</v>
      </c>
      <c r="F62" s="165"/>
      <c r="G62" s="166"/>
      <c r="H62" s="164">
        <v>0</v>
      </c>
      <c r="I62" s="165"/>
      <c r="J62" s="166"/>
      <c r="K62" s="167">
        <v>0</v>
      </c>
      <c r="L62" s="167"/>
      <c r="M62" s="167"/>
      <c r="N62" s="164">
        <v>0</v>
      </c>
      <c r="O62" s="165"/>
      <c r="P62" s="166"/>
      <c r="Q62" s="168">
        <v>0</v>
      </c>
      <c r="R62" s="169"/>
      <c r="S62" s="170"/>
      <c r="T62" s="164">
        <v>0</v>
      </c>
      <c r="U62" s="165"/>
      <c r="V62" s="166"/>
      <c r="W62" s="168">
        <v>0</v>
      </c>
      <c r="X62" s="169"/>
      <c r="Y62" s="169"/>
      <c r="Z62" s="168">
        <v>0</v>
      </c>
      <c r="AA62" s="169"/>
      <c r="AB62" s="170"/>
      <c r="AC62" s="171">
        <v>0</v>
      </c>
      <c r="AD62" s="171"/>
      <c r="AE62" s="171"/>
      <c r="AF62" s="168">
        <v>0</v>
      </c>
      <c r="AG62" s="169"/>
      <c r="AH62" s="169"/>
      <c r="AI62" s="171">
        <v>0</v>
      </c>
      <c r="AJ62" s="171"/>
      <c r="AK62" s="171"/>
      <c r="AL62" s="163">
        <v>0</v>
      </c>
      <c r="AM62" s="163"/>
      <c r="AN62" s="163"/>
      <c r="AO62" s="172">
        <f>AL62/AL100</f>
        <v>0</v>
      </c>
      <c r="AP62" s="171">
        <f>2170+AL62</f>
        <v>2170</v>
      </c>
      <c r="AQ62" s="171"/>
    </row>
    <row r="63" spans="1:43" x14ac:dyDescent="0.25">
      <c r="A63" s="152" t="s">
        <v>66</v>
      </c>
      <c r="B63" s="153">
        <v>36231.96</v>
      </c>
      <c r="C63" s="153"/>
      <c r="D63" s="153"/>
      <c r="E63" s="154">
        <f>SUM(E64:E67)</f>
        <v>3987.0299999999997</v>
      </c>
      <c r="F63" s="155"/>
      <c r="G63" s="156"/>
      <c r="H63" s="154">
        <f t="shared" ref="H63" si="22">SUM(H64:H67)</f>
        <v>4769.6900000000005</v>
      </c>
      <c r="I63" s="155"/>
      <c r="J63" s="156"/>
      <c r="K63" s="157">
        <f>SUM(K64:K67)</f>
        <v>4101.08</v>
      </c>
      <c r="L63" s="157"/>
      <c r="M63" s="157"/>
      <c r="N63" s="154">
        <f t="shared" ref="N63" si="23">SUM(N64:N67)</f>
        <v>4024.0099999999998</v>
      </c>
      <c r="O63" s="155"/>
      <c r="P63" s="156"/>
      <c r="Q63" s="154">
        <f t="shared" ref="Q63" si="24">SUM(Q64:Q67)</f>
        <v>7067.6200000000008</v>
      </c>
      <c r="R63" s="155"/>
      <c r="S63" s="156"/>
      <c r="T63" s="154">
        <f t="shared" ref="T63" si="25">SUM(T64:T67)</f>
        <v>434.25</v>
      </c>
      <c r="U63" s="155"/>
      <c r="V63" s="156"/>
      <c r="W63" s="158">
        <f>SUM(W64:Y67)</f>
        <v>4297.43</v>
      </c>
      <c r="X63" s="159"/>
      <c r="Y63" s="159"/>
      <c r="Z63" s="158">
        <f>SUM(Z64:AB67)</f>
        <v>1359.5900000000001</v>
      </c>
      <c r="AA63" s="159"/>
      <c r="AB63" s="159"/>
      <c r="AC63" s="153">
        <f>SUM(AC64:AE67)</f>
        <v>3969.12</v>
      </c>
      <c r="AD63" s="153"/>
      <c r="AE63" s="153"/>
      <c r="AF63" s="158">
        <f>SUM(AF64:AH67)</f>
        <v>5752.85</v>
      </c>
      <c r="AG63" s="159"/>
      <c r="AH63" s="159"/>
      <c r="AI63" s="158">
        <f>SUM(AI64:AK67)</f>
        <v>5143.22</v>
      </c>
      <c r="AJ63" s="159"/>
      <c r="AK63" s="159"/>
      <c r="AL63" s="153">
        <f>SUM(AL64:AN67)</f>
        <v>44905.889999999992</v>
      </c>
      <c r="AM63" s="153"/>
      <c r="AN63" s="153"/>
      <c r="AO63" s="160">
        <f>AL63/AL100</f>
        <v>7.4749737744398748E-2</v>
      </c>
      <c r="AP63" s="161">
        <f>SUM(AP64:AQ67)</f>
        <v>181747.99</v>
      </c>
      <c r="AQ63" s="161"/>
    </row>
    <row r="64" spans="1:43" x14ac:dyDescent="0.25">
      <c r="A64" s="162" t="s">
        <v>67</v>
      </c>
      <c r="B64" s="163">
        <v>20526.309999999998</v>
      </c>
      <c r="C64" s="163"/>
      <c r="D64" s="163"/>
      <c r="E64" s="164">
        <v>3422.2</v>
      </c>
      <c r="F64" s="165"/>
      <c r="G64" s="166"/>
      <c r="H64" s="164">
        <v>3668.5</v>
      </c>
      <c r="I64" s="165"/>
      <c r="J64" s="166"/>
      <c r="K64" s="167">
        <v>3437.6</v>
      </c>
      <c r="L64" s="167"/>
      <c r="M64" s="167"/>
      <c r="N64" s="164">
        <v>3450.4</v>
      </c>
      <c r="O64" s="165"/>
      <c r="P64" s="166"/>
      <c r="Q64" s="168">
        <v>3538.9</v>
      </c>
      <c r="R64" s="169"/>
      <c r="S64" s="170"/>
      <c r="T64" s="164">
        <v>120.6</v>
      </c>
      <c r="U64" s="165"/>
      <c r="V64" s="166"/>
      <c r="W64" s="168">
        <f>3441</f>
        <v>3441</v>
      </c>
      <c r="X64" s="169"/>
      <c r="Y64" s="169"/>
      <c r="Z64" s="168">
        <f>24.5+9.5+1.5+1.5+9.5+9.5+42</f>
        <v>98</v>
      </c>
      <c r="AA64" s="169"/>
      <c r="AB64" s="170"/>
      <c r="AC64" s="171">
        <f>24.5+9.5+9.5+9.5+9.5+9.5+1+1+3156.14+42+1</f>
        <v>3273.14</v>
      </c>
      <c r="AD64" s="171"/>
      <c r="AE64" s="171"/>
      <c r="AF64" s="168">
        <f>12.25+9.5+1391.01+9+9.5+9.5+42</f>
        <v>1482.76</v>
      </c>
      <c r="AG64" s="169"/>
      <c r="AH64" s="169"/>
      <c r="AI64" s="171">
        <f>177.11+12.25+9.5+3.98+9.5+9.5+42+3422.8</f>
        <v>3686.6400000000003</v>
      </c>
      <c r="AJ64" s="171"/>
      <c r="AK64" s="171"/>
      <c r="AL64" s="163">
        <f>3422.2+3668.5+3437.6+3450.4+3538.9+120.6+3441+98+3273.14+1482.76+3686.64</f>
        <v>29619.739999999994</v>
      </c>
      <c r="AM64" s="163"/>
      <c r="AN64" s="163"/>
      <c r="AO64" s="172">
        <f>AL64/AL100</f>
        <v>4.9304618994463249E-2</v>
      </c>
      <c r="AP64" s="182">
        <f>82070.16+AL64</f>
        <v>111689.9</v>
      </c>
      <c r="AQ64" s="182"/>
    </row>
    <row r="65" spans="1:43" x14ac:dyDescent="0.25">
      <c r="A65" s="162" t="s">
        <v>68</v>
      </c>
      <c r="B65" s="163">
        <v>9727.3100000000013</v>
      </c>
      <c r="C65" s="163"/>
      <c r="D65" s="163"/>
      <c r="E65" s="164">
        <v>529.87</v>
      </c>
      <c r="F65" s="165"/>
      <c r="G65" s="166"/>
      <c r="H65" s="164">
        <v>562.69000000000005</v>
      </c>
      <c r="I65" s="165"/>
      <c r="J65" s="166"/>
      <c r="K65" s="167">
        <v>551.74</v>
      </c>
      <c r="L65" s="167"/>
      <c r="M65" s="167"/>
      <c r="N65" s="164">
        <v>524.16</v>
      </c>
      <c r="O65" s="165"/>
      <c r="P65" s="166"/>
      <c r="Q65" s="168">
        <v>529.87</v>
      </c>
      <c r="R65" s="169"/>
      <c r="S65" s="170"/>
      <c r="T65" s="164">
        <v>311.62</v>
      </c>
      <c r="U65" s="165"/>
      <c r="V65" s="166"/>
      <c r="W65" s="168">
        <f>75+232.5+240.73+257.07</f>
        <v>805.3</v>
      </c>
      <c r="X65" s="169"/>
      <c r="Y65" s="169"/>
      <c r="Z65" s="168">
        <f>255.4+75+232.5</f>
        <v>562.9</v>
      </c>
      <c r="AA65" s="169"/>
      <c r="AB65" s="170"/>
      <c r="AC65" s="171">
        <f>232.5+75+262.73</f>
        <v>570.23</v>
      </c>
      <c r="AD65" s="171"/>
      <c r="AE65" s="171"/>
      <c r="AF65" s="168">
        <f>232.5+75+254.82</f>
        <v>562.31999999999994</v>
      </c>
      <c r="AG65" s="169"/>
      <c r="AH65" s="169"/>
      <c r="AI65" s="171">
        <f>240.13+77.46+25.85+140.64</f>
        <v>484.08</v>
      </c>
      <c r="AJ65" s="171"/>
      <c r="AK65" s="171"/>
      <c r="AL65" s="163">
        <f>529.87+562.69+551.74+524.16+529.87+311.62+805.3+562.9+570.23+562.32+484.08</f>
        <v>5994.7799999999988</v>
      </c>
      <c r="AM65" s="163"/>
      <c r="AN65" s="163"/>
      <c r="AO65" s="172">
        <f>AL65/AL100</f>
        <v>9.9788297890402947E-3</v>
      </c>
      <c r="AP65" s="182">
        <f>40464.83+AL65</f>
        <v>46459.61</v>
      </c>
      <c r="AQ65" s="182"/>
    </row>
    <row r="66" spans="1:43" x14ac:dyDescent="0.25">
      <c r="A66" s="162" t="s">
        <v>69</v>
      </c>
      <c r="B66" s="163">
        <v>5978.34</v>
      </c>
      <c r="C66" s="163"/>
      <c r="D66" s="163"/>
      <c r="E66" s="164">
        <v>34.96</v>
      </c>
      <c r="F66" s="165"/>
      <c r="G66" s="166"/>
      <c r="H66" s="164">
        <v>538.5</v>
      </c>
      <c r="I66" s="165"/>
      <c r="J66" s="166"/>
      <c r="K66" s="167">
        <v>111.74</v>
      </c>
      <c r="L66" s="167"/>
      <c r="M66" s="167"/>
      <c r="N66" s="164">
        <v>49.45</v>
      </c>
      <c r="O66" s="165"/>
      <c r="P66" s="166"/>
      <c r="Q66" s="168">
        <v>2998.8500000000004</v>
      </c>
      <c r="R66" s="169"/>
      <c r="S66" s="170"/>
      <c r="T66" s="164">
        <v>2.0299999999999998</v>
      </c>
      <c r="U66" s="165"/>
      <c r="V66" s="166"/>
      <c r="W66" s="168">
        <f>51.13</f>
        <v>51.13</v>
      </c>
      <c r="X66" s="169"/>
      <c r="Y66" s="169"/>
      <c r="Z66" s="168">
        <f>698.69</f>
        <v>698.69</v>
      </c>
      <c r="AA66" s="169"/>
      <c r="AB66" s="170"/>
      <c r="AC66" s="171">
        <f>125.75</f>
        <v>125.75</v>
      </c>
      <c r="AD66" s="171"/>
      <c r="AE66" s="171"/>
      <c r="AF66" s="168">
        <f>1290.02+11.2+2406.55</f>
        <v>3707.7700000000004</v>
      </c>
      <c r="AG66" s="169"/>
      <c r="AH66" s="169"/>
      <c r="AI66" s="171">
        <f>589.72+379.43+3.35</f>
        <v>972.50000000000011</v>
      </c>
      <c r="AJ66" s="171"/>
      <c r="AK66" s="171"/>
      <c r="AL66" s="163">
        <f>34.96+538.5+111.74+49.45+2998.85+2.03+51.13+698.69+125.75+3707.77+972.5</f>
        <v>9291.3700000000008</v>
      </c>
      <c r="AM66" s="163"/>
      <c r="AN66" s="163"/>
      <c r="AO66" s="172">
        <f>AL66/AL100</f>
        <v>1.5466288960895204E-2</v>
      </c>
      <c r="AP66" s="182">
        <f>14281.74+AL66</f>
        <v>23573.11</v>
      </c>
      <c r="AQ66" s="182"/>
    </row>
    <row r="67" spans="1:43" x14ac:dyDescent="0.25">
      <c r="A67" s="162" t="s">
        <v>70</v>
      </c>
      <c r="B67" s="163">
        <v>0</v>
      </c>
      <c r="C67" s="163"/>
      <c r="D67" s="163"/>
      <c r="E67" s="164">
        <v>0</v>
      </c>
      <c r="F67" s="165"/>
      <c r="G67" s="166"/>
      <c r="H67" s="164">
        <v>0</v>
      </c>
      <c r="I67" s="165"/>
      <c r="J67" s="166"/>
      <c r="K67" s="167">
        <v>0</v>
      </c>
      <c r="L67" s="167"/>
      <c r="M67" s="167"/>
      <c r="N67" s="164">
        <v>0</v>
      </c>
      <c r="O67" s="165"/>
      <c r="P67" s="166"/>
      <c r="Q67" s="168">
        <v>0</v>
      </c>
      <c r="R67" s="169"/>
      <c r="S67" s="170"/>
      <c r="T67" s="164">
        <v>0</v>
      </c>
      <c r="U67" s="165"/>
      <c r="V67" s="166"/>
      <c r="W67" s="168">
        <v>0</v>
      </c>
      <c r="X67" s="169"/>
      <c r="Y67" s="169"/>
      <c r="Z67" s="168">
        <v>0</v>
      </c>
      <c r="AA67" s="169"/>
      <c r="AB67" s="170"/>
      <c r="AC67" s="171">
        <v>0</v>
      </c>
      <c r="AD67" s="171"/>
      <c r="AE67" s="171"/>
      <c r="AF67" s="168">
        <v>0</v>
      </c>
      <c r="AG67" s="169"/>
      <c r="AH67" s="169"/>
      <c r="AI67" s="171">
        <v>0</v>
      </c>
      <c r="AJ67" s="171"/>
      <c r="AK67" s="171"/>
      <c r="AL67" s="163">
        <v>0</v>
      </c>
      <c r="AM67" s="163"/>
      <c r="AN67" s="163"/>
      <c r="AO67" s="172">
        <f>AL67/AL100</f>
        <v>0</v>
      </c>
      <c r="AP67" s="180">
        <f>25.37+AL67</f>
        <v>25.37</v>
      </c>
      <c r="AQ67" s="181"/>
    </row>
    <row r="68" spans="1:43" x14ac:dyDescent="0.25">
      <c r="A68" s="152" t="s">
        <v>71</v>
      </c>
      <c r="B68" s="153">
        <v>130947.96</v>
      </c>
      <c r="C68" s="153"/>
      <c r="D68" s="153"/>
      <c r="E68" s="154">
        <f>SUM(E69:E80)</f>
        <v>9724.5499999999993</v>
      </c>
      <c r="F68" s="155"/>
      <c r="G68" s="156"/>
      <c r="H68" s="154">
        <f t="shared" ref="H68" si="26">SUM(H69:H80)</f>
        <v>12319.49</v>
      </c>
      <c r="I68" s="155"/>
      <c r="J68" s="156"/>
      <c r="K68" s="157">
        <f>SUM(K69:K80)</f>
        <v>8863.43</v>
      </c>
      <c r="L68" s="157"/>
      <c r="M68" s="157"/>
      <c r="N68" s="154">
        <f t="shared" ref="N68" si="27">SUM(N69:N80)</f>
        <v>9496.3100000000013</v>
      </c>
      <c r="O68" s="155"/>
      <c r="P68" s="156"/>
      <c r="Q68" s="154">
        <f t="shared" ref="Q68" si="28">SUM(Q69:Q80)</f>
        <v>10003.540000000001</v>
      </c>
      <c r="R68" s="155"/>
      <c r="S68" s="156"/>
      <c r="T68" s="154">
        <f t="shared" ref="T68" si="29">SUM(T69:T80)</f>
        <v>10812.829999999998</v>
      </c>
      <c r="U68" s="155"/>
      <c r="V68" s="156"/>
      <c r="W68" s="158">
        <f>SUM(W69:Y80)</f>
        <v>11711.54</v>
      </c>
      <c r="X68" s="159"/>
      <c r="Y68" s="159"/>
      <c r="Z68" s="158">
        <f>SUM(Z69:AB80)</f>
        <v>10229.530000000001</v>
      </c>
      <c r="AA68" s="159"/>
      <c r="AB68" s="159"/>
      <c r="AC68" s="153">
        <f>SUM(AC69:AE80)</f>
        <v>20191.64</v>
      </c>
      <c r="AD68" s="153"/>
      <c r="AE68" s="153"/>
      <c r="AF68" s="158">
        <f>SUM(AF69:AH80)</f>
        <v>8389.65</v>
      </c>
      <c r="AG68" s="159"/>
      <c r="AH68" s="159"/>
      <c r="AI68" s="158">
        <f>SUM(AI69:AK80)</f>
        <v>8500.4700000000012</v>
      </c>
      <c r="AJ68" s="159"/>
      <c r="AK68" s="159"/>
      <c r="AL68" s="158">
        <f>SUM(AL69:AN80)</f>
        <v>120242.97999999998</v>
      </c>
      <c r="AM68" s="159"/>
      <c r="AN68" s="183"/>
      <c r="AO68" s="160">
        <f>AL68/AL100</f>
        <v>0.20015483983515267</v>
      </c>
      <c r="AP68" s="161">
        <f>SUM(AP69:AQ80)</f>
        <v>368418.18</v>
      </c>
      <c r="AQ68" s="161"/>
    </row>
    <row r="69" spans="1:43" x14ac:dyDescent="0.25">
      <c r="A69" s="179" t="s">
        <v>72</v>
      </c>
      <c r="B69" s="163">
        <v>3962.51</v>
      </c>
      <c r="C69" s="163"/>
      <c r="D69" s="163"/>
      <c r="E69" s="164">
        <v>0</v>
      </c>
      <c r="F69" s="165"/>
      <c r="G69" s="166"/>
      <c r="H69" s="164">
        <v>0</v>
      </c>
      <c r="I69" s="165"/>
      <c r="J69" s="166"/>
      <c r="K69" s="167">
        <v>0</v>
      </c>
      <c r="L69" s="167"/>
      <c r="M69" s="167"/>
      <c r="N69" s="164">
        <v>0</v>
      </c>
      <c r="O69" s="165"/>
      <c r="P69" s="166"/>
      <c r="Q69" s="168">
        <v>0</v>
      </c>
      <c r="R69" s="169"/>
      <c r="S69" s="170"/>
      <c r="T69" s="164">
        <v>0</v>
      </c>
      <c r="U69" s="165"/>
      <c r="V69" s="166"/>
      <c r="W69" s="168">
        <v>0</v>
      </c>
      <c r="X69" s="169"/>
      <c r="Y69" s="169"/>
      <c r="Z69" s="168">
        <v>0</v>
      </c>
      <c r="AA69" s="169"/>
      <c r="AB69" s="170"/>
      <c r="AC69" s="171">
        <v>0</v>
      </c>
      <c r="AD69" s="171"/>
      <c r="AE69" s="171"/>
      <c r="AF69" s="168">
        <v>0</v>
      </c>
      <c r="AG69" s="169"/>
      <c r="AH69" s="169"/>
      <c r="AI69" s="171">
        <v>0</v>
      </c>
      <c r="AJ69" s="171"/>
      <c r="AK69" s="171"/>
      <c r="AL69" s="33">
        <v>0</v>
      </c>
      <c r="AM69" s="34"/>
      <c r="AN69" s="35"/>
      <c r="AO69" s="172">
        <f>AL69/AL100</f>
        <v>0</v>
      </c>
      <c r="AP69" s="182">
        <f>9608.91+AL69</f>
        <v>9608.91</v>
      </c>
      <c r="AQ69" s="182"/>
    </row>
    <row r="70" spans="1:43" x14ac:dyDescent="0.25">
      <c r="A70" s="179" t="s">
        <v>73</v>
      </c>
      <c r="B70" s="163">
        <v>0</v>
      </c>
      <c r="C70" s="163"/>
      <c r="D70" s="163"/>
      <c r="E70" s="164">
        <v>0</v>
      </c>
      <c r="F70" s="165"/>
      <c r="G70" s="166"/>
      <c r="H70" s="164">
        <v>0</v>
      </c>
      <c r="I70" s="165"/>
      <c r="J70" s="166"/>
      <c r="K70" s="167">
        <v>0</v>
      </c>
      <c r="L70" s="167"/>
      <c r="M70" s="167"/>
      <c r="N70" s="164">
        <v>0</v>
      </c>
      <c r="O70" s="165"/>
      <c r="P70" s="166"/>
      <c r="Q70" s="168">
        <v>0</v>
      </c>
      <c r="R70" s="169"/>
      <c r="S70" s="170"/>
      <c r="T70" s="164">
        <v>859</v>
      </c>
      <c r="U70" s="165"/>
      <c r="V70" s="166"/>
      <c r="W70" s="168">
        <v>0</v>
      </c>
      <c r="X70" s="169"/>
      <c r="Y70" s="169"/>
      <c r="Z70" s="168">
        <v>0</v>
      </c>
      <c r="AA70" s="169"/>
      <c r="AB70" s="170"/>
      <c r="AC70" s="171">
        <v>0</v>
      </c>
      <c r="AD70" s="171"/>
      <c r="AE70" s="171"/>
      <c r="AF70" s="168">
        <v>0</v>
      </c>
      <c r="AG70" s="169"/>
      <c r="AH70" s="169"/>
      <c r="AI70" s="171">
        <v>0</v>
      </c>
      <c r="AJ70" s="171"/>
      <c r="AK70" s="171"/>
      <c r="AL70" s="33">
        <f>859</f>
        <v>859</v>
      </c>
      <c r="AM70" s="34"/>
      <c r="AN70" s="35"/>
      <c r="AO70" s="172">
        <f>AL70/AL100</f>
        <v>1.4298797935513256E-3</v>
      </c>
      <c r="AP70" s="182">
        <f>8251+AL70</f>
        <v>9110</v>
      </c>
      <c r="AQ70" s="182"/>
    </row>
    <row r="71" spans="1:43" x14ac:dyDescent="0.25">
      <c r="A71" s="179" t="s">
        <v>74</v>
      </c>
      <c r="B71" s="163">
        <v>720.8</v>
      </c>
      <c r="C71" s="163"/>
      <c r="D71" s="163"/>
      <c r="E71" s="164">
        <v>0</v>
      </c>
      <c r="F71" s="165"/>
      <c r="G71" s="166"/>
      <c r="H71" s="164">
        <v>2093.1799999999998</v>
      </c>
      <c r="I71" s="165"/>
      <c r="J71" s="166"/>
      <c r="K71" s="167">
        <v>0</v>
      </c>
      <c r="L71" s="167"/>
      <c r="M71" s="167"/>
      <c r="N71" s="164">
        <v>0</v>
      </c>
      <c r="O71" s="165"/>
      <c r="P71" s="166"/>
      <c r="Q71" s="168">
        <v>0</v>
      </c>
      <c r="R71" s="169"/>
      <c r="S71" s="170"/>
      <c r="T71" s="164">
        <v>0</v>
      </c>
      <c r="U71" s="165"/>
      <c r="V71" s="166"/>
      <c r="W71" s="168">
        <v>0</v>
      </c>
      <c r="X71" s="169"/>
      <c r="Y71" s="169"/>
      <c r="Z71" s="168">
        <v>0</v>
      </c>
      <c r="AA71" s="169"/>
      <c r="AB71" s="170"/>
      <c r="AC71" s="171">
        <v>0</v>
      </c>
      <c r="AD71" s="171"/>
      <c r="AE71" s="171"/>
      <c r="AF71" s="168">
        <v>0</v>
      </c>
      <c r="AG71" s="169"/>
      <c r="AH71" s="169"/>
      <c r="AI71" s="171">
        <v>0</v>
      </c>
      <c r="AJ71" s="171"/>
      <c r="AK71" s="171"/>
      <c r="AL71" s="33">
        <f>2093.18</f>
        <v>2093.1799999999998</v>
      </c>
      <c r="AM71" s="34"/>
      <c r="AN71" s="35"/>
      <c r="AO71" s="172">
        <f>AL71/AL100</f>
        <v>3.4842791458274311E-3</v>
      </c>
      <c r="AP71" s="182">
        <f>2037.04+AL71</f>
        <v>4130.2199999999993</v>
      </c>
      <c r="AQ71" s="182"/>
    </row>
    <row r="72" spans="1:43" x14ac:dyDescent="0.25">
      <c r="A72" s="162" t="s">
        <v>75</v>
      </c>
      <c r="B72" s="163">
        <v>945.44</v>
      </c>
      <c r="C72" s="163"/>
      <c r="D72" s="163"/>
      <c r="E72" s="164">
        <v>150</v>
      </c>
      <c r="F72" s="165"/>
      <c r="G72" s="166"/>
      <c r="H72" s="164">
        <v>147.87</v>
      </c>
      <c r="I72" s="165"/>
      <c r="J72" s="166"/>
      <c r="K72" s="167">
        <v>209.7</v>
      </c>
      <c r="L72" s="167"/>
      <c r="M72" s="167"/>
      <c r="N72" s="164">
        <v>0</v>
      </c>
      <c r="O72" s="165"/>
      <c r="P72" s="166"/>
      <c r="Q72" s="168">
        <v>137.32999999999998</v>
      </c>
      <c r="R72" s="169"/>
      <c r="S72" s="170"/>
      <c r="T72" s="164">
        <v>5</v>
      </c>
      <c r="U72" s="165"/>
      <c r="V72" s="166"/>
      <c r="W72" s="168">
        <f>231+10.62</f>
        <v>241.62</v>
      </c>
      <c r="X72" s="169"/>
      <c r="Y72" s="169"/>
      <c r="Z72" s="168">
        <v>0</v>
      </c>
      <c r="AA72" s="169"/>
      <c r="AB72" s="170"/>
      <c r="AC72" s="171">
        <v>0</v>
      </c>
      <c r="AD72" s="171"/>
      <c r="AE72" s="171"/>
      <c r="AF72" s="168">
        <v>0</v>
      </c>
      <c r="AG72" s="169"/>
      <c r="AH72" s="169"/>
      <c r="AI72" s="171">
        <f>39.96</f>
        <v>39.96</v>
      </c>
      <c r="AJ72" s="171"/>
      <c r="AK72" s="171"/>
      <c r="AL72" s="33">
        <f>150+147.87+209.7+137.33+5+241.62+39.96</f>
        <v>931.48</v>
      </c>
      <c r="AM72" s="34"/>
      <c r="AN72" s="35"/>
      <c r="AO72" s="172">
        <f>AL72/AL100</f>
        <v>1.5505290222318844E-3</v>
      </c>
      <c r="AP72" s="182">
        <f>5085.95+AL72</f>
        <v>6017.43</v>
      </c>
      <c r="AQ72" s="182"/>
    </row>
    <row r="73" spans="1:43" x14ac:dyDescent="0.25">
      <c r="A73" s="179" t="s">
        <v>76</v>
      </c>
      <c r="B73" s="163">
        <v>16097.460000000003</v>
      </c>
      <c r="C73" s="163"/>
      <c r="D73" s="163"/>
      <c r="E73" s="164">
        <v>1233.49</v>
      </c>
      <c r="F73" s="165"/>
      <c r="G73" s="166"/>
      <c r="H73" s="164">
        <v>1355.23</v>
      </c>
      <c r="I73" s="165"/>
      <c r="J73" s="166"/>
      <c r="K73" s="167">
        <v>1418.45</v>
      </c>
      <c r="L73" s="167"/>
      <c r="M73" s="167"/>
      <c r="N73" s="164">
        <v>1400.19</v>
      </c>
      <c r="O73" s="165"/>
      <c r="P73" s="166"/>
      <c r="Q73" s="168">
        <v>1414.67</v>
      </c>
      <c r="R73" s="169"/>
      <c r="S73" s="170"/>
      <c r="T73" s="164">
        <v>1380.6499999999999</v>
      </c>
      <c r="U73" s="165"/>
      <c r="V73" s="166"/>
      <c r="W73" s="168">
        <f>1358.44+52.31</f>
        <v>1410.75</v>
      </c>
      <c r="X73" s="169"/>
      <c r="Y73" s="169"/>
      <c r="Z73" s="168">
        <f>1396.74+52.52</f>
        <v>1449.26</v>
      </c>
      <c r="AA73" s="169"/>
      <c r="AB73" s="170"/>
      <c r="AC73" s="171">
        <f>1396.74+52.51</f>
        <v>1449.25</v>
      </c>
      <c r="AD73" s="171"/>
      <c r="AE73" s="171"/>
      <c r="AF73" s="168">
        <f>1483.4+52.5</f>
        <v>1535.9</v>
      </c>
      <c r="AG73" s="169"/>
      <c r="AH73" s="169"/>
      <c r="AI73" s="171">
        <f>1427.37+52.46</f>
        <v>1479.83</v>
      </c>
      <c r="AJ73" s="171"/>
      <c r="AK73" s="171"/>
      <c r="AL73" s="33">
        <f>1233.49+1355.23+1418.45+1400.19+1414.67+1380.65+1410.75+1449.26+1449.25+1535.9+1479.83</f>
        <v>15527.67</v>
      </c>
      <c r="AM73" s="34"/>
      <c r="AN73" s="35"/>
      <c r="AO73" s="172">
        <f>AL73/AL100</f>
        <v>2.584714967861829E-2</v>
      </c>
      <c r="AP73" s="171">
        <f>36304.7+AL73</f>
        <v>51832.369999999995</v>
      </c>
      <c r="AQ73" s="171"/>
    </row>
    <row r="74" spans="1:43" x14ac:dyDescent="0.25">
      <c r="A74" s="179" t="s">
        <v>77</v>
      </c>
      <c r="B74" s="163">
        <v>4311.88</v>
      </c>
      <c r="C74" s="163"/>
      <c r="D74" s="163"/>
      <c r="E74" s="164">
        <v>618.41</v>
      </c>
      <c r="F74" s="165"/>
      <c r="G74" s="166"/>
      <c r="H74" s="164">
        <v>269.39</v>
      </c>
      <c r="I74" s="165"/>
      <c r="J74" s="166"/>
      <c r="K74" s="167">
        <v>312.01</v>
      </c>
      <c r="L74" s="167"/>
      <c r="M74" s="167"/>
      <c r="N74" s="164">
        <v>343.07</v>
      </c>
      <c r="O74" s="165"/>
      <c r="P74" s="166"/>
      <c r="Q74" s="168">
        <v>300.14999999999998</v>
      </c>
      <c r="R74" s="169"/>
      <c r="S74" s="170"/>
      <c r="T74" s="164">
        <v>314.70999999999998</v>
      </c>
      <c r="U74" s="165"/>
      <c r="V74" s="166"/>
      <c r="W74" s="168">
        <f>259.93+121.83</f>
        <v>381.76</v>
      </c>
      <c r="X74" s="169"/>
      <c r="Y74" s="169"/>
      <c r="Z74" s="168">
        <f>55.08+137.97+99.25</f>
        <v>292.3</v>
      </c>
      <c r="AA74" s="169"/>
      <c r="AB74" s="170"/>
      <c r="AC74" s="171">
        <f>114.99+137.91+60.02</f>
        <v>312.91999999999996</v>
      </c>
      <c r="AD74" s="171"/>
      <c r="AE74" s="171"/>
      <c r="AF74" s="168">
        <f>51.31+114.99+66.05</f>
        <v>232.35000000000002</v>
      </c>
      <c r="AG74" s="169"/>
      <c r="AH74" s="169"/>
      <c r="AI74" s="171">
        <f>50.24+114.99+105.58</f>
        <v>270.81</v>
      </c>
      <c r="AJ74" s="171"/>
      <c r="AK74" s="171"/>
      <c r="AL74" s="33">
        <f>618.41+269.39+312.01+343.07+300.15+314.71+381.76+292.3+312.92+232.35+270.81</f>
        <v>3647.88</v>
      </c>
      <c r="AM74" s="34"/>
      <c r="AN74" s="35"/>
      <c r="AO74" s="172">
        <f>AL74/AL100</f>
        <v>6.0722117593713732E-3</v>
      </c>
      <c r="AP74" s="171">
        <f>9284.02+AL74</f>
        <v>12931.900000000001</v>
      </c>
      <c r="AQ74" s="171"/>
    </row>
    <row r="75" spans="1:43" x14ac:dyDescent="0.25">
      <c r="A75" s="179" t="s">
        <v>78</v>
      </c>
      <c r="B75" s="163">
        <v>2319.3700000000003</v>
      </c>
      <c r="C75" s="163"/>
      <c r="D75" s="163"/>
      <c r="E75" s="164">
        <v>76.8</v>
      </c>
      <c r="F75" s="165"/>
      <c r="G75" s="166"/>
      <c r="H75" s="164">
        <v>54.9</v>
      </c>
      <c r="I75" s="165"/>
      <c r="J75" s="166"/>
      <c r="K75" s="167">
        <v>62</v>
      </c>
      <c r="L75" s="167"/>
      <c r="M75" s="167"/>
      <c r="N75" s="164">
        <v>78.489999999999995</v>
      </c>
      <c r="O75" s="165"/>
      <c r="P75" s="166"/>
      <c r="Q75" s="168">
        <v>110.78</v>
      </c>
      <c r="R75" s="169"/>
      <c r="S75" s="170"/>
      <c r="T75" s="164">
        <v>87.78</v>
      </c>
      <c r="U75" s="165"/>
      <c r="V75" s="166"/>
      <c r="W75" s="168">
        <f>22+4.39+7.99+22+14.95+10.8+22</f>
        <v>104.13</v>
      </c>
      <c r="X75" s="169"/>
      <c r="Y75" s="169"/>
      <c r="Z75" s="168">
        <f>22+7.5+15.5+22+10.8+22</f>
        <v>99.8</v>
      </c>
      <c r="AA75" s="169"/>
      <c r="AB75" s="170"/>
      <c r="AC75" s="171">
        <f>22+10.8+20+22+22</f>
        <v>96.8</v>
      </c>
      <c r="AD75" s="171"/>
      <c r="AE75" s="171"/>
      <c r="AF75" s="168">
        <f>23+23+16.95</f>
        <v>62.95</v>
      </c>
      <c r="AG75" s="169"/>
      <c r="AH75" s="169"/>
      <c r="AI75" s="171">
        <f>11.39+7.5+23+23</f>
        <v>64.89</v>
      </c>
      <c r="AJ75" s="171"/>
      <c r="AK75" s="171"/>
      <c r="AL75" s="33">
        <f>76.8+54.9+62+78.49+110.78+87.78+104.13+99.8+96.8+62.95+64.89</f>
        <v>899.31999999999994</v>
      </c>
      <c r="AM75" s="34"/>
      <c r="AN75" s="35"/>
      <c r="AO75" s="172">
        <f>AL75/AL100</f>
        <v>1.4969959207643516E-3</v>
      </c>
      <c r="AP75" s="171">
        <f>6536.06+AL75</f>
        <v>7435.38</v>
      </c>
      <c r="AQ75" s="171"/>
    </row>
    <row r="76" spans="1:43" x14ac:dyDescent="0.25">
      <c r="A76" s="179" t="s">
        <v>79</v>
      </c>
      <c r="B76" s="163">
        <v>576</v>
      </c>
      <c r="C76" s="163"/>
      <c r="D76" s="163"/>
      <c r="E76" s="164">
        <v>0</v>
      </c>
      <c r="F76" s="165"/>
      <c r="G76" s="166"/>
      <c r="H76" s="164">
        <v>468</v>
      </c>
      <c r="I76" s="165"/>
      <c r="J76" s="166"/>
      <c r="K76" s="167">
        <v>0</v>
      </c>
      <c r="L76" s="167"/>
      <c r="M76" s="167"/>
      <c r="N76" s="164">
        <v>0</v>
      </c>
      <c r="O76" s="165"/>
      <c r="P76" s="166"/>
      <c r="Q76" s="168">
        <v>0</v>
      </c>
      <c r="R76" s="169"/>
      <c r="S76" s="170"/>
      <c r="T76" s="164">
        <v>0</v>
      </c>
      <c r="U76" s="165"/>
      <c r="V76" s="166"/>
      <c r="W76" s="168">
        <v>0</v>
      </c>
      <c r="X76" s="169"/>
      <c r="Y76" s="169"/>
      <c r="Z76" s="168">
        <v>0</v>
      </c>
      <c r="AA76" s="169"/>
      <c r="AB76" s="170"/>
      <c r="AC76" s="171">
        <v>0</v>
      </c>
      <c r="AD76" s="171"/>
      <c r="AE76" s="171"/>
      <c r="AF76" s="168">
        <f>348</f>
        <v>348</v>
      </c>
      <c r="AG76" s="169"/>
      <c r="AH76" s="169"/>
      <c r="AI76" s="171">
        <v>0</v>
      </c>
      <c r="AJ76" s="171"/>
      <c r="AK76" s="171"/>
      <c r="AL76" s="33">
        <f>468+348</f>
        <v>816</v>
      </c>
      <c r="AM76" s="34"/>
      <c r="AN76" s="35"/>
      <c r="AO76" s="172">
        <f>AL76/AL100</f>
        <v>1.3583025745493383E-3</v>
      </c>
      <c r="AP76" s="171">
        <f>3355.6+AL76</f>
        <v>4171.6000000000004</v>
      </c>
      <c r="AQ76" s="171"/>
    </row>
    <row r="77" spans="1:43" x14ac:dyDescent="0.25">
      <c r="A77" s="179" t="s">
        <v>80</v>
      </c>
      <c r="B77" s="163">
        <v>1290.2100000000003</v>
      </c>
      <c r="C77" s="163"/>
      <c r="D77" s="163"/>
      <c r="E77" s="164">
        <v>42.75</v>
      </c>
      <c r="F77" s="165"/>
      <c r="G77" s="166"/>
      <c r="H77" s="164">
        <v>0</v>
      </c>
      <c r="I77" s="165"/>
      <c r="J77" s="166"/>
      <c r="K77" s="167">
        <v>62.81</v>
      </c>
      <c r="L77" s="167"/>
      <c r="M77" s="167"/>
      <c r="N77" s="164">
        <v>69.150000000000006</v>
      </c>
      <c r="O77" s="165"/>
      <c r="P77" s="166"/>
      <c r="Q77" s="168">
        <v>27.9</v>
      </c>
      <c r="R77" s="169"/>
      <c r="S77" s="170"/>
      <c r="T77" s="164">
        <v>17.989999999999998</v>
      </c>
      <c r="U77" s="165"/>
      <c r="V77" s="166"/>
      <c r="W77" s="168">
        <f>7.98+6.5+12.25+27.9+29.59</f>
        <v>84.22</v>
      </c>
      <c r="X77" s="169"/>
      <c r="Y77" s="169"/>
      <c r="Z77" s="168">
        <f>27.9</f>
        <v>27.9</v>
      </c>
      <c r="AA77" s="169"/>
      <c r="AB77" s="170"/>
      <c r="AC77" s="171">
        <v>0</v>
      </c>
      <c r="AD77" s="171"/>
      <c r="AE77" s="171"/>
      <c r="AF77" s="168">
        <f>49.6</f>
        <v>49.6</v>
      </c>
      <c r="AG77" s="169"/>
      <c r="AH77" s="169"/>
      <c r="AI77" s="171">
        <f>1.39+1.39+26.9</f>
        <v>29.68</v>
      </c>
      <c r="AJ77" s="171"/>
      <c r="AK77" s="171"/>
      <c r="AL77" s="33">
        <f>42.75+62.81+69.15+27.9+17.99+84.22+27.9+49.6+29.68</f>
        <v>412.00000000000006</v>
      </c>
      <c r="AM77" s="34"/>
      <c r="AN77" s="35"/>
      <c r="AO77" s="172">
        <f>AL77/AL100</f>
        <v>6.8580963322834249E-4</v>
      </c>
      <c r="AP77" s="171">
        <f>3151.88+AL77</f>
        <v>3563.88</v>
      </c>
      <c r="AQ77" s="171"/>
    </row>
    <row r="78" spans="1:43" x14ac:dyDescent="0.25">
      <c r="A78" s="179" t="s">
        <v>81</v>
      </c>
      <c r="B78" s="163">
        <v>0</v>
      </c>
      <c r="C78" s="163"/>
      <c r="D78" s="163"/>
      <c r="E78" s="164">
        <v>0</v>
      </c>
      <c r="F78" s="165"/>
      <c r="G78" s="166"/>
      <c r="H78" s="164">
        <v>0</v>
      </c>
      <c r="I78" s="165"/>
      <c r="J78" s="166"/>
      <c r="K78" s="167">
        <v>0</v>
      </c>
      <c r="L78" s="167"/>
      <c r="M78" s="167"/>
      <c r="N78" s="164">
        <v>0</v>
      </c>
      <c r="O78" s="165"/>
      <c r="P78" s="166"/>
      <c r="Q78" s="168">
        <v>0</v>
      </c>
      <c r="R78" s="169"/>
      <c r="S78" s="170"/>
      <c r="T78" s="164">
        <v>0</v>
      </c>
      <c r="U78" s="165"/>
      <c r="V78" s="166"/>
      <c r="W78" s="168">
        <v>0</v>
      </c>
      <c r="X78" s="169"/>
      <c r="Y78" s="169"/>
      <c r="Z78" s="168">
        <v>0</v>
      </c>
      <c r="AA78" s="169"/>
      <c r="AB78" s="170"/>
      <c r="AC78" s="171">
        <v>0</v>
      </c>
      <c r="AD78" s="171"/>
      <c r="AE78" s="171"/>
      <c r="AF78" s="168">
        <v>0</v>
      </c>
      <c r="AG78" s="169"/>
      <c r="AH78" s="169"/>
      <c r="AI78" s="171">
        <v>0</v>
      </c>
      <c r="AJ78" s="171"/>
      <c r="AK78" s="171"/>
      <c r="AL78" s="33">
        <v>0</v>
      </c>
      <c r="AM78" s="34"/>
      <c r="AN78" s="35"/>
      <c r="AO78" s="172">
        <f>AL78/AL100</f>
        <v>0</v>
      </c>
      <c r="AP78" s="182">
        <f>2056.76+AL78</f>
        <v>2056.7600000000002</v>
      </c>
      <c r="AQ78" s="182"/>
    </row>
    <row r="79" spans="1:43" x14ac:dyDescent="0.25">
      <c r="A79" s="179" t="s">
        <v>82</v>
      </c>
      <c r="B79" s="163">
        <v>51207.24</v>
      </c>
      <c r="C79" s="163"/>
      <c r="D79" s="163"/>
      <c r="E79" s="164">
        <v>4202.8</v>
      </c>
      <c r="F79" s="165"/>
      <c r="G79" s="166"/>
      <c r="H79" s="164">
        <v>4221.16</v>
      </c>
      <c r="I79" s="165"/>
      <c r="J79" s="166"/>
      <c r="K79" s="167">
        <v>3035.75</v>
      </c>
      <c r="L79" s="167"/>
      <c r="M79" s="167"/>
      <c r="N79" s="164">
        <v>3922.71</v>
      </c>
      <c r="O79" s="165"/>
      <c r="P79" s="166"/>
      <c r="Q79" s="168">
        <v>4202.8</v>
      </c>
      <c r="R79" s="169"/>
      <c r="S79" s="170"/>
      <c r="T79" s="164">
        <v>4460.6499999999996</v>
      </c>
      <c r="U79" s="165"/>
      <c r="V79" s="166"/>
      <c r="W79" s="168">
        <f>1267.58+2642.57+1892.71</f>
        <v>5802.8600000000006</v>
      </c>
      <c r="X79" s="169"/>
      <c r="Y79" s="169"/>
      <c r="Z79" s="168">
        <f>2002.78+1699.16+1007.15</f>
        <v>4709.09</v>
      </c>
      <c r="AA79" s="169"/>
      <c r="AB79" s="170"/>
      <c r="AC79" s="171">
        <f>2505.48+1488.82+8009.33</f>
        <v>12003.630000000001</v>
      </c>
      <c r="AD79" s="171"/>
      <c r="AE79" s="171"/>
      <c r="AF79" s="168">
        <f>2534.78</f>
        <v>2534.7800000000002</v>
      </c>
      <c r="AG79" s="169"/>
      <c r="AH79" s="169"/>
      <c r="AI79" s="171">
        <f>157.75+2528.19+1570.85</f>
        <v>4256.79</v>
      </c>
      <c r="AJ79" s="171"/>
      <c r="AK79" s="171"/>
      <c r="AL79" s="33">
        <f>4202.8+4221.16+3035.75+3922.71+4202.8+4460.65+5802.86+4709.09+12003.63+2534.78+4256.79</f>
        <v>53353.01999999999</v>
      </c>
      <c r="AM79" s="34"/>
      <c r="AN79" s="35"/>
      <c r="AO79" s="172">
        <f>AL79/AL100</f>
        <v>8.8810716208311671E-2</v>
      </c>
      <c r="AP79" s="182">
        <f>87672.22+AL79</f>
        <v>141025.24</v>
      </c>
      <c r="AQ79" s="182"/>
    </row>
    <row r="80" spans="1:43" x14ac:dyDescent="0.25">
      <c r="A80" s="179" t="s">
        <v>83</v>
      </c>
      <c r="B80" s="163">
        <v>49517.05</v>
      </c>
      <c r="C80" s="163"/>
      <c r="D80" s="163"/>
      <c r="E80" s="164">
        <v>3400.3</v>
      </c>
      <c r="F80" s="165"/>
      <c r="G80" s="166"/>
      <c r="H80" s="164">
        <v>3709.76</v>
      </c>
      <c r="I80" s="165"/>
      <c r="J80" s="166"/>
      <c r="K80" s="167">
        <v>3762.71</v>
      </c>
      <c r="L80" s="167"/>
      <c r="M80" s="167"/>
      <c r="N80" s="164">
        <v>3682.7</v>
      </c>
      <c r="O80" s="165"/>
      <c r="P80" s="166"/>
      <c r="Q80" s="168">
        <v>3809.91</v>
      </c>
      <c r="R80" s="169"/>
      <c r="S80" s="170"/>
      <c r="T80" s="164">
        <v>3687.0499999999997</v>
      </c>
      <c r="U80" s="165"/>
      <c r="V80" s="166"/>
      <c r="W80" s="168">
        <f>81.7+427.96+1723.75+53.49+981+418.3</f>
        <v>3686.2</v>
      </c>
      <c r="X80" s="169"/>
      <c r="Y80" s="169"/>
      <c r="Z80" s="168">
        <f>454.04+1828.93+56.75+49.76+881+380.7</f>
        <v>3651.1800000000003</v>
      </c>
      <c r="AA80" s="169"/>
      <c r="AB80" s="170"/>
      <c r="AC80" s="171">
        <f>467.06+58.38+63.83+1871.79+437.1+578+2782.88+70</f>
        <v>6329.04</v>
      </c>
      <c r="AD80" s="171"/>
      <c r="AE80" s="171"/>
      <c r="AF80" s="168">
        <f>480.74+261.92+67.83+380.7+503+52.58+82.3+1797</f>
        <v>3626.0699999999997</v>
      </c>
      <c r="AG80" s="169"/>
      <c r="AH80" s="169"/>
      <c r="AI80" s="171">
        <f>52.58+250.02+65.81+1031.35+31.25+399.5+528</f>
        <v>2358.5100000000002</v>
      </c>
      <c r="AJ80" s="171"/>
      <c r="AK80" s="171"/>
      <c r="AL80" s="33">
        <f>3400.3+3709.76+3762.71+3682.7+3809.91+3687.05+3686.2+3651.18+6329.04+3626.07+2358.51</f>
        <v>41703.43</v>
      </c>
      <c r="AM80" s="34"/>
      <c r="AN80" s="35"/>
      <c r="AO80" s="172">
        <f>AL80/AL100</f>
        <v>6.9418966098698673E-2</v>
      </c>
      <c r="AP80" s="182">
        <f>74831.06+AL80</f>
        <v>116534.48999999999</v>
      </c>
      <c r="AQ80" s="182"/>
    </row>
    <row r="81" spans="1:43" x14ac:dyDescent="0.25">
      <c r="A81" s="152" t="s">
        <v>84</v>
      </c>
      <c r="B81" s="153">
        <v>1929.6799999999998</v>
      </c>
      <c r="C81" s="153"/>
      <c r="D81" s="153"/>
      <c r="E81" s="154">
        <f>SUM(E82:E86)</f>
        <v>75</v>
      </c>
      <c r="F81" s="155"/>
      <c r="G81" s="156"/>
      <c r="H81" s="154">
        <f t="shared" ref="H81" si="30">SUM(H82:H86)</f>
        <v>227.23000000000002</v>
      </c>
      <c r="I81" s="155"/>
      <c r="J81" s="156"/>
      <c r="K81" s="157">
        <f>SUM(K82:K86)</f>
        <v>53</v>
      </c>
      <c r="L81" s="157"/>
      <c r="M81" s="157"/>
      <c r="N81" s="154">
        <f t="shared" ref="N81" si="31">SUM(N82:N86)</f>
        <v>34</v>
      </c>
      <c r="O81" s="155"/>
      <c r="P81" s="156"/>
      <c r="Q81" s="154">
        <f t="shared" ref="Q81" si="32">SUM(Q82:Q86)</f>
        <v>60.5</v>
      </c>
      <c r="R81" s="155"/>
      <c r="S81" s="156"/>
      <c r="T81" s="154">
        <f t="shared" ref="T81" si="33">SUM(T82:T86)</f>
        <v>53</v>
      </c>
      <c r="U81" s="155"/>
      <c r="V81" s="156"/>
      <c r="W81" s="158">
        <f>SUM(W82:Y86)</f>
        <v>17</v>
      </c>
      <c r="X81" s="159"/>
      <c r="Y81" s="159"/>
      <c r="Z81" s="158">
        <f>SUM(Z82:AB86)</f>
        <v>223.89999999999998</v>
      </c>
      <c r="AA81" s="159"/>
      <c r="AB81" s="159"/>
      <c r="AC81" s="153">
        <f>SUM(AC82:AE86)</f>
        <v>114.3</v>
      </c>
      <c r="AD81" s="153"/>
      <c r="AE81" s="153"/>
      <c r="AF81" s="158">
        <f>SUM(AF82:AH86)</f>
        <v>17</v>
      </c>
      <c r="AG81" s="159"/>
      <c r="AH81" s="159"/>
      <c r="AI81" s="158">
        <f>SUM(AI82:AK86)</f>
        <v>102.46</v>
      </c>
      <c r="AJ81" s="159"/>
      <c r="AK81" s="159"/>
      <c r="AL81" s="158">
        <f>SUM(AL82:AN86)</f>
        <v>977.39</v>
      </c>
      <c r="AM81" s="159"/>
      <c r="AN81" s="183"/>
      <c r="AO81" s="160">
        <f>AL81/AL100</f>
        <v>1.6269501879151689E-3</v>
      </c>
      <c r="AP81" s="161">
        <f>SUM(AP82:AQ86)</f>
        <v>21156.980000000003</v>
      </c>
      <c r="AQ81" s="161"/>
    </row>
    <row r="82" spans="1:43" x14ac:dyDescent="0.25">
      <c r="A82" s="162" t="s">
        <v>85</v>
      </c>
      <c r="B82" s="163">
        <v>354.09999999999997</v>
      </c>
      <c r="C82" s="163"/>
      <c r="D82" s="163"/>
      <c r="E82" s="164">
        <v>0</v>
      </c>
      <c r="F82" s="165"/>
      <c r="G82" s="166"/>
      <c r="H82" s="164">
        <v>0</v>
      </c>
      <c r="I82" s="165"/>
      <c r="J82" s="166"/>
      <c r="K82" s="167">
        <v>0</v>
      </c>
      <c r="L82" s="167"/>
      <c r="M82" s="167"/>
      <c r="N82" s="164">
        <v>0</v>
      </c>
      <c r="O82" s="165"/>
      <c r="P82" s="166"/>
      <c r="Q82" s="168">
        <v>0</v>
      </c>
      <c r="R82" s="169"/>
      <c r="S82" s="170"/>
      <c r="T82" s="164">
        <v>0</v>
      </c>
      <c r="U82" s="165"/>
      <c r="V82" s="166"/>
      <c r="W82" s="168">
        <v>0</v>
      </c>
      <c r="X82" s="169"/>
      <c r="Y82" s="169"/>
      <c r="Z82" s="168">
        <v>0</v>
      </c>
      <c r="AA82" s="169"/>
      <c r="AB82" s="170"/>
      <c r="AC82" s="171">
        <v>0</v>
      </c>
      <c r="AD82" s="171"/>
      <c r="AE82" s="171"/>
      <c r="AF82" s="168">
        <v>0</v>
      </c>
      <c r="AG82" s="169"/>
      <c r="AH82" s="169"/>
      <c r="AI82" s="171">
        <v>0</v>
      </c>
      <c r="AJ82" s="171"/>
      <c r="AK82" s="171"/>
      <c r="AL82" s="33">
        <v>0</v>
      </c>
      <c r="AM82" s="34"/>
      <c r="AN82" s="35"/>
      <c r="AO82" s="172">
        <f>AL82/AL100</f>
        <v>0</v>
      </c>
      <c r="AP82" s="171">
        <f>4832.06+AL82</f>
        <v>4832.0600000000004</v>
      </c>
      <c r="AQ82" s="171"/>
    </row>
    <row r="83" spans="1:43" x14ac:dyDescent="0.25">
      <c r="A83" s="162" t="s">
        <v>86</v>
      </c>
      <c r="B83" s="33">
        <v>0</v>
      </c>
      <c r="C83" s="34"/>
      <c r="D83" s="35"/>
      <c r="E83" s="164">
        <v>0</v>
      </c>
      <c r="F83" s="165"/>
      <c r="G83" s="166"/>
      <c r="H83" s="164">
        <v>0</v>
      </c>
      <c r="I83" s="165"/>
      <c r="J83" s="166"/>
      <c r="K83" s="167">
        <v>0</v>
      </c>
      <c r="L83" s="167"/>
      <c r="M83" s="167"/>
      <c r="N83" s="164">
        <v>0</v>
      </c>
      <c r="O83" s="165"/>
      <c r="P83" s="166"/>
      <c r="Q83" s="168">
        <v>0</v>
      </c>
      <c r="R83" s="169"/>
      <c r="S83" s="170"/>
      <c r="T83" s="164">
        <v>0</v>
      </c>
      <c r="U83" s="165"/>
      <c r="V83" s="166"/>
      <c r="W83" s="168">
        <v>0</v>
      </c>
      <c r="X83" s="169"/>
      <c r="Y83" s="169"/>
      <c r="Z83" s="168">
        <v>0</v>
      </c>
      <c r="AA83" s="169"/>
      <c r="AB83" s="170"/>
      <c r="AC83" s="171">
        <v>0</v>
      </c>
      <c r="AD83" s="171"/>
      <c r="AE83" s="171"/>
      <c r="AF83" s="168">
        <v>0</v>
      </c>
      <c r="AG83" s="169"/>
      <c r="AH83" s="169"/>
      <c r="AI83" s="171">
        <v>0</v>
      </c>
      <c r="AJ83" s="171"/>
      <c r="AK83" s="171"/>
      <c r="AL83" s="33">
        <v>0</v>
      </c>
      <c r="AM83" s="34"/>
      <c r="AN83" s="35"/>
      <c r="AO83" s="172">
        <f>AL83/AL100</f>
        <v>0</v>
      </c>
      <c r="AP83" s="171">
        <f>0+AL83</f>
        <v>0</v>
      </c>
      <c r="AQ83" s="171"/>
    </row>
    <row r="84" spans="1:43" x14ac:dyDescent="0.25">
      <c r="A84" s="162" t="s">
        <v>87</v>
      </c>
      <c r="B84" s="33">
        <v>335</v>
      </c>
      <c r="C84" s="34"/>
      <c r="D84" s="35"/>
      <c r="E84" s="164">
        <v>75</v>
      </c>
      <c r="F84" s="165"/>
      <c r="G84" s="166"/>
      <c r="H84" s="164">
        <v>35</v>
      </c>
      <c r="I84" s="165"/>
      <c r="J84" s="166"/>
      <c r="K84" s="167">
        <v>17</v>
      </c>
      <c r="L84" s="167"/>
      <c r="M84" s="167"/>
      <c r="N84" s="164">
        <v>34</v>
      </c>
      <c r="O84" s="165"/>
      <c r="P84" s="166"/>
      <c r="Q84" s="168">
        <v>32</v>
      </c>
      <c r="R84" s="169"/>
      <c r="S84" s="170"/>
      <c r="T84" s="164">
        <v>17</v>
      </c>
      <c r="U84" s="165"/>
      <c r="V84" s="166"/>
      <c r="W84" s="168">
        <f>17</f>
        <v>17</v>
      </c>
      <c r="X84" s="169"/>
      <c r="Y84" s="169"/>
      <c r="Z84" s="168">
        <f>17+15</f>
        <v>32</v>
      </c>
      <c r="AA84" s="169"/>
      <c r="AB84" s="170"/>
      <c r="AC84" s="171">
        <f>17</f>
        <v>17</v>
      </c>
      <c r="AD84" s="171"/>
      <c r="AE84" s="171"/>
      <c r="AF84" s="168">
        <f>17</f>
        <v>17</v>
      </c>
      <c r="AG84" s="169"/>
      <c r="AH84" s="169"/>
      <c r="AI84" s="171">
        <f>17</f>
        <v>17</v>
      </c>
      <c r="AJ84" s="171"/>
      <c r="AK84" s="171"/>
      <c r="AL84" s="33">
        <f>75+35+17+34+32+17+17+32+17+17+17</f>
        <v>310</v>
      </c>
      <c r="AM84" s="34"/>
      <c r="AN84" s="35"/>
      <c r="AO84" s="172">
        <f>AL84/AL100</f>
        <v>5.160218114096751E-4</v>
      </c>
      <c r="AP84" s="171">
        <f>722+AL84</f>
        <v>1032</v>
      </c>
      <c r="AQ84" s="171"/>
    </row>
    <row r="85" spans="1:43" x14ac:dyDescent="0.25">
      <c r="A85" s="162" t="s">
        <v>88</v>
      </c>
      <c r="B85" s="33">
        <v>849.74999999999989</v>
      </c>
      <c r="C85" s="34"/>
      <c r="D85" s="35"/>
      <c r="E85" s="164">
        <v>0</v>
      </c>
      <c r="F85" s="165"/>
      <c r="G85" s="166"/>
      <c r="H85" s="164">
        <v>135.46</v>
      </c>
      <c r="I85" s="165"/>
      <c r="J85" s="166"/>
      <c r="K85" s="167">
        <v>36</v>
      </c>
      <c r="L85" s="167"/>
      <c r="M85" s="167"/>
      <c r="N85" s="164">
        <v>0</v>
      </c>
      <c r="O85" s="165"/>
      <c r="P85" s="166"/>
      <c r="Q85" s="168">
        <v>0</v>
      </c>
      <c r="R85" s="169"/>
      <c r="S85" s="170"/>
      <c r="T85" s="164">
        <v>36</v>
      </c>
      <c r="U85" s="165"/>
      <c r="V85" s="166"/>
      <c r="W85" s="168">
        <v>0</v>
      </c>
      <c r="X85" s="169"/>
      <c r="Y85" s="169"/>
      <c r="Z85" s="168">
        <f>72+33.1+33.1+33.1</f>
        <v>171.29999999999998</v>
      </c>
      <c r="AA85" s="169"/>
      <c r="AB85" s="170"/>
      <c r="AC85" s="171">
        <f>69.3</f>
        <v>69.3</v>
      </c>
      <c r="AD85" s="171"/>
      <c r="AE85" s="171"/>
      <c r="AF85" s="168">
        <v>0</v>
      </c>
      <c r="AG85" s="169"/>
      <c r="AH85" s="169"/>
      <c r="AI85" s="171">
        <f>72.1+4</f>
        <v>76.099999999999994</v>
      </c>
      <c r="AJ85" s="171"/>
      <c r="AK85" s="171"/>
      <c r="AL85" s="33">
        <f>135.46+36+36+171.3+69.3+76.1</f>
        <v>524.16</v>
      </c>
      <c r="AM85" s="34"/>
      <c r="AN85" s="35"/>
      <c r="AO85" s="172">
        <f>AL85/AL100</f>
        <v>8.725096537693396E-4</v>
      </c>
      <c r="AP85" s="171">
        <f>14234.7+AL85</f>
        <v>14758.86</v>
      </c>
      <c r="AQ85" s="171"/>
    </row>
    <row r="86" spans="1:43" x14ac:dyDescent="0.25">
      <c r="A86" s="162" t="s">
        <v>89</v>
      </c>
      <c r="B86" s="33">
        <v>390.83</v>
      </c>
      <c r="C86" s="34"/>
      <c r="D86" s="35"/>
      <c r="E86" s="164">
        <v>0</v>
      </c>
      <c r="F86" s="165"/>
      <c r="G86" s="166"/>
      <c r="H86" s="164">
        <v>56.77</v>
      </c>
      <c r="I86" s="165"/>
      <c r="J86" s="166"/>
      <c r="K86" s="167">
        <v>0</v>
      </c>
      <c r="L86" s="167"/>
      <c r="M86" s="167"/>
      <c r="N86" s="164">
        <v>0</v>
      </c>
      <c r="O86" s="165"/>
      <c r="P86" s="166"/>
      <c r="Q86" s="168">
        <v>28.5</v>
      </c>
      <c r="R86" s="169"/>
      <c r="S86" s="170"/>
      <c r="T86" s="164">
        <v>0</v>
      </c>
      <c r="U86" s="165"/>
      <c r="V86" s="166"/>
      <c r="W86" s="168">
        <v>0</v>
      </c>
      <c r="X86" s="169"/>
      <c r="Y86" s="169"/>
      <c r="Z86" s="168">
        <f>9.5+11.1</f>
        <v>20.6</v>
      </c>
      <c r="AA86" s="169"/>
      <c r="AB86" s="170"/>
      <c r="AC86" s="171">
        <f>15+13</f>
        <v>28</v>
      </c>
      <c r="AD86" s="171"/>
      <c r="AE86" s="171"/>
      <c r="AF86" s="168">
        <v>0</v>
      </c>
      <c r="AG86" s="169"/>
      <c r="AH86" s="169"/>
      <c r="AI86" s="171">
        <f>4.08+2.04+3.24</f>
        <v>9.36</v>
      </c>
      <c r="AJ86" s="171"/>
      <c r="AK86" s="171"/>
      <c r="AL86" s="33">
        <f>56.77+28.5+20.6+28+9.36</f>
        <v>143.23000000000002</v>
      </c>
      <c r="AM86" s="34"/>
      <c r="AN86" s="35"/>
      <c r="AO86" s="172">
        <f>AL86/AL100</f>
        <v>2.3841872273615411E-4</v>
      </c>
      <c r="AP86" s="171">
        <f>390.83+AL86</f>
        <v>534.05999999999995</v>
      </c>
      <c r="AQ86" s="171"/>
    </row>
    <row r="87" spans="1:43" x14ac:dyDescent="0.25">
      <c r="A87" s="152" t="s">
        <v>90</v>
      </c>
      <c r="B87" s="158">
        <v>6551.1</v>
      </c>
      <c r="C87" s="159"/>
      <c r="D87" s="183"/>
      <c r="E87" s="154">
        <f>SUM(E88:E91)</f>
        <v>0</v>
      </c>
      <c r="F87" s="155"/>
      <c r="G87" s="156"/>
      <c r="H87" s="154">
        <f>SUM(H88:H91)</f>
        <v>173016.22</v>
      </c>
      <c r="I87" s="155"/>
      <c r="J87" s="156"/>
      <c r="K87" s="157">
        <f>SUM(K88:K91)</f>
        <v>7453.9</v>
      </c>
      <c r="L87" s="157"/>
      <c r="M87" s="157"/>
      <c r="N87" s="154">
        <f>SUM(N88:N91)</f>
        <v>0</v>
      </c>
      <c r="O87" s="155"/>
      <c r="P87" s="156"/>
      <c r="Q87" s="154">
        <f>SUM(Q88:Q91)</f>
        <v>7056.9</v>
      </c>
      <c r="R87" s="155"/>
      <c r="S87" s="156"/>
      <c r="T87" s="154">
        <f>SUM(T88:T91)</f>
        <v>863.99</v>
      </c>
      <c r="U87" s="155"/>
      <c r="V87" s="156"/>
      <c r="W87" s="154">
        <f>SUM(W88:W91)</f>
        <v>2227.6999999999998</v>
      </c>
      <c r="X87" s="155"/>
      <c r="Y87" s="156"/>
      <c r="Z87" s="154">
        <f>SUM(Z88:Z91)</f>
        <v>8223.25</v>
      </c>
      <c r="AA87" s="155"/>
      <c r="AB87" s="156"/>
      <c r="AC87" s="157">
        <f>SUM(AC88:AC91)</f>
        <v>360</v>
      </c>
      <c r="AD87" s="157"/>
      <c r="AE87" s="157"/>
      <c r="AF87" s="154">
        <f>SUM(AF88:AF91)</f>
        <v>340</v>
      </c>
      <c r="AG87" s="155"/>
      <c r="AH87" s="155"/>
      <c r="AI87" s="154">
        <f>SUM(AI88:AI91)</f>
        <v>0</v>
      </c>
      <c r="AJ87" s="155"/>
      <c r="AK87" s="155"/>
      <c r="AL87" s="158">
        <f>SUM(AL88:AN91)</f>
        <v>199541.96000000002</v>
      </c>
      <c r="AM87" s="159"/>
      <c r="AN87" s="183"/>
      <c r="AO87" s="160">
        <f>AL87/AL100</f>
        <v>0.33215485048850629</v>
      </c>
      <c r="AP87" s="161">
        <f>SUM(AP88:AQ91)</f>
        <v>273602.88</v>
      </c>
      <c r="AQ87" s="161"/>
    </row>
    <row r="88" spans="1:43" x14ac:dyDescent="0.25">
      <c r="A88" s="162" t="s">
        <v>91</v>
      </c>
      <c r="B88" s="33">
        <v>6489.1</v>
      </c>
      <c r="C88" s="34"/>
      <c r="D88" s="35"/>
      <c r="E88" s="164">
        <v>0</v>
      </c>
      <c r="F88" s="165"/>
      <c r="G88" s="166"/>
      <c r="H88" s="164">
        <v>0</v>
      </c>
      <c r="I88" s="165"/>
      <c r="J88" s="166"/>
      <c r="K88" s="167">
        <v>7453.9</v>
      </c>
      <c r="L88" s="167"/>
      <c r="M88" s="167"/>
      <c r="N88" s="164">
        <v>0</v>
      </c>
      <c r="O88" s="165"/>
      <c r="P88" s="166"/>
      <c r="Q88" s="168">
        <v>7056.9</v>
      </c>
      <c r="R88" s="169"/>
      <c r="S88" s="170"/>
      <c r="T88" s="164">
        <v>0</v>
      </c>
      <c r="U88" s="165"/>
      <c r="V88" s="166"/>
      <c r="W88" s="168">
        <f>1158.71+197.82</f>
        <v>1356.53</v>
      </c>
      <c r="X88" s="169"/>
      <c r="Y88" s="169"/>
      <c r="Z88" s="168">
        <f>8163.25</f>
        <v>8163.25</v>
      </c>
      <c r="AA88" s="169"/>
      <c r="AB88" s="170"/>
      <c r="AC88" s="171">
        <v>0</v>
      </c>
      <c r="AD88" s="171"/>
      <c r="AE88" s="171"/>
      <c r="AF88" s="168">
        <v>0</v>
      </c>
      <c r="AG88" s="169"/>
      <c r="AH88" s="169"/>
      <c r="AI88" s="171">
        <v>0</v>
      </c>
      <c r="AJ88" s="171"/>
      <c r="AK88" s="171"/>
      <c r="AL88" s="33">
        <f>7453.9+7056.9+1356.53+8163.25</f>
        <v>24030.58</v>
      </c>
      <c r="AM88" s="34"/>
      <c r="AN88" s="35"/>
      <c r="AO88" s="172">
        <f>AL88/AL100</f>
        <v>4.0000978776855198E-2</v>
      </c>
      <c r="AP88" s="171">
        <f>69328.92+AL88</f>
        <v>93359.5</v>
      </c>
      <c r="AQ88" s="171"/>
    </row>
    <row r="89" spans="1:43" x14ac:dyDescent="0.25">
      <c r="A89" s="162" t="s">
        <v>92</v>
      </c>
      <c r="B89" s="33">
        <v>0</v>
      </c>
      <c r="C89" s="34"/>
      <c r="D89" s="35"/>
      <c r="E89" s="164">
        <v>0</v>
      </c>
      <c r="F89" s="165"/>
      <c r="G89" s="166"/>
      <c r="H89" s="164">
        <v>0</v>
      </c>
      <c r="I89" s="165"/>
      <c r="J89" s="166"/>
      <c r="K89" s="167">
        <v>0</v>
      </c>
      <c r="L89" s="167"/>
      <c r="M89" s="167"/>
      <c r="N89" s="164">
        <v>0</v>
      </c>
      <c r="O89" s="165"/>
      <c r="P89" s="166"/>
      <c r="Q89" s="168">
        <v>0</v>
      </c>
      <c r="R89" s="169"/>
      <c r="S89" s="170"/>
      <c r="T89" s="164">
        <v>0</v>
      </c>
      <c r="U89" s="165"/>
      <c r="V89" s="166"/>
      <c r="W89" s="168">
        <v>0</v>
      </c>
      <c r="X89" s="169"/>
      <c r="Y89" s="169"/>
      <c r="Z89" s="168">
        <v>0</v>
      </c>
      <c r="AA89" s="169"/>
      <c r="AB89" s="170"/>
      <c r="AC89" s="171">
        <v>0</v>
      </c>
      <c r="AD89" s="171"/>
      <c r="AE89" s="171"/>
      <c r="AF89" s="168">
        <v>0</v>
      </c>
      <c r="AG89" s="169"/>
      <c r="AH89" s="169"/>
      <c r="AI89" s="171">
        <v>0</v>
      </c>
      <c r="AJ89" s="171"/>
      <c r="AK89" s="171"/>
      <c r="AL89" s="33">
        <f>0</f>
        <v>0</v>
      </c>
      <c r="AM89" s="34"/>
      <c r="AN89" s="35"/>
      <c r="AO89" s="172">
        <f>AL89/AL100</f>
        <v>0</v>
      </c>
      <c r="AP89" s="171">
        <f>1000+AL89</f>
        <v>1000</v>
      </c>
      <c r="AQ89" s="171"/>
    </row>
    <row r="90" spans="1:43" x14ac:dyDescent="0.25">
      <c r="A90" s="162" t="s">
        <v>93</v>
      </c>
      <c r="B90" s="33">
        <v>62</v>
      </c>
      <c r="C90" s="34"/>
      <c r="D90" s="35"/>
      <c r="E90" s="164">
        <v>0</v>
      </c>
      <c r="F90" s="165"/>
      <c r="G90" s="166"/>
      <c r="H90" s="164">
        <v>173016.22</v>
      </c>
      <c r="I90" s="165"/>
      <c r="J90" s="166"/>
      <c r="K90" s="167">
        <v>0</v>
      </c>
      <c r="L90" s="167"/>
      <c r="M90" s="167"/>
      <c r="N90" s="164">
        <v>0</v>
      </c>
      <c r="O90" s="165"/>
      <c r="P90" s="166"/>
      <c r="Q90" s="168">
        <v>0</v>
      </c>
      <c r="R90" s="169"/>
      <c r="S90" s="170"/>
      <c r="T90" s="164">
        <v>863.99</v>
      </c>
      <c r="U90" s="165"/>
      <c r="V90" s="166"/>
      <c r="W90" s="168">
        <f>511.17+360</f>
        <v>871.17000000000007</v>
      </c>
      <c r="X90" s="169"/>
      <c r="Y90" s="169"/>
      <c r="Z90" s="168">
        <v>0</v>
      </c>
      <c r="AA90" s="169"/>
      <c r="AB90" s="170"/>
      <c r="AC90" s="171">
        <f>360</f>
        <v>360</v>
      </c>
      <c r="AD90" s="171"/>
      <c r="AE90" s="171"/>
      <c r="AF90" s="168">
        <f>340</f>
        <v>340</v>
      </c>
      <c r="AG90" s="169"/>
      <c r="AH90" s="169"/>
      <c r="AI90" s="171">
        <v>0</v>
      </c>
      <c r="AJ90" s="171"/>
      <c r="AK90" s="171"/>
      <c r="AL90" s="33">
        <f>173016.22+863.99+871.17+360+340</f>
        <v>175451.38</v>
      </c>
      <c r="AM90" s="34"/>
      <c r="AN90" s="35"/>
      <c r="AO90" s="172">
        <f>AL90/AL100</f>
        <v>0.29205399652234593</v>
      </c>
      <c r="AP90" s="171">
        <f>3732+AL90</f>
        <v>179183.38</v>
      </c>
      <c r="AQ90" s="171"/>
    </row>
    <row r="91" spans="1:43" x14ac:dyDescent="0.25">
      <c r="A91" s="162" t="s">
        <v>94</v>
      </c>
      <c r="B91" s="33">
        <v>0</v>
      </c>
      <c r="C91" s="34"/>
      <c r="D91" s="35"/>
      <c r="E91" s="164">
        <v>0</v>
      </c>
      <c r="F91" s="165"/>
      <c r="G91" s="166"/>
      <c r="H91" s="164">
        <v>0</v>
      </c>
      <c r="I91" s="165"/>
      <c r="J91" s="166"/>
      <c r="K91" s="164">
        <v>0</v>
      </c>
      <c r="L91" s="165"/>
      <c r="M91" s="166"/>
      <c r="N91" s="164">
        <v>0</v>
      </c>
      <c r="O91" s="165"/>
      <c r="P91" s="166"/>
      <c r="Q91" s="164">
        <v>0</v>
      </c>
      <c r="R91" s="165"/>
      <c r="S91" s="166"/>
      <c r="T91" s="164">
        <v>0</v>
      </c>
      <c r="U91" s="165"/>
      <c r="V91" s="166"/>
      <c r="W91" s="164">
        <v>0</v>
      </c>
      <c r="X91" s="165"/>
      <c r="Y91" s="166"/>
      <c r="Z91" s="168">
        <f>60</f>
        <v>60</v>
      </c>
      <c r="AA91" s="169"/>
      <c r="AB91" s="170"/>
      <c r="AC91" s="171">
        <v>0</v>
      </c>
      <c r="AD91" s="171"/>
      <c r="AE91" s="171"/>
      <c r="AF91" s="168">
        <v>0</v>
      </c>
      <c r="AG91" s="169"/>
      <c r="AH91" s="169"/>
      <c r="AI91" s="171">
        <v>0</v>
      </c>
      <c r="AJ91" s="171"/>
      <c r="AK91" s="171"/>
      <c r="AL91" s="33">
        <f>60</f>
        <v>60</v>
      </c>
      <c r="AM91" s="34"/>
      <c r="AN91" s="35"/>
      <c r="AO91" s="172">
        <f>AL91/AL100</f>
        <v>9.9875189305098414E-5</v>
      </c>
      <c r="AP91" s="168">
        <f>AL91+0</f>
        <v>60</v>
      </c>
      <c r="AQ91" s="170"/>
    </row>
    <row r="92" spans="1:43" x14ac:dyDescent="0.25">
      <c r="A92" s="152" t="s">
        <v>95</v>
      </c>
      <c r="B92" s="158">
        <v>54706.3</v>
      </c>
      <c r="C92" s="159"/>
      <c r="D92" s="183"/>
      <c r="E92" s="154">
        <f>SUM(E93:E99)</f>
        <v>0</v>
      </c>
      <c r="F92" s="155"/>
      <c r="G92" s="156"/>
      <c r="H92" s="154">
        <f t="shared" ref="H92" si="34">SUM(H93:H99)</f>
        <v>2604.98</v>
      </c>
      <c r="I92" s="155"/>
      <c r="J92" s="156"/>
      <c r="K92" s="157">
        <f>SUM(K93:K99)</f>
        <v>14146.78</v>
      </c>
      <c r="L92" s="157"/>
      <c r="M92" s="157"/>
      <c r="N92" s="154">
        <f t="shared" ref="N92" si="35">SUM(N93:N99)</f>
        <v>5441.6900000000005</v>
      </c>
      <c r="O92" s="155"/>
      <c r="P92" s="156"/>
      <c r="Q92" s="154">
        <f t="shared" ref="Q92" si="36">SUM(Q93:Q99)</f>
        <v>1359.04</v>
      </c>
      <c r="R92" s="155"/>
      <c r="S92" s="156"/>
      <c r="T92" s="184">
        <f t="shared" ref="T92" si="37">SUM(T93:T99)</f>
        <v>12457.19</v>
      </c>
      <c r="U92" s="185"/>
      <c r="V92" s="186"/>
      <c r="W92" s="158">
        <f>SUM(W93:Y99)</f>
        <v>5101.3900000000003</v>
      </c>
      <c r="X92" s="159"/>
      <c r="Y92" s="159"/>
      <c r="Z92" s="154">
        <f t="shared" ref="Z92" si="38">SUM(Z93:Z99)</f>
        <v>1734.21</v>
      </c>
      <c r="AA92" s="155"/>
      <c r="AB92" s="156"/>
      <c r="AC92" s="157">
        <f t="shared" ref="AC92" si="39">SUM(AC93:AC99)</f>
        <v>15631.64</v>
      </c>
      <c r="AD92" s="157"/>
      <c r="AE92" s="157"/>
      <c r="AF92" s="154">
        <f t="shared" ref="AF92" si="40">SUM(AF93:AF99)</f>
        <v>0</v>
      </c>
      <c r="AG92" s="155"/>
      <c r="AH92" s="155"/>
      <c r="AI92" s="154">
        <f t="shared" ref="AI92" si="41">SUM(AI93:AI99)</f>
        <v>2929.21</v>
      </c>
      <c r="AJ92" s="155"/>
      <c r="AK92" s="155"/>
      <c r="AL92" s="158">
        <f>SUM(AL93:AN99)</f>
        <v>61406.13</v>
      </c>
      <c r="AM92" s="159"/>
      <c r="AN92" s="183"/>
      <c r="AO92" s="160">
        <f>AL92/AL100</f>
        <v>0.10221581430405803</v>
      </c>
      <c r="AP92" s="161">
        <f>SUM(AP93:AQ99)</f>
        <v>165967.32</v>
      </c>
      <c r="AQ92" s="161"/>
    </row>
    <row r="93" spans="1:43" x14ac:dyDescent="0.25">
      <c r="A93" s="179" t="s">
        <v>96</v>
      </c>
      <c r="B93" s="33">
        <v>24831.980000000003</v>
      </c>
      <c r="C93" s="34"/>
      <c r="D93" s="35"/>
      <c r="E93" s="164">
        <v>0</v>
      </c>
      <c r="F93" s="165"/>
      <c r="G93" s="166"/>
      <c r="H93" s="164">
        <v>2417.9499999999998</v>
      </c>
      <c r="I93" s="165"/>
      <c r="J93" s="166"/>
      <c r="K93" s="167">
        <v>2278.7199999999998</v>
      </c>
      <c r="L93" s="167"/>
      <c r="M93" s="167"/>
      <c r="N93" s="164">
        <v>2603.92</v>
      </c>
      <c r="O93" s="165"/>
      <c r="P93" s="166"/>
      <c r="Q93" s="168">
        <v>0</v>
      </c>
      <c r="R93" s="169"/>
      <c r="S93" s="170"/>
      <c r="T93" s="164">
        <v>2258.09</v>
      </c>
      <c r="U93" s="165"/>
      <c r="V93" s="166"/>
      <c r="W93" s="168">
        <f>2413.24+2679.03</f>
        <v>5092.2700000000004</v>
      </c>
      <c r="X93" s="169"/>
      <c r="Y93" s="169"/>
      <c r="Z93" s="168">
        <f>983.02</f>
        <v>983.02</v>
      </c>
      <c r="AA93" s="169"/>
      <c r="AB93" s="170"/>
      <c r="AC93" s="171">
        <f>1809.54+2339.7+1342.41</f>
        <v>5491.65</v>
      </c>
      <c r="AD93" s="171"/>
      <c r="AE93" s="171"/>
      <c r="AF93" s="168">
        <v>0</v>
      </c>
      <c r="AG93" s="169"/>
      <c r="AH93" s="169"/>
      <c r="AI93" s="171">
        <f>2929.21</f>
        <v>2929.21</v>
      </c>
      <c r="AJ93" s="171"/>
      <c r="AK93" s="171"/>
      <c r="AL93" s="33">
        <f>2417.95+2278.72+2603.92+2258.09+5092.27+983.02+5491.65+2929.21</f>
        <v>24054.83</v>
      </c>
      <c r="AM93" s="34"/>
      <c r="AN93" s="35"/>
      <c r="AO93" s="172">
        <f>AL93/AL100</f>
        <v>4.0041344999199341E-2</v>
      </c>
      <c r="AP93" s="171">
        <f>46575.11+AL93</f>
        <v>70629.94</v>
      </c>
      <c r="AQ93" s="171"/>
    </row>
    <row r="94" spans="1:43" x14ac:dyDescent="0.25">
      <c r="A94" s="179" t="s">
        <v>97</v>
      </c>
      <c r="B94" s="33">
        <v>8709.6500000000015</v>
      </c>
      <c r="C94" s="34"/>
      <c r="D94" s="35"/>
      <c r="E94" s="164">
        <v>0</v>
      </c>
      <c r="F94" s="165"/>
      <c r="G94" s="166"/>
      <c r="H94" s="164">
        <v>0</v>
      </c>
      <c r="I94" s="165"/>
      <c r="J94" s="166"/>
      <c r="K94" s="167">
        <v>1189.1500000000001</v>
      </c>
      <c r="L94" s="167"/>
      <c r="M94" s="167"/>
      <c r="N94" s="164">
        <v>2837.77</v>
      </c>
      <c r="O94" s="165"/>
      <c r="P94" s="166"/>
      <c r="Q94" s="168">
        <v>0</v>
      </c>
      <c r="R94" s="169"/>
      <c r="S94" s="170"/>
      <c r="T94" s="164">
        <v>1922.75</v>
      </c>
      <c r="U94" s="165"/>
      <c r="V94" s="166"/>
      <c r="W94" s="168">
        <v>0</v>
      </c>
      <c r="X94" s="169"/>
      <c r="Y94" s="169"/>
      <c r="Z94" s="168">
        <v>0</v>
      </c>
      <c r="AA94" s="169"/>
      <c r="AB94" s="170"/>
      <c r="AC94" s="171">
        <f>2048.93</f>
        <v>2048.9299999999998</v>
      </c>
      <c r="AD94" s="171"/>
      <c r="AE94" s="171"/>
      <c r="AF94" s="168">
        <v>0</v>
      </c>
      <c r="AG94" s="169"/>
      <c r="AH94" s="169"/>
      <c r="AI94" s="171">
        <v>0</v>
      </c>
      <c r="AJ94" s="171"/>
      <c r="AK94" s="171"/>
      <c r="AL94" s="33">
        <f>1189.15+2837.77+1922.75+2048.93</f>
        <v>7998.6</v>
      </c>
      <c r="AM94" s="34"/>
      <c r="AN94" s="35"/>
      <c r="AO94" s="172">
        <f>AL94/AL100</f>
        <v>1.3314361486262669E-2</v>
      </c>
      <c r="AP94" s="171">
        <f>10093.06+AL94</f>
        <v>18091.66</v>
      </c>
      <c r="AQ94" s="171"/>
    </row>
    <row r="95" spans="1:43" x14ac:dyDescent="0.25">
      <c r="A95" s="179" t="s">
        <v>98</v>
      </c>
      <c r="B95" s="33">
        <v>4573</v>
      </c>
      <c r="C95" s="34"/>
      <c r="D95" s="35"/>
      <c r="E95" s="164">
        <v>0</v>
      </c>
      <c r="F95" s="165"/>
      <c r="G95" s="166"/>
      <c r="H95" s="164">
        <v>0</v>
      </c>
      <c r="I95" s="165"/>
      <c r="J95" s="166"/>
      <c r="K95" s="167">
        <v>566.03</v>
      </c>
      <c r="L95" s="167"/>
      <c r="M95" s="167"/>
      <c r="N95" s="164">
        <v>0</v>
      </c>
      <c r="O95" s="165"/>
      <c r="P95" s="166"/>
      <c r="Q95" s="168">
        <v>0</v>
      </c>
      <c r="R95" s="169"/>
      <c r="S95" s="170"/>
      <c r="T95" s="164">
        <v>1998.5</v>
      </c>
      <c r="U95" s="165"/>
      <c r="V95" s="166"/>
      <c r="W95" s="168">
        <v>0</v>
      </c>
      <c r="X95" s="169"/>
      <c r="Y95" s="169"/>
      <c r="Z95" s="168">
        <v>0</v>
      </c>
      <c r="AA95" s="169"/>
      <c r="AB95" s="170"/>
      <c r="AC95" s="171">
        <f>1214.69+626.71</f>
        <v>1841.4</v>
      </c>
      <c r="AD95" s="171"/>
      <c r="AE95" s="171"/>
      <c r="AF95" s="168">
        <v>0</v>
      </c>
      <c r="AG95" s="169"/>
      <c r="AH95" s="169"/>
      <c r="AI95" s="171">
        <v>0</v>
      </c>
      <c r="AJ95" s="171"/>
      <c r="AK95" s="171"/>
      <c r="AL95" s="33">
        <f>566.03+1998.5+1841.4</f>
        <v>4405.93</v>
      </c>
      <c r="AM95" s="34"/>
      <c r="AN95" s="35"/>
      <c r="AO95" s="172">
        <f>AL95/AL100</f>
        <v>7.3340515469168706E-3</v>
      </c>
      <c r="AP95" s="171">
        <f>17826.42+AL95</f>
        <v>22232.35</v>
      </c>
      <c r="AQ95" s="171"/>
    </row>
    <row r="96" spans="1:43" x14ac:dyDescent="0.25">
      <c r="A96" s="179" t="s">
        <v>99</v>
      </c>
      <c r="B96" s="33">
        <v>1671.47</v>
      </c>
      <c r="C96" s="34"/>
      <c r="D96" s="35"/>
      <c r="E96" s="164">
        <v>0</v>
      </c>
      <c r="F96" s="165"/>
      <c r="G96" s="166"/>
      <c r="H96" s="164">
        <v>187.03</v>
      </c>
      <c r="I96" s="165"/>
      <c r="J96" s="166"/>
      <c r="K96" s="167">
        <v>1350.19</v>
      </c>
      <c r="L96" s="167"/>
      <c r="M96" s="167"/>
      <c r="N96" s="164">
        <v>0</v>
      </c>
      <c r="O96" s="165"/>
      <c r="P96" s="166"/>
      <c r="Q96" s="168">
        <v>0</v>
      </c>
      <c r="R96" s="169"/>
      <c r="S96" s="170"/>
      <c r="T96" s="164">
        <v>807.21</v>
      </c>
      <c r="U96" s="165"/>
      <c r="V96" s="166"/>
      <c r="W96" s="168">
        <v>0</v>
      </c>
      <c r="X96" s="169"/>
      <c r="Y96" s="169"/>
      <c r="Z96" s="168">
        <v>0</v>
      </c>
      <c r="AA96" s="169"/>
      <c r="AB96" s="170"/>
      <c r="AC96" s="171">
        <f>1813.38+35</f>
        <v>1848.38</v>
      </c>
      <c r="AD96" s="171"/>
      <c r="AE96" s="171"/>
      <c r="AF96" s="168">
        <v>0</v>
      </c>
      <c r="AG96" s="169"/>
      <c r="AH96" s="169"/>
      <c r="AI96" s="171">
        <v>0</v>
      </c>
      <c r="AJ96" s="171"/>
      <c r="AK96" s="171"/>
      <c r="AL96" s="33">
        <f>187.03+1350.19+807.21+1848.38</f>
        <v>4192.8100000000004</v>
      </c>
      <c r="AM96" s="34"/>
      <c r="AN96" s="35"/>
      <c r="AO96" s="187">
        <f>AL96/AL100</f>
        <v>6.9792948745051615E-3</v>
      </c>
      <c r="AP96" s="171">
        <f>1671.47+AL96</f>
        <v>5864.2800000000007</v>
      </c>
      <c r="AQ96" s="171"/>
    </row>
    <row r="97" spans="1:43" x14ac:dyDescent="0.25">
      <c r="A97" s="179" t="s">
        <v>100</v>
      </c>
      <c r="B97" s="33">
        <v>5290.1100000000006</v>
      </c>
      <c r="C97" s="34"/>
      <c r="D97" s="35"/>
      <c r="E97" s="164">
        <v>0</v>
      </c>
      <c r="F97" s="165"/>
      <c r="G97" s="166"/>
      <c r="H97" s="164">
        <v>0</v>
      </c>
      <c r="I97" s="165"/>
      <c r="J97" s="166"/>
      <c r="K97" s="167">
        <v>0</v>
      </c>
      <c r="L97" s="167"/>
      <c r="M97" s="167"/>
      <c r="N97" s="164">
        <v>0</v>
      </c>
      <c r="O97" s="165"/>
      <c r="P97" s="166"/>
      <c r="Q97" s="168">
        <v>0</v>
      </c>
      <c r="R97" s="169"/>
      <c r="S97" s="170"/>
      <c r="T97" s="164">
        <v>1029.6500000000001</v>
      </c>
      <c r="U97" s="165"/>
      <c r="V97" s="166"/>
      <c r="W97" s="168">
        <v>0</v>
      </c>
      <c r="X97" s="169"/>
      <c r="Y97" s="169"/>
      <c r="Z97" s="168">
        <f>751.19</f>
        <v>751.19</v>
      </c>
      <c r="AA97" s="169"/>
      <c r="AB97" s="170"/>
      <c r="AC97" s="171">
        <f>135.23</f>
        <v>135.22999999999999</v>
      </c>
      <c r="AD97" s="171"/>
      <c r="AE97" s="171"/>
      <c r="AF97" s="168">
        <v>0</v>
      </c>
      <c r="AG97" s="169"/>
      <c r="AH97" s="169"/>
      <c r="AI97" s="171">
        <v>0</v>
      </c>
      <c r="AJ97" s="171"/>
      <c r="AK97" s="171"/>
      <c r="AL97" s="33">
        <f>1029.65+751.19+135.23</f>
        <v>1916.0700000000002</v>
      </c>
      <c r="AM97" s="34"/>
      <c r="AN97" s="35"/>
      <c r="AO97" s="172">
        <f>AL97/AL100</f>
        <v>3.1894642328636653E-3</v>
      </c>
      <c r="AP97" s="171">
        <f>5290.11+AL97</f>
        <v>7206.18</v>
      </c>
      <c r="AQ97" s="171"/>
    </row>
    <row r="98" spans="1:43" x14ac:dyDescent="0.25">
      <c r="A98" s="179" t="s">
        <v>101</v>
      </c>
      <c r="B98" s="33">
        <v>8507.09</v>
      </c>
      <c r="C98" s="34"/>
      <c r="D98" s="35"/>
      <c r="E98" s="164">
        <v>0</v>
      </c>
      <c r="F98" s="165"/>
      <c r="G98" s="166"/>
      <c r="H98" s="164">
        <v>0</v>
      </c>
      <c r="I98" s="165"/>
      <c r="J98" s="166"/>
      <c r="K98" s="167">
        <v>0</v>
      </c>
      <c r="L98" s="167"/>
      <c r="M98" s="167"/>
      <c r="N98" s="164">
        <v>0</v>
      </c>
      <c r="O98" s="165"/>
      <c r="P98" s="166"/>
      <c r="Q98" s="168">
        <v>0</v>
      </c>
      <c r="R98" s="169"/>
      <c r="S98" s="170"/>
      <c r="T98" s="164">
        <v>1752.98</v>
      </c>
      <c r="U98" s="165"/>
      <c r="V98" s="166"/>
      <c r="W98" s="168">
        <f>6+3.12</f>
        <v>9.120000000000001</v>
      </c>
      <c r="X98" s="169"/>
      <c r="Y98" s="169"/>
      <c r="Z98" s="168">
        <v>0</v>
      </c>
      <c r="AA98" s="169"/>
      <c r="AB98" s="170"/>
      <c r="AC98" s="171">
        <v>0</v>
      </c>
      <c r="AD98" s="171"/>
      <c r="AE98" s="171"/>
      <c r="AF98" s="168">
        <v>0</v>
      </c>
      <c r="AG98" s="169"/>
      <c r="AH98" s="169"/>
      <c r="AI98" s="171">
        <v>0</v>
      </c>
      <c r="AJ98" s="171"/>
      <c r="AK98" s="171"/>
      <c r="AL98" s="33">
        <f>1752.98+9.12</f>
        <v>1762.1</v>
      </c>
      <c r="AM98" s="34"/>
      <c r="AN98" s="35"/>
      <c r="AO98" s="172">
        <f>AL98/AL100</f>
        <v>2.9331678512418981E-3</v>
      </c>
      <c r="AP98" s="171">
        <f>9766.44+AL98</f>
        <v>11528.54</v>
      </c>
      <c r="AQ98" s="171"/>
    </row>
    <row r="99" spans="1:43" x14ac:dyDescent="0.25">
      <c r="A99" s="179" t="s">
        <v>102</v>
      </c>
      <c r="B99" s="33">
        <v>1123</v>
      </c>
      <c r="C99" s="34"/>
      <c r="D99" s="35"/>
      <c r="E99" s="164">
        <v>0</v>
      </c>
      <c r="F99" s="165"/>
      <c r="G99" s="166"/>
      <c r="H99" s="164">
        <v>0</v>
      </c>
      <c r="I99" s="165"/>
      <c r="J99" s="166"/>
      <c r="K99" s="167">
        <v>8762.69</v>
      </c>
      <c r="L99" s="167"/>
      <c r="M99" s="167"/>
      <c r="N99" s="164">
        <v>0</v>
      </c>
      <c r="O99" s="165"/>
      <c r="P99" s="166"/>
      <c r="Q99" s="168">
        <v>1359.04</v>
      </c>
      <c r="R99" s="169"/>
      <c r="S99" s="170"/>
      <c r="T99" s="164">
        <v>2688.01</v>
      </c>
      <c r="U99" s="165"/>
      <c r="V99" s="166"/>
      <c r="W99" s="168">
        <v>0</v>
      </c>
      <c r="X99" s="169"/>
      <c r="Y99" s="169"/>
      <c r="Z99" s="168">
        <v>0</v>
      </c>
      <c r="AA99" s="169"/>
      <c r="AB99" s="170"/>
      <c r="AC99" s="171">
        <f>1926.03+2340.02</f>
        <v>4266.05</v>
      </c>
      <c r="AD99" s="171"/>
      <c r="AE99" s="171"/>
      <c r="AF99" s="168">
        <v>0</v>
      </c>
      <c r="AG99" s="169"/>
      <c r="AH99" s="169"/>
      <c r="AI99" s="171">
        <v>0</v>
      </c>
      <c r="AJ99" s="171"/>
      <c r="AK99" s="171"/>
      <c r="AL99" s="33">
        <f>8762.69+1359.04+2688.01+4266.05</f>
        <v>17075.79</v>
      </c>
      <c r="AM99" s="34"/>
      <c r="AN99" s="35"/>
      <c r="AO99" s="172">
        <f>AL99/AL100</f>
        <v>2.8424129313068439E-2</v>
      </c>
      <c r="AP99" s="171">
        <f>13338.58+AL99</f>
        <v>30414.370000000003</v>
      </c>
      <c r="AQ99" s="171"/>
    </row>
    <row r="100" spans="1:43" x14ac:dyDescent="0.25">
      <c r="A100" s="188" t="s">
        <v>103</v>
      </c>
      <c r="B100" s="189">
        <v>420074.00999999995</v>
      </c>
      <c r="C100" s="190"/>
      <c r="D100" s="191"/>
      <c r="E100" s="189">
        <f t="shared" ref="E100" si="42">E33+E42+E46+E50+E63+E68+E81+E87+E92</f>
        <v>20171.68</v>
      </c>
      <c r="F100" s="190"/>
      <c r="G100" s="191"/>
      <c r="H100" s="189">
        <f t="shared" ref="H100" si="43">H33+H42+H46+H50+H63+H68+H81+H87+H92</f>
        <v>211927.83000000002</v>
      </c>
      <c r="I100" s="190"/>
      <c r="J100" s="191"/>
      <c r="K100" s="192">
        <v>44208.9</v>
      </c>
      <c r="L100" s="192"/>
      <c r="M100" s="192"/>
      <c r="N100" s="189">
        <f t="shared" ref="N100" si="44">N33+N42+N46+N50+N63+N68+N81+N87+N92</f>
        <v>28244.670000000006</v>
      </c>
      <c r="O100" s="190"/>
      <c r="P100" s="191"/>
      <c r="Q100" s="189">
        <f t="shared" ref="Q100" si="45">Q33+Q42+Q46+Q50+Q63+Q68+Q81+Q87+Q92</f>
        <v>44942.97</v>
      </c>
      <c r="R100" s="190"/>
      <c r="S100" s="191"/>
      <c r="T100" s="189">
        <f t="shared" ref="T100" si="46">T33+T42+T46+T50+T63+T68+T81+T87+T92</f>
        <v>35789.769999999997</v>
      </c>
      <c r="U100" s="190"/>
      <c r="V100" s="191"/>
      <c r="W100" s="189">
        <f>W33+W42+W46+W50+W63+W68+W81+W87+W92</f>
        <v>39916.080000000002</v>
      </c>
      <c r="X100" s="190"/>
      <c r="Y100" s="190"/>
      <c r="Z100" s="189">
        <f>Z33+Z42+Z46+Z50+Z63+Z68+Z81+Z87+Z92</f>
        <v>37313.200000000004</v>
      </c>
      <c r="AA100" s="190"/>
      <c r="AB100" s="190"/>
      <c r="AC100" s="192">
        <f>AC33+AC42+AC46+AC50+AC63+AC68+AC81+AC87+AC92</f>
        <v>55979.3</v>
      </c>
      <c r="AD100" s="192"/>
      <c r="AE100" s="192"/>
      <c r="AF100" s="189">
        <f>AF33+AF42+AF46+AF50+AF63+AF68+AF81+AF87+AF92</f>
        <v>34272.71</v>
      </c>
      <c r="AG100" s="190"/>
      <c r="AH100" s="190"/>
      <c r="AI100" s="189">
        <f>AI33+AI42+AI46+AI50+AI63+AI68+AI81+AI87+AI92</f>
        <v>47982.689999999995</v>
      </c>
      <c r="AJ100" s="190"/>
      <c r="AK100" s="190"/>
      <c r="AL100" s="189">
        <f>SUM(AL33+AL42+AL46+AL50+AL63+AL68+AL81+AL87+AL92)</f>
        <v>600749.79999999993</v>
      </c>
      <c r="AM100" s="190"/>
      <c r="AN100" s="191"/>
      <c r="AO100" s="193">
        <f>AL100/AL100</f>
        <v>1</v>
      </c>
      <c r="AP100" s="194">
        <f>SUM(AP33+AP42+AP46+AP50+AP63+AP68+AP81+AP87+AP92)</f>
        <v>1970974.57</v>
      </c>
      <c r="AQ100" s="194"/>
    </row>
    <row r="101" spans="1:43" x14ac:dyDescent="0.25">
      <c r="A101" s="195" t="s">
        <v>104</v>
      </c>
      <c r="B101" s="196">
        <f>D27-B102</f>
        <v>1638818.02</v>
      </c>
      <c r="C101" s="197"/>
      <c r="D101" s="198"/>
      <c r="E101" s="199">
        <f>G27-E100</f>
        <v>100480.64000000001</v>
      </c>
      <c r="F101" s="199"/>
      <c r="G101" s="199"/>
      <c r="H101" s="200">
        <f>H100-J27</f>
        <v>93226.260000000009</v>
      </c>
      <c r="I101" s="200"/>
      <c r="J101" s="200"/>
      <c r="K101" s="200">
        <f>M27-K100</f>
        <v>75105.78</v>
      </c>
      <c r="L101" s="200"/>
      <c r="M101" s="200"/>
      <c r="N101" s="200">
        <f>P27-N100</f>
        <v>92307.729999999981</v>
      </c>
      <c r="O101" s="200"/>
      <c r="P101" s="200"/>
      <c r="Q101" s="200">
        <f>S27-Q100</f>
        <v>123893.29000000001</v>
      </c>
      <c r="R101" s="200"/>
      <c r="S101" s="200"/>
      <c r="T101" s="200">
        <f>V27-T100</f>
        <v>71508.489999999991</v>
      </c>
      <c r="U101" s="200"/>
      <c r="V101" s="200"/>
      <c r="W101" s="199">
        <f>Y27-W100</f>
        <v>95232.37000000001</v>
      </c>
      <c r="X101" s="199"/>
      <c r="Y101" s="201"/>
      <c r="Z101" s="202">
        <f>AB27-Z100</f>
        <v>-8485.7400000000052</v>
      </c>
      <c r="AA101" s="202"/>
      <c r="AB101" s="203"/>
      <c r="AC101" s="199">
        <f>AE27-AC100</f>
        <v>-15991.43</v>
      </c>
      <c r="AD101" s="199"/>
      <c r="AE101" s="199"/>
      <c r="AF101" s="202">
        <f>AH27-AF100</f>
        <v>-12688.400000000001</v>
      </c>
      <c r="AG101" s="202"/>
      <c r="AH101" s="203"/>
      <c r="AI101" s="202">
        <f>AK27-AI100</f>
        <v>-5762.6999999999971</v>
      </c>
      <c r="AJ101" s="202"/>
      <c r="AK101" s="203"/>
      <c r="AL101" s="200">
        <f>AN27-AL100</f>
        <v>422373.77000000014</v>
      </c>
      <c r="AM101" s="200"/>
      <c r="AN101" s="200"/>
      <c r="AO101" s="204">
        <f>AQ27-AP100</f>
        <v>2061216.36</v>
      </c>
      <c r="AP101" s="204"/>
      <c r="AQ101" s="204"/>
    </row>
    <row r="102" spans="1:43" x14ac:dyDescent="0.25">
      <c r="A102" s="205" t="s">
        <v>105</v>
      </c>
      <c r="B102" s="206">
        <f>1370224.77</f>
        <v>1370224.77</v>
      </c>
      <c r="C102" s="206"/>
      <c r="D102" s="206"/>
      <c r="E102" s="207"/>
      <c r="F102" s="207"/>
      <c r="G102" s="207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7"/>
      <c r="X102" s="207"/>
      <c r="Y102" s="207"/>
      <c r="Z102" s="208"/>
      <c r="AA102" s="207"/>
      <c r="AB102" s="207"/>
      <c r="AC102" s="207"/>
      <c r="AD102" s="207"/>
      <c r="AE102" s="207"/>
      <c r="AF102" s="209"/>
      <c r="AG102" s="209"/>
      <c r="AH102" s="207"/>
      <c r="AI102" s="207"/>
      <c r="AJ102" s="207"/>
      <c r="AK102" s="207"/>
      <c r="AL102" s="209"/>
      <c r="AM102" s="209"/>
      <c r="AN102" s="209"/>
      <c r="AO102" s="210"/>
      <c r="AP102" s="210"/>
      <c r="AQ102" s="210"/>
    </row>
    <row r="103" spans="1:43" x14ac:dyDescent="0.25">
      <c r="A103" s="211"/>
      <c r="B103" s="212"/>
      <c r="C103" s="212"/>
      <c r="D103" s="212"/>
      <c r="E103" s="212"/>
      <c r="F103" s="212"/>
      <c r="G103" s="212"/>
      <c r="H103" s="212"/>
      <c r="I103" s="212"/>
      <c r="J103" s="212"/>
      <c r="K103" s="212"/>
      <c r="L103" s="212"/>
      <c r="M103" s="212"/>
      <c r="N103" s="212"/>
      <c r="O103" s="212"/>
      <c r="P103" s="212"/>
      <c r="Q103" s="212"/>
      <c r="R103" s="212"/>
      <c r="S103" s="212"/>
      <c r="T103" s="212"/>
      <c r="U103" s="212"/>
      <c r="V103" s="212"/>
      <c r="W103" s="212"/>
      <c r="X103" s="212"/>
      <c r="Y103" s="212"/>
      <c r="Z103" s="212"/>
      <c r="AA103" s="212"/>
      <c r="AB103" s="212"/>
      <c r="AC103" s="212"/>
      <c r="AD103" s="212"/>
      <c r="AE103" s="212"/>
      <c r="AF103" s="212"/>
      <c r="AG103" s="212"/>
      <c r="AH103" s="212"/>
      <c r="AI103" s="212"/>
      <c r="AJ103" s="212"/>
      <c r="AK103" s="212"/>
      <c r="AL103" s="212"/>
      <c r="AM103" s="212"/>
      <c r="AN103" s="212"/>
      <c r="AO103" s="212"/>
      <c r="AP103" s="212"/>
      <c r="AQ103" s="212"/>
    </row>
    <row r="104" spans="1:43" x14ac:dyDescent="0.25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  <c r="R104" s="213"/>
      <c r="S104" s="213"/>
      <c r="T104" s="213"/>
      <c r="U104" s="213"/>
      <c r="V104" s="213"/>
      <c r="W104" s="212"/>
      <c r="X104" s="212"/>
      <c r="Y104" s="212"/>
      <c r="Z104" s="212"/>
      <c r="AA104" s="212"/>
      <c r="AB104" s="212"/>
      <c r="AC104" s="212"/>
      <c r="AD104" s="212"/>
      <c r="AE104" s="212"/>
      <c r="AF104" s="212"/>
      <c r="AG104" s="212"/>
      <c r="AH104" s="212"/>
      <c r="AI104" s="212"/>
      <c r="AJ104" s="212"/>
      <c r="AK104" s="212"/>
      <c r="AL104" s="212"/>
      <c r="AM104" s="212"/>
      <c r="AN104" s="212"/>
      <c r="AO104" s="212"/>
      <c r="AP104" s="212"/>
      <c r="AQ104" s="212"/>
    </row>
    <row r="105" spans="1:43" x14ac:dyDescent="0.25">
      <c r="A105" s="214" t="s">
        <v>106</v>
      </c>
      <c r="B105" s="215" t="s">
        <v>107</v>
      </c>
      <c r="C105" s="216"/>
      <c r="D105" s="216"/>
      <c r="E105" s="217" t="s">
        <v>4</v>
      </c>
      <c r="F105" s="218"/>
      <c r="G105" s="219"/>
      <c r="H105" s="220" t="s">
        <v>5</v>
      </c>
      <c r="I105" s="220"/>
      <c r="J105" s="220"/>
      <c r="K105" s="220" t="s">
        <v>6</v>
      </c>
      <c r="L105" s="220"/>
      <c r="M105" s="220"/>
      <c r="N105" s="220" t="s">
        <v>7</v>
      </c>
      <c r="O105" s="220"/>
      <c r="P105" s="220"/>
      <c r="Q105" s="217" t="s">
        <v>8</v>
      </c>
      <c r="R105" s="218"/>
      <c r="S105" s="219"/>
      <c r="T105" s="220" t="s">
        <v>9</v>
      </c>
      <c r="U105" s="220"/>
      <c r="V105" s="220"/>
      <c r="W105" s="220" t="s">
        <v>10</v>
      </c>
      <c r="X105" s="220"/>
      <c r="Y105" s="220"/>
      <c r="Z105" s="217" t="s">
        <v>11</v>
      </c>
      <c r="AA105" s="218"/>
      <c r="AB105" s="219"/>
      <c r="AC105" s="217" t="s">
        <v>12</v>
      </c>
      <c r="AD105" s="218"/>
      <c r="AE105" s="219"/>
      <c r="AF105" s="220" t="s">
        <v>13</v>
      </c>
      <c r="AG105" s="220"/>
      <c r="AH105" s="220"/>
      <c r="AI105" s="220" t="s">
        <v>14</v>
      </c>
      <c r="AJ105" s="220"/>
      <c r="AK105" s="220"/>
      <c r="AL105" s="221"/>
      <c r="AM105" s="221"/>
      <c r="AN105" s="221"/>
      <c r="AO105" s="221"/>
      <c r="AP105" s="221"/>
      <c r="AQ105" s="221"/>
    </row>
    <row r="106" spans="1:43" x14ac:dyDescent="0.25">
      <c r="A106" s="222" t="s">
        <v>108</v>
      </c>
      <c r="B106" s="223">
        <v>0</v>
      </c>
      <c r="C106" s="224"/>
      <c r="D106" s="225"/>
      <c r="E106" s="223">
        <v>0</v>
      </c>
      <c r="F106" s="224"/>
      <c r="G106" s="225"/>
      <c r="H106" s="223">
        <v>0</v>
      </c>
      <c r="I106" s="224"/>
      <c r="J106" s="225"/>
      <c r="K106" s="223">
        <v>0</v>
      </c>
      <c r="L106" s="224"/>
      <c r="M106" s="225"/>
      <c r="N106" s="223">
        <v>0</v>
      </c>
      <c r="O106" s="224"/>
      <c r="P106" s="225"/>
      <c r="Q106" s="223">
        <v>0</v>
      </c>
      <c r="R106" s="224"/>
      <c r="S106" s="225"/>
      <c r="T106" s="223">
        <v>0</v>
      </c>
      <c r="U106" s="224"/>
      <c r="V106" s="225"/>
      <c r="W106" s="223">
        <v>0</v>
      </c>
      <c r="X106" s="224"/>
      <c r="Y106" s="225"/>
      <c r="Z106" s="223">
        <v>0</v>
      </c>
      <c r="AA106" s="224"/>
      <c r="AB106" s="225"/>
      <c r="AC106" s="223">
        <v>0</v>
      </c>
      <c r="AD106" s="224"/>
      <c r="AE106" s="225"/>
      <c r="AF106" s="226">
        <f>382539.56+1181.62</f>
        <v>383721.18</v>
      </c>
      <c r="AG106" s="227"/>
      <c r="AH106" s="228"/>
      <c r="AI106" s="229">
        <f>AF106-41159.32+1254.65-379.43-3.35</f>
        <v>343433.73000000004</v>
      </c>
      <c r="AJ106" s="229"/>
      <c r="AK106" s="229"/>
      <c r="AL106" s="221"/>
      <c r="AM106" s="221"/>
      <c r="AN106" s="221"/>
      <c r="AO106" s="221"/>
      <c r="AP106" s="221"/>
      <c r="AQ106" s="221"/>
    </row>
    <row r="107" spans="1:43" x14ac:dyDescent="0.25">
      <c r="A107" s="222" t="s">
        <v>109</v>
      </c>
      <c r="B107" s="223">
        <v>0</v>
      </c>
      <c r="C107" s="224"/>
      <c r="D107" s="225"/>
      <c r="E107" s="223">
        <v>0</v>
      </c>
      <c r="F107" s="224"/>
      <c r="G107" s="225"/>
      <c r="H107" s="223">
        <v>0</v>
      </c>
      <c r="I107" s="224"/>
      <c r="J107" s="225"/>
      <c r="K107" s="223">
        <v>0</v>
      </c>
      <c r="L107" s="224"/>
      <c r="M107" s="225"/>
      <c r="N107" s="223">
        <v>0</v>
      </c>
      <c r="O107" s="224"/>
      <c r="P107" s="225"/>
      <c r="Q107" s="223">
        <v>0</v>
      </c>
      <c r="R107" s="224"/>
      <c r="S107" s="225"/>
      <c r="T107" s="223">
        <v>0</v>
      </c>
      <c r="U107" s="224"/>
      <c r="V107" s="225"/>
      <c r="W107" s="223">
        <v>0</v>
      </c>
      <c r="X107" s="224"/>
      <c r="Y107" s="225"/>
      <c r="Z107" s="223">
        <v>0</v>
      </c>
      <c r="AA107" s="224"/>
      <c r="AB107" s="225"/>
      <c r="AC107" s="223">
        <v>0</v>
      </c>
      <c r="AD107" s="224"/>
      <c r="AE107" s="225"/>
      <c r="AF107" s="226">
        <f>670000+1919.17</f>
        <v>671919.17</v>
      </c>
      <c r="AG107" s="227"/>
      <c r="AH107" s="228"/>
      <c r="AI107" s="229">
        <f>AF107+2012.31-589.72</f>
        <v>673341.76000000013</v>
      </c>
      <c r="AJ107" s="229"/>
      <c r="AK107" s="229"/>
      <c r="AL107" s="221"/>
      <c r="AM107" s="221"/>
      <c r="AN107" s="221"/>
      <c r="AO107" s="221"/>
      <c r="AP107" s="221"/>
      <c r="AQ107" s="221"/>
    </row>
    <row r="108" spans="1:43" x14ac:dyDescent="0.25">
      <c r="A108" s="222" t="s">
        <v>110</v>
      </c>
      <c r="B108" s="230">
        <f>409607.94+316071.6</f>
        <v>725679.54</v>
      </c>
      <c r="C108" s="231"/>
      <c r="D108" s="232"/>
      <c r="E108" s="180">
        <f>B108+4900.28</f>
        <v>730579.82000000007</v>
      </c>
      <c r="F108" s="233"/>
      <c r="G108" s="181"/>
      <c r="H108" s="180">
        <f>E108+3107.13</f>
        <v>733686.95000000007</v>
      </c>
      <c r="I108" s="233"/>
      <c r="J108" s="181"/>
      <c r="K108" s="180">
        <f>H108+2965.82</f>
        <v>736652.77</v>
      </c>
      <c r="L108" s="233"/>
      <c r="M108" s="181"/>
      <c r="N108" s="180">
        <f>K108+3294.02</f>
        <v>739946.79</v>
      </c>
      <c r="O108" s="233"/>
      <c r="P108" s="181"/>
      <c r="Q108" s="180">
        <f>N108+3469.01</f>
        <v>743415.8</v>
      </c>
      <c r="R108" s="233"/>
      <c r="S108" s="181"/>
      <c r="T108" s="171">
        <f>Q108+3010.95</f>
        <v>746426.75</v>
      </c>
      <c r="U108" s="171"/>
      <c r="V108" s="171"/>
      <c r="W108" s="171">
        <f>T108+3663.54</f>
        <v>750090.29</v>
      </c>
      <c r="X108" s="171"/>
      <c r="Y108" s="171"/>
      <c r="Z108" s="168">
        <f>W108+159.75+252922.2</f>
        <v>1003172.24</v>
      </c>
      <c r="AA108" s="169"/>
      <c r="AB108" s="170"/>
      <c r="AC108" s="168">
        <f>Z108+3663.57</f>
        <v>1006835.8099999999</v>
      </c>
      <c r="AD108" s="169"/>
      <c r="AE108" s="170"/>
      <c r="AF108" s="171">
        <f>AC108+3592.28</f>
        <v>1010428.09</v>
      </c>
      <c r="AG108" s="171"/>
      <c r="AH108" s="171"/>
      <c r="AI108" s="229">
        <f>AF108+2853.03</f>
        <v>1013281.12</v>
      </c>
      <c r="AJ108" s="229"/>
      <c r="AK108" s="229"/>
      <c r="AL108" s="221"/>
      <c r="AM108" s="221"/>
      <c r="AN108" s="221"/>
      <c r="AO108" s="221"/>
      <c r="AP108" s="221"/>
      <c r="AQ108" s="221"/>
    </row>
    <row r="109" spans="1:43" x14ac:dyDescent="0.25">
      <c r="A109" s="222" t="s">
        <v>111</v>
      </c>
      <c r="B109" s="230">
        <f>445319.09</f>
        <v>445319.09</v>
      </c>
      <c r="C109" s="231"/>
      <c r="D109" s="232"/>
      <c r="E109" s="180">
        <f>B109+1850</f>
        <v>447169.09</v>
      </c>
      <c r="F109" s="233"/>
      <c r="G109" s="181"/>
      <c r="H109" s="180">
        <f>E109+1969.46</f>
        <v>449138.55000000005</v>
      </c>
      <c r="I109" s="233"/>
      <c r="J109" s="181"/>
      <c r="K109" s="180">
        <f>H109+1669.14</f>
        <v>450807.69000000006</v>
      </c>
      <c r="L109" s="233"/>
      <c r="M109" s="181"/>
      <c r="N109" s="180">
        <f>K109+108000+1910.88</f>
        <v>560718.57000000007</v>
      </c>
      <c r="O109" s="233"/>
      <c r="P109" s="181"/>
      <c r="Q109" s="180">
        <f>N109+2409.84-1722.91</f>
        <v>561405.5</v>
      </c>
      <c r="R109" s="233"/>
      <c r="S109" s="181"/>
      <c r="T109" s="182">
        <f>Q109+2081.1</f>
        <v>563486.6</v>
      </c>
      <c r="U109" s="182"/>
      <c r="V109" s="182"/>
      <c r="W109" s="182">
        <f>T109+109000+2568.23</f>
        <v>675054.83</v>
      </c>
      <c r="X109" s="182"/>
      <c r="Y109" s="182"/>
      <c r="Z109" s="180">
        <f>W109+2635.97</f>
        <v>677690.79999999993</v>
      </c>
      <c r="AA109" s="233"/>
      <c r="AB109" s="181"/>
      <c r="AC109" s="168">
        <f>Z109+2420.54</f>
        <v>680111.34</v>
      </c>
      <c r="AD109" s="234"/>
      <c r="AE109" s="235"/>
      <c r="AF109" s="171">
        <f>AC109-678417.53+712.74-2406.55</f>
        <v>-6.0936145018786192E-11</v>
      </c>
      <c r="AG109" s="236"/>
      <c r="AH109" s="236"/>
      <c r="AI109" s="229">
        <v>0</v>
      </c>
      <c r="AJ109" s="229"/>
      <c r="AK109" s="229"/>
      <c r="AL109" s="221"/>
      <c r="AM109" s="221"/>
      <c r="AN109" s="221"/>
      <c r="AO109" s="221"/>
      <c r="AP109" s="221"/>
      <c r="AQ109" s="221"/>
    </row>
    <row r="110" spans="1:43" x14ac:dyDescent="0.25">
      <c r="A110" s="222" t="s">
        <v>112</v>
      </c>
      <c r="B110" s="230">
        <f>466470.14</f>
        <v>466470.14</v>
      </c>
      <c r="C110" s="231"/>
      <c r="D110" s="231"/>
      <c r="E110" s="180">
        <f>B110+108000-15377.57+1982.04-34.96</f>
        <v>561039.65000000014</v>
      </c>
      <c r="F110" s="233"/>
      <c r="G110" s="181"/>
      <c r="H110" s="180">
        <f>E110+108000-207838.49+1704.98-538.5</f>
        <v>462367.64000000013</v>
      </c>
      <c r="I110" s="233"/>
      <c r="J110" s="181"/>
      <c r="K110" s="180">
        <f>H110+109000-39908.16+1564.72-111.74</f>
        <v>532912.46000000008</v>
      </c>
      <c r="L110" s="233"/>
      <c r="M110" s="181"/>
      <c r="N110" s="180">
        <f>K110-23021.14+2047.5-49.45</f>
        <v>511889.37000000005</v>
      </c>
      <c r="O110" s="233"/>
      <c r="P110" s="181"/>
      <c r="Q110" s="180">
        <f>N110+144000-27059.73+2137.41-1275.94</f>
        <v>629691.11000000022</v>
      </c>
      <c r="R110" s="233"/>
      <c r="S110" s="181"/>
      <c r="T110" s="171">
        <f>Q110+66700-1050.45+2286.18-2.03</f>
        <v>697624.81000000029</v>
      </c>
      <c r="U110" s="171"/>
      <c r="V110" s="171"/>
      <c r="W110" s="171">
        <f>T110-22178.58+2956.68-51.13</f>
        <v>678351.78000000038</v>
      </c>
      <c r="X110" s="171"/>
      <c r="Y110" s="171"/>
      <c r="Z110" s="168">
        <f>W110+7500+1659.5-272591.07-698.69</f>
        <v>414221.52000000037</v>
      </c>
      <c r="AA110" s="169"/>
      <c r="AB110" s="170"/>
      <c r="AC110" s="168">
        <f>Z110+17000+1323.76-40921.17-125.75</f>
        <v>391498.36000000039</v>
      </c>
      <c r="AD110" s="169"/>
      <c r="AE110" s="170"/>
      <c r="AF110" s="237">
        <f>AC110-390575.64+378.5-1290.02-11.2</f>
        <v>3.7953284959257871E-10</v>
      </c>
      <c r="AG110" s="237"/>
      <c r="AH110" s="237"/>
      <c r="AI110" s="229">
        <v>0</v>
      </c>
      <c r="AJ110" s="229"/>
      <c r="AK110" s="229"/>
      <c r="AL110" s="221"/>
      <c r="AM110" s="221"/>
      <c r="AN110" s="221"/>
      <c r="AO110" s="221"/>
      <c r="AP110" s="221"/>
      <c r="AQ110" s="221"/>
    </row>
    <row r="111" spans="1:43" x14ac:dyDescent="0.25">
      <c r="A111" s="238" t="s">
        <v>113</v>
      </c>
      <c r="B111" s="239">
        <f>SUM(B107:D110)</f>
        <v>1637468.77</v>
      </c>
      <c r="C111" s="240"/>
      <c r="D111" s="241"/>
      <c r="E111" s="239">
        <f>SUM(E107:G110)</f>
        <v>1738788.5600000003</v>
      </c>
      <c r="F111" s="240"/>
      <c r="G111" s="241"/>
      <c r="H111" s="239">
        <f>SUM(H107:J110)</f>
        <v>1645193.1400000001</v>
      </c>
      <c r="I111" s="240"/>
      <c r="J111" s="241"/>
      <c r="K111" s="239">
        <f>SUM(K107:M110)</f>
        <v>1720372.92</v>
      </c>
      <c r="L111" s="240"/>
      <c r="M111" s="241"/>
      <c r="N111" s="239">
        <f>SUM(N107:P110)</f>
        <v>1812554.7300000002</v>
      </c>
      <c r="O111" s="240"/>
      <c r="P111" s="241"/>
      <c r="Q111" s="239">
        <f>SUM(Q107:S110)</f>
        <v>1934512.4100000001</v>
      </c>
      <c r="R111" s="240"/>
      <c r="S111" s="241"/>
      <c r="T111" s="239">
        <f>SUM(T107:V110)</f>
        <v>2007538.1600000004</v>
      </c>
      <c r="U111" s="240"/>
      <c r="V111" s="241"/>
      <c r="W111" s="242">
        <f>SUM(W107:Y110)</f>
        <v>2103496.9000000004</v>
      </c>
      <c r="X111" s="242"/>
      <c r="Y111" s="242"/>
      <c r="Z111" s="239">
        <f>SUM(Z107:AB110)</f>
        <v>2095084.5600000005</v>
      </c>
      <c r="AA111" s="240"/>
      <c r="AB111" s="241"/>
      <c r="AC111" s="239">
        <f>SUM(AC107:AE110)</f>
        <v>2078445.5100000002</v>
      </c>
      <c r="AD111" s="240"/>
      <c r="AE111" s="241"/>
      <c r="AF111" s="243">
        <f>SUM(AF106:AH110)</f>
        <v>2066068.4400000004</v>
      </c>
      <c r="AG111" s="243"/>
      <c r="AH111" s="243"/>
      <c r="AI111" s="243">
        <f>SUM(AI106:AK110)</f>
        <v>2030056.6100000003</v>
      </c>
      <c r="AJ111" s="243"/>
      <c r="AK111" s="243"/>
      <c r="AL111" s="221"/>
      <c r="AM111" s="221"/>
      <c r="AN111" s="221"/>
      <c r="AO111" s="221"/>
      <c r="AP111" s="221"/>
      <c r="AQ111" s="221"/>
    </row>
    <row r="112" spans="1:43" x14ac:dyDescent="0.25">
      <c r="A112" s="244" t="s">
        <v>114</v>
      </c>
      <c r="B112" s="245"/>
      <c r="C112" s="245"/>
      <c r="D112" s="245"/>
      <c r="E112" s="245"/>
      <c r="F112" s="245"/>
      <c r="G112" s="245"/>
      <c r="H112" s="245"/>
      <c r="I112" s="245"/>
      <c r="J112" s="245"/>
      <c r="K112" s="245"/>
      <c r="L112" s="245"/>
      <c r="M112" s="245"/>
      <c r="N112" s="245"/>
      <c r="O112" s="245"/>
      <c r="P112" s="245"/>
      <c r="Q112" s="245"/>
      <c r="R112" s="245"/>
      <c r="S112" s="245"/>
      <c r="T112" s="245"/>
      <c r="U112" s="245"/>
      <c r="V112" s="245"/>
      <c r="W112" s="245"/>
      <c r="X112" s="245"/>
      <c r="Y112" s="245"/>
      <c r="Z112" s="246"/>
      <c r="AA112" s="245"/>
      <c r="AB112" s="245"/>
      <c r="AC112" s="245"/>
      <c r="AD112" s="245"/>
      <c r="AE112" s="245"/>
      <c r="AF112" s="247"/>
      <c r="AG112" s="247"/>
      <c r="AH112" s="245"/>
      <c r="AI112" s="245"/>
      <c r="AJ112" s="245"/>
      <c r="AK112" s="245"/>
      <c r="AL112" s="221"/>
      <c r="AM112" s="221"/>
      <c r="AN112" s="221"/>
      <c r="AO112" s="221"/>
      <c r="AP112" s="221"/>
      <c r="AQ112" s="221"/>
    </row>
    <row r="113" spans="1:43" x14ac:dyDescent="0.25">
      <c r="A113" s="248" t="s">
        <v>115</v>
      </c>
      <c r="B113" s="245"/>
      <c r="C113" s="245"/>
      <c r="D113" s="245"/>
      <c r="E113" s="245"/>
      <c r="F113" s="245"/>
      <c r="G113" s="245"/>
      <c r="H113" s="245"/>
      <c r="I113" s="245"/>
      <c r="J113" s="245"/>
      <c r="K113" s="245"/>
      <c r="L113" s="245"/>
      <c r="M113" s="245"/>
      <c r="N113" s="245"/>
      <c r="O113" s="245"/>
      <c r="P113" s="245"/>
      <c r="Q113" s="245"/>
      <c r="R113" s="245"/>
      <c r="S113" s="245"/>
      <c r="T113" s="245"/>
      <c r="U113" s="245"/>
      <c r="V113" s="245"/>
      <c r="W113" s="245"/>
      <c r="X113" s="245"/>
      <c r="Y113" s="245"/>
      <c r="Z113" s="246"/>
      <c r="AA113" s="245"/>
      <c r="AB113" s="245"/>
      <c r="AC113" s="245"/>
      <c r="AD113" s="245"/>
      <c r="AE113" s="245"/>
      <c r="AF113" s="245"/>
      <c r="AG113" s="245"/>
      <c r="AH113" s="245"/>
      <c r="AI113" s="245"/>
      <c r="AJ113" s="245"/>
      <c r="AK113" s="245"/>
      <c r="AL113" s="221"/>
      <c r="AM113" s="221"/>
      <c r="AN113" s="221"/>
      <c r="AO113" s="221"/>
      <c r="AP113" s="221"/>
      <c r="AQ113" s="221"/>
    </row>
    <row r="114" spans="1:43" x14ac:dyDescent="0.25">
      <c r="A114" s="248" t="s">
        <v>116</v>
      </c>
      <c r="B114" s="245"/>
      <c r="C114" s="245"/>
      <c r="D114" s="245"/>
      <c r="E114" s="245"/>
      <c r="F114" s="245"/>
      <c r="G114" s="245"/>
      <c r="H114" s="245"/>
      <c r="I114" s="245"/>
      <c r="J114" s="245"/>
      <c r="K114" s="245"/>
      <c r="L114" s="245"/>
      <c r="M114" s="245"/>
      <c r="N114" s="245"/>
      <c r="O114" s="245"/>
      <c r="P114" s="245"/>
      <c r="Q114" s="245"/>
      <c r="R114" s="245"/>
      <c r="S114" s="245"/>
      <c r="T114" s="245"/>
      <c r="U114" s="245"/>
      <c r="V114" s="245"/>
      <c r="W114" s="245"/>
      <c r="X114" s="245"/>
      <c r="Y114" s="245"/>
      <c r="Z114" s="246"/>
      <c r="AA114" s="245"/>
      <c r="AB114" s="245"/>
      <c r="AC114" s="245"/>
      <c r="AD114" s="245"/>
      <c r="AE114" s="245"/>
      <c r="AF114" s="245"/>
      <c r="AG114" s="245"/>
      <c r="AH114" s="245"/>
      <c r="AI114" s="245"/>
      <c r="AJ114" s="245"/>
      <c r="AK114" s="245"/>
      <c r="AL114" s="221"/>
      <c r="AM114" s="221"/>
      <c r="AN114" s="221"/>
      <c r="AO114" s="221"/>
      <c r="AP114" s="221"/>
      <c r="AQ114" s="221"/>
    </row>
    <row r="115" spans="1:43" x14ac:dyDescent="0.25">
      <c r="A115" s="249" t="s">
        <v>117</v>
      </c>
      <c r="B115" s="249"/>
      <c r="C115" s="249"/>
      <c r="D115" s="249"/>
      <c r="E115" s="249"/>
      <c r="F115" s="249"/>
      <c r="G115" s="249"/>
      <c r="H115" s="249"/>
      <c r="I115" s="249"/>
      <c r="J115" s="249"/>
      <c r="K115" s="249"/>
      <c r="L115" s="249"/>
      <c r="M115" s="249"/>
      <c r="N115" s="249"/>
      <c r="O115" s="249"/>
      <c r="P115" s="249"/>
      <c r="Q115" s="249"/>
      <c r="R115" s="249"/>
      <c r="S115" s="249"/>
      <c r="T115" s="249"/>
      <c r="U115" s="249"/>
      <c r="V115" s="249"/>
      <c r="W115" s="249"/>
      <c r="X115" s="249"/>
      <c r="Y115" s="249"/>
      <c r="Z115" s="249"/>
      <c r="AA115" s="249"/>
      <c r="AB115" s="249"/>
      <c r="AC115" s="249"/>
      <c r="AD115" s="249"/>
      <c r="AE115" s="249"/>
      <c r="AF115" s="249"/>
      <c r="AG115" s="249"/>
      <c r="AH115" s="249"/>
      <c r="AI115" s="249"/>
      <c r="AJ115" s="249"/>
      <c r="AK115" s="249"/>
      <c r="AL115" s="249"/>
      <c r="AM115" s="249"/>
      <c r="AN115" s="249"/>
      <c r="AO115" s="249"/>
      <c r="AP115" s="249"/>
      <c r="AQ115" s="249"/>
    </row>
  </sheetData>
  <sheetProtection sheet="1" objects="1" scenarios="1"/>
  <mergeCells count="1210">
    <mergeCell ref="A115:AQ115"/>
    <mergeCell ref="T111:V111"/>
    <mergeCell ref="W111:Y111"/>
    <mergeCell ref="Z111:AB111"/>
    <mergeCell ref="AC111:AE111"/>
    <mergeCell ref="AF111:AH111"/>
    <mergeCell ref="AI111:AK111"/>
    <mergeCell ref="B111:D111"/>
    <mergeCell ref="E111:G111"/>
    <mergeCell ref="H111:J111"/>
    <mergeCell ref="K111:M111"/>
    <mergeCell ref="N111:P111"/>
    <mergeCell ref="Q111:S111"/>
    <mergeCell ref="T110:V110"/>
    <mergeCell ref="W110:Y110"/>
    <mergeCell ref="Z110:AB110"/>
    <mergeCell ref="AC110:AE110"/>
    <mergeCell ref="AF110:AH110"/>
    <mergeCell ref="AI110:AK110"/>
    <mergeCell ref="B110:D110"/>
    <mergeCell ref="E110:G110"/>
    <mergeCell ref="H110:J110"/>
    <mergeCell ref="K110:M110"/>
    <mergeCell ref="N110:P110"/>
    <mergeCell ref="Q110:S110"/>
    <mergeCell ref="T109:V109"/>
    <mergeCell ref="W109:Y109"/>
    <mergeCell ref="Z109:AB109"/>
    <mergeCell ref="AC109:AE109"/>
    <mergeCell ref="AF109:AH109"/>
    <mergeCell ref="AI109:AK109"/>
    <mergeCell ref="B109:D109"/>
    <mergeCell ref="E109:G109"/>
    <mergeCell ref="H109:J109"/>
    <mergeCell ref="K109:M109"/>
    <mergeCell ref="N109:P109"/>
    <mergeCell ref="Q109:S109"/>
    <mergeCell ref="T108:V108"/>
    <mergeCell ref="W108:Y108"/>
    <mergeCell ref="Z108:AB108"/>
    <mergeCell ref="AC108:AE108"/>
    <mergeCell ref="AF108:AH108"/>
    <mergeCell ref="AI108:AK108"/>
    <mergeCell ref="B108:D108"/>
    <mergeCell ref="E108:G108"/>
    <mergeCell ref="H108:J108"/>
    <mergeCell ref="K108:M108"/>
    <mergeCell ref="N108:P108"/>
    <mergeCell ref="Q108:S108"/>
    <mergeCell ref="T107:V107"/>
    <mergeCell ref="W107:Y107"/>
    <mergeCell ref="Z107:AB107"/>
    <mergeCell ref="AC107:AE107"/>
    <mergeCell ref="AF107:AH107"/>
    <mergeCell ref="AI107:AK107"/>
    <mergeCell ref="B107:D107"/>
    <mergeCell ref="E107:G107"/>
    <mergeCell ref="H107:J107"/>
    <mergeCell ref="K107:M107"/>
    <mergeCell ref="N107:P107"/>
    <mergeCell ref="Q107:S107"/>
    <mergeCell ref="T106:V106"/>
    <mergeCell ref="W106:Y106"/>
    <mergeCell ref="Z106:AB106"/>
    <mergeCell ref="AC106:AE106"/>
    <mergeCell ref="AF106:AH106"/>
    <mergeCell ref="AI106:AK106"/>
    <mergeCell ref="AC105:AE105"/>
    <mergeCell ref="AF105:AH105"/>
    <mergeCell ref="AI105:AK105"/>
    <mergeCell ref="AL105:AQ114"/>
    <mergeCell ref="B106:D106"/>
    <mergeCell ref="E106:G106"/>
    <mergeCell ref="H106:J106"/>
    <mergeCell ref="K106:M106"/>
    <mergeCell ref="N106:P106"/>
    <mergeCell ref="Q106:S106"/>
    <mergeCell ref="A103:AQ104"/>
    <mergeCell ref="B105:D105"/>
    <mergeCell ref="E105:G105"/>
    <mergeCell ref="H105:J105"/>
    <mergeCell ref="K105:M105"/>
    <mergeCell ref="N105:P105"/>
    <mergeCell ref="Q105:S105"/>
    <mergeCell ref="T105:V105"/>
    <mergeCell ref="W105:Y105"/>
    <mergeCell ref="Z105:AB105"/>
    <mergeCell ref="AC101:AE101"/>
    <mergeCell ref="AF101:AH101"/>
    <mergeCell ref="AI101:AK101"/>
    <mergeCell ref="AL101:AN101"/>
    <mergeCell ref="AO101:AQ101"/>
    <mergeCell ref="B102:D102"/>
    <mergeCell ref="AO102:AQ102"/>
    <mergeCell ref="AP100:AQ100"/>
    <mergeCell ref="B101:D101"/>
    <mergeCell ref="E101:G101"/>
    <mergeCell ref="H101:J101"/>
    <mergeCell ref="K101:M101"/>
    <mergeCell ref="N101:P101"/>
    <mergeCell ref="Q101:S101"/>
    <mergeCell ref="T101:V101"/>
    <mergeCell ref="W101:Y101"/>
    <mergeCell ref="Z101:AB101"/>
    <mergeCell ref="W100:Y100"/>
    <mergeCell ref="Z100:AB100"/>
    <mergeCell ref="AC100:AE100"/>
    <mergeCell ref="AF100:AH100"/>
    <mergeCell ref="AI100:AK100"/>
    <mergeCell ref="AL100:AN100"/>
    <mergeCell ref="AI99:AK99"/>
    <mergeCell ref="AL99:AN99"/>
    <mergeCell ref="AP99:AQ99"/>
    <mergeCell ref="B100:D100"/>
    <mergeCell ref="E100:G100"/>
    <mergeCell ref="H100:J100"/>
    <mergeCell ref="K100:M100"/>
    <mergeCell ref="N100:P100"/>
    <mergeCell ref="Q100:S100"/>
    <mergeCell ref="T100:V100"/>
    <mergeCell ref="Q99:S99"/>
    <mergeCell ref="T99:V99"/>
    <mergeCell ref="W99:Y99"/>
    <mergeCell ref="Z99:AB99"/>
    <mergeCell ref="AC99:AE99"/>
    <mergeCell ref="AF99:AH99"/>
    <mergeCell ref="AC98:AE98"/>
    <mergeCell ref="AF98:AH98"/>
    <mergeCell ref="AI98:AK98"/>
    <mergeCell ref="AL98:AN98"/>
    <mergeCell ref="AP98:AQ98"/>
    <mergeCell ref="B99:D99"/>
    <mergeCell ref="E99:G99"/>
    <mergeCell ref="H99:J99"/>
    <mergeCell ref="K99:M99"/>
    <mergeCell ref="N99:P99"/>
    <mergeCell ref="AP97:AQ97"/>
    <mergeCell ref="B98:D98"/>
    <mergeCell ref="E98:G98"/>
    <mergeCell ref="H98:J98"/>
    <mergeCell ref="K98:M98"/>
    <mergeCell ref="N98:P98"/>
    <mergeCell ref="Q98:S98"/>
    <mergeCell ref="T98:V98"/>
    <mergeCell ref="W98:Y98"/>
    <mergeCell ref="Z98:AB98"/>
    <mergeCell ref="W97:Y97"/>
    <mergeCell ref="Z97:AB97"/>
    <mergeCell ref="AC97:AE97"/>
    <mergeCell ref="AF97:AH97"/>
    <mergeCell ref="AI97:AK97"/>
    <mergeCell ref="AL97:AN97"/>
    <mergeCell ref="AI96:AK96"/>
    <mergeCell ref="AL96:AN96"/>
    <mergeCell ref="AP96:AQ96"/>
    <mergeCell ref="B97:D97"/>
    <mergeCell ref="E97:G97"/>
    <mergeCell ref="H97:J97"/>
    <mergeCell ref="K97:M97"/>
    <mergeCell ref="N97:P97"/>
    <mergeCell ref="Q97:S97"/>
    <mergeCell ref="T97:V97"/>
    <mergeCell ref="Q96:S96"/>
    <mergeCell ref="T96:V96"/>
    <mergeCell ref="W96:Y96"/>
    <mergeCell ref="Z96:AB96"/>
    <mergeCell ref="AC96:AE96"/>
    <mergeCell ref="AF96:AH96"/>
    <mergeCell ref="AC95:AE95"/>
    <mergeCell ref="AF95:AH95"/>
    <mergeCell ref="AI95:AK95"/>
    <mergeCell ref="AL95:AN95"/>
    <mergeCell ref="AP95:AQ95"/>
    <mergeCell ref="B96:D96"/>
    <mergeCell ref="E96:G96"/>
    <mergeCell ref="H96:J96"/>
    <mergeCell ref="K96:M96"/>
    <mergeCell ref="N96:P96"/>
    <mergeCell ref="AP94:AQ94"/>
    <mergeCell ref="B95:D95"/>
    <mergeCell ref="E95:G95"/>
    <mergeCell ref="H95:J95"/>
    <mergeCell ref="K95:M95"/>
    <mergeCell ref="N95:P95"/>
    <mergeCell ref="Q95:S95"/>
    <mergeCell ref="T95:V95"/>
    <mergeCell ref="W95:Y95"/>
    <mergeCell ref="Z95:AB95"/>
    <mergeCell ref="W94:Y94"/>
    <mergeCell ref="Z94:AB94"/>
    <mergeCell ref="AC94:AE94"/>
    <mergeCell ref="AF94:AH94"/>
    <mergeCell ref="AI94:AK94"/>
    <mergeCell ref="AL94:AN94"/>
    <mergeCell ref="AI93:AK93"/>
    <mergeCell ref="AL93:AN93"/>
    <mergeCell ref="AP93:AQ93"/>
    <mergeCell ref="B94:D94"/>
    <mergeCell ref="E94:G94"/>
    <mergeCell ref="H94:J94"/>
    <mergeCell ref="K94:M94"/>
    <mergeCell ref="N94:P94"/>
    <mergeCell ref="Q94:S94"/>
    <mergeCell ref="T94:V94"/>
    <mergeCell ref="Q93:S93"/>
    <mergeCell ref="T93:V93"/>
    <mergeCell ref="W93:Y93"/>
    <mergeCell ref="Z93:AB93"/>
    <mergeCell ref="AC93:AE93"/>
    <mergeCell ref="AF93:AH93"/>
    <mergeCell ref="AC92:AE92"/>
    <mergeCell ref="AF92:AH92"/>
    <mergeCell ref="AI92:AK92"/>
    <mergeCell ref="AL92:AN92"/>
    <mergeCell ref="AP92:AQ92"/>
    <mergeCell ref="B93:D93"/>
    <mergeCell ref="E93:G93"/>
    <mergeCell ref="H93:J93"/>
    <mergeCell ref="K93:M93"/>
    <mergeCell ref="N93:P93"/>
    <mergeCell ref="AP91:AQ91"/>
    <mergeCell ref="B92:D92"/>
    <mergeCell ref="E92:G92"/>
    <mergeCell ref="H92:J92"/>
    <mergeCell ref="K92:M92"/>
    <mergeCell ref="N92:P92"/>
    <mergeCell ref="Q92:S92"/>
    <mergeCell ref="T92:V92"/>
    <mergeCell ref="W92:Y92"/>
    <mergeCell ref="Z92:AB92"/>
    <mergeCell ref="W91:Y91"/>
    <mergeCell ref="Z91:AB91"/>
    <mergeCell ref="AC91:AE91"/>
    <mergeCell ref="AF91:AH91"/>
    <mergeCell ref="AI91:AK91"/>
    <mergeCell ref="AL91:AN91"/>
    <mergeCell ref="AI90:AK90"/>
    <mergeCell ref="AL90:AN90"/>
    <mergeCell ref="AP90:AQ90"/>
    <mergeCell ref="B91:D91"/>
    <mergeCell ref="E91:G91"/>
    <mergeCell ref="H91:J91"/>
    <mergeCell ref="K91:M91"/>
    <mergeCell ref="N91:P91"/>
    <mergeCell ref="Q91:S91"/>
    <mergeCell ref="T91:V91"/>
    <mergeCell ref="Q90:S90"/>
    <mergeCell ref="T90:V90"/>
    <mergeCell ref="W90:Y90"/>
    <mergeCell ref="Z90:AB90"/>
    <mergeCell ref="AC90:AE90"/>
    <mergeCell ref="AF90:AH90"/>
    <mergeCell ref="AC89:AE89"/>
    <mergeCell ref="AF89:AH89"/>
    <mergeCell ref="AI89:AK89"/>
    <mergeCell ref="AL89:AN89"/>
    <mergeCell ref="AP89:AQ89"/>
    <mergeCell ref="B90:D90"/>
    <mergeCell ref="E90:G90"/>
    <mergeCell ref="H90:J90"/>
    <mergeCell ref="K90:M90"/>
    <mergeCell ref="N90:P90"/>
    <mergeCell ref="AP88:AQ88"/>
    <mergeCell ref="B89:D89"/>
    <mergeCell ref="E89:G89"/>
    <mergeCell ref="H89:J89"/>
    <mergeCell ref="K89:M89"/>
    <mergeCell ref="N89:P89"/>
    <mergeCell ref="Q89:S89"/>
    <mergeCell ref="T89:V89"/>
    <mergeCell ref="W89:Y89"/>
    <mergeCell ref="Z89:AB89"/>
    <mergeCell ref="W88:Y88"/>
    <mergeCell ref="Z88:AB88"/>
    <mergeCell ref="AC88:AE88"/>
    <mergeCell ref="AF88:AH88"/>
    <mergeCell ref="AI88:AK88"/>
    <mergeCell ref="AL88:AN88"/>
    <mergeCell ref="AI87:AK87"/>
    <mergeCell ref="AL87:AN87"/>
    <mergeCell ref="AP87:AQ87"/>
    <mergeCell ref="B88:D88"/>
    <mergeCell ref="E88:G88"/>
    <mergeCell ref="H88:J88"/>
    <mergeCell ref="K88:M88"/>
    <mergeCell ref="N88:P88"/>
    <mergeCell ref="Q88:S88"/>
    <mergeCell ref="T88:V88"/>
    <mergeCell ref="Q87:S87"/>
    <mergeCell ref="T87:V87"/>
    <mergeCell ref="W87:Y87"/>
    <mergeCell ref="Z87:AB87"/>
    <mergeCell ref="AC87:AE87"/>
    <mergeCell ref="AF87:AH87"/>
    <mergeCell ref="AC86:AE86"/>
    <mergeCell ref="AF86:AH86"/>
    <mergeCell ref="AI86:AK86"/>
    <mergeCell ref="AL86:AN86"/>
    <mergeCell ref="AP86:AQ86"/>
    <mergeCell ref="B87:D87"/>
    <mergeCell ref="E87:G87"/>
    <mergeCell ref="H87:J87"/>
    <mergeCell ref="K87:M87"/>
    <mergeCell ref="N87:P87"/>
    <mergeCell ref="AP85:AQ85"/>
    <mergeCell ref="B86:D86"/>
    <mergeCell ref="E86:G86"/>
    <mergeCell ref="H86:J86"/>
    <mergeCell ref="K86:M86"/>
    <mergeCell ref="N86:P86"/>
    <mergeCell ref="Q86:S86"/>
    <mergeCell ref="T86:V86"/>
    <mergeCell ref="W86:Y86"/>
    <mergeCell ref="Z86:AB86"/>
    <mergeCell ref="W85:Y85"/>
    <mergeCell ref="Z85:AB85"/>
    <mergeCell ref="AC85:AE85"/>
    <mergeCell ref="AF85:AH85"/>
    <mergeCell ref="AI85:AK85"/>
    <mergeCell ref="AL85:AN85"/>
    <mergeCell ref="AI84:AK84"/>
    <mergeCell ref="AL84:AN84"/>
    <mergeCell ref="AP84:AQ84"/>
    <mergeCell ref="B85:D85"/>
    <mergeCell ref="E85:G85"/>
    <mergeCell ref="H85:J85"/>
    <mergeCell ref="K85:M85"/>
    <mergeCell ref="N85:P85"/>
    <mergeCell ref="Q85:S85"/>
    <mergeCell ref="T85:V85"/>
    <mergeCell ref="Q84:S84"/>
    <mergeCell ref="T84:V84"/>
    <mergeCell ref="W84:Y84"/>
    <mergeCell ref="Z84:AB84"/>
    <mergeCell ref="AC84:AE84"/>
    <mergeCell ref="AF84:AH84"/>
    <mergeCell ref="AC83:AE83"/>
    <mergeCell ref="AF83:AH83"/>
    <mergeCell ref="AI83:AK83"/>
    <mergeCell ref="AL83:AN83"/>
    <mergeCell ref="AP83:AQ83"/>
    <mergeCell ref="B84:D84"/>
    <mergeCell ref="E84:G84"/>
    <mergeCell ref="H84:J84"/>
    <mergeCell ref="K84:M84"/>
    <mergeCell ref="N84:P84"/>
    <mergeCell ref="AP82:AQ82"/>
    <mergeCell ref="B83:D83"/>
    <mergeCell ref="E83:G83"/>
    <mergeCell ref="H83:J83"/>
    <mergeCell ref="K83:M83"/>
    <mergeCell ref="N83:P83"/>
    <mergeCell ref="Q83:S83"/>
    <mergeCell ref="T83:V83"/>
    <mergeCell ref="W83:Y83"/>
    <mergeCell ref="Z83:AB83"/>
    <mergeCell ref="W82:Y82"/>
    <mergeCell ref="Z82:AB82"/>
    <mergeCell ref="AC82:AE82"/>
    <mergeCell ref="AF82:AH82"/>
    <mergeCell ref="AI82:AK82"/>
    <mergeCell ref="AL82:AN82"/>
    <mergeCell ref="AI81:AK81"/>
    <mergeCell ref="AL81:AN81"/>
    <mergeCell ref="AP81:AQ81"/>
    <mergeCell ref="B82:D82"/>
    <mergeCell ref="E82:G82"/>
    <mergeCell ref="H82:J82"/>
    <mergeCell ref="K82:M82"/>
    <mergeCell ref="N82:P82"/>
    <mergeCell ref="Q82:S82"/>
    <mergeCell ref="T82:V82"/>
    <mergeCell ref="Q81:S81"/>
    <mergeCell ref="T81:V81"/>
    <mergeCell ref="W81:Y81"/>
    <mergeCell ref="Z81:AB81"/>
    <mergeCell ref="AC81:AE81"/>
    <mergeCell ref="AF81:AH81"/>
    <mergeCell ref="AC80:AE80"/>
    <mergeCell ref="AF80:AH80"/>
    <mergeCell ref="AI80:AK80"/>
    <mergeCell ref="AL80:AN80"/>
    <mergeCell ref="AP80:AQ80"/>
    <mergeCell ref="B81:D81"/>
    <mergeCell ref="E81:G81"/>
    <mergeCell ref="H81:J81"/>
    <mergeCell ref="K81:M81"/>
    <mergeCell ref="N81:P81"/>
    <mergeCell ref="AP79:AQ79"/>
    <mergeCell ref="B80:D80"/>
    <mergeCell ref="E80:G80"/>
    <mergeCell ref="H80:J80"/>
    <mergeCell ref="K80:M80"/>
    <mergeCell ref="N80:P80"/>
    <mergeCell ref="Q80:S80"/>
    <mergeCell ref="T80:V80"/>
    <mergeCell ref="W80:Y80"/>
    <mergeCell ref="Z80:AB80"/>
    <mergeCell ref="W79:Y79"/>
    <mergeCell ref="Z79:AB79"/>
    <mergeCell ref="AC79:AE79"/>
    <mergeCell ref="AF79:AH79"/>
    <mergeCell ref="AI79:AK79"/>
    <mergeCell ref="AL79:AN79"/>
    <mergeCell ref="AI78:AK78"/>
    <mergeCell ref="AL78:AN78"/>
    <mergeCell ref="AP78:AQ78"/>
    <mergeCell ref="B79:D79"/>
    <mergeCell ref="E79:G79"/>
    <mergeCell ref="H79:J79"/>
    <mergeCell ref="K79:M79"/>
    <mergeCell ref="N79:P79"/>
    <mergeCell ref="Q79:S79"/>
    <mergeCell ref="T79:V79"/>
    <mergeCell ref="Q78:S78"/>
    <mergeCell ref="T78:V78"/>
    <mergeCell ref="W78:Y78"/>
    <mergeCell ref="Z78:AB78"/>
    <mergeCell ref="AC78:AE78"/>
    <mergeCell ref="AF78:AH78"/>
    <mergeCell ref="AC77:AE77"/>
    <mergeCell ref="AF77:AH77"/>
    <mergeCell ref="AI77:AK77"/>
    <mergeCell ref="AL77:AN77"/>
    <mergeCell ref="AP77:AQ77"/>
    <mergeCell ref="B78:D78"/>
    <mergeCell ref="E78:G78"/>
    <mergeCell ref="H78:J78"/>
    <mergeCell ref="K78:M78"/>
    <mergeCell ref="N78:P78"/>
    <mergeCell ref="AP76:AQ76"/>
    <mergeCell ref="B77:D77"/>
    <mergeCell ref="E77:G77"/>
    <mergeCell ref="H77:J77"/>
    <mergeCell ref="K77:M77"/>
    <mergeCell ref="N77:P77"/>
    <mergeCell ref="Q77:S77"/>
    <mergeCell ref="T77:V77"/>
    <mergeCell ref="W77:Y77"/>
    <mergeCell ref="Z77:AB77"/>
    <mergeCell ref="W76:Y76"/>
    <mergeCell ref="Z76:AB76"/>
    <mergeCell ref="AC76:AE76"/>
    <mergeCell ref="AF76:AH76"/>
    <mergeCell ref="AI76:AK76"/>
    <mergeCell ref="AL76:AN76"/>
    <mergeCell ref="AI75:AK75"/>
    <mergeCell ref="AL75:AN75"/>
    <mergeCell ref="AP75:AQ75"/>
    <mergeCell ref="B76:D76"/>
    <mergeCell ref="E76:G76"/>
    <mergeCell ref="H76:J76"/>
    <mergeCell ref="K76:M76"/>
    <mergeCell ref="N76:P76"/>
    <mergeCell ref="Q76:S76"/>
    <mergeCell ref="T76:V76"/>
    <mergeCell ref="Q75:S75"/>
    <mergeCell ref="T75:V75"/>
    <mergeCell ref="W75:Y75"/>
    <mergeCell ref="Z75:AB75"/>
    <mergeCell ref="AC75:AE75"/>
    <mergeCell ref="AF75:AH75"/>
    <mergeCell ref="AC74:AE74"/>
    <mergeCell ref="AF74:AH74"/>
    <mergeCell ref="AI74:AK74"/>
    <mergeCell ref="AL74:AN74"/>
    <mergeCell ref="AP74:AQ74"/>
    <mergeCell ref="B75:D75"/>
    <mergeCell ref="E75:G75"/>
    <mergeCell ref="H75:J75"/>
    <mergeCell ref="K75:M75"/>
    <mergeCell ref="N75:P75"/>
    <mergeCell ref="AP73:AQ73"/>
    <mergeCell ref="B74:D74"/>
    <mergeCell ref="E74:G74"/>
    <mergeCell ref="H74:J74"/>
    <mergeCell ref="K74:M74"/>
    <mergeCell ref="N74:P74"/>
    <mergeCell ref="Q74:S74"/>
    <mergeCell ref="T74:V74"/>
    <mergeCell ref="W74:Y74"/>
    <mergeCell ref="Z74:AB74"/>
    <mergeCell ref="W73:Y73"/>
    <mergeCell ref="Z73:AB73"/>
    <mergeCell ref="AC73:AE73"/>
    <mergeCell ref="AF73:AH73"/>
    <mergeCell ref="AI73:AK73"/>
    <mergeCell ref="AL73:AN73"/>
    <mergeCell ref="AI72:AK72"/>
    <mergeCell ref="AL72:AN72"/>
    <mergeCell ref="AP72:AQ72"/>
    <mergeCell ref="B73:D73"/>
    <mergeCell ref="E73:G73"/>
    <mergeCell ref="H73:J73"/>
    <mergeCell ref="K73:M73"/>
    <mergeCell ref="N73:P73"/>
    <mergeCell ref="Q73:S73"/>
    <mergeCell ref="T73:V73"/>
    <mergeCell ref="Q72:S72"/>
    <mergeCell ref="T72:V72"/>
    <mergeCell ref="W72:Y72"/>
    <mergeCell ref="Z72:AB72"/>
    <mergeCell ref="AC72:AE72"/>
    <mergeCell ref="AF72:AH72"/>
    <mergeCell ref="AC71:AE71"/>
    <mergeCell ref="AF71:AH71"/>
    <mergeCell ref="AI71:AK71"/>
    <mergeCell ref="AL71:AN71"/>
    <mergeCell ref="AP71:AQ71"/>
    <mergeCell ref="B72:D72"/>
    <mergeCell ref="E72:G72"/>
    <mergeCell ref="H72:J72"/>
    <mergeCell ref="K72:M72"/>
    <mergeCell ref="N72:P72"/>
    <mergeCell ref="AP70:AQ70"/>
    <mergeCell ref="B71:D71"/>
    <mergeCell ref="E71:G71"/>
    <mergeCell ref="H71:J71"/>
    <mergeCell ref="K71:M71"/>
    <mergeCell ref="N71:P71"/>
    <mergeCell ref="Q71:S71"/>
    <mergeCell ref="T71:V71"/>
    <mergeCell ref="W71:Y71"/>
    <mergeCell ref="Z71:AB71"/>
    <mergeCell ref="W70:Y70"/>
    <mergeCell ref="Z70:AB70"/>
    <mergeCell ref="AC70:AE70"/>
    <mergeCell ref="AF70:AH70"/>
    <mergeCell ref="AI70:AK70"/>
    <mergeCell ref="AL70:AN70"/>
    <mergeCell ref="AI69:AK69"/>
    <mergeCell ref="AL69:AN69"/>
    <mergeCell ref="AP69:AQ69"/>
    <mergeCell ref="B70:D70"/>
    <mergeCell ref="E70:G70"/>
    <mergeCell ref="H70:J70"/>
    <mergeCell ref="K70:M70"/>
    <mergeCell ref="N70:P70"/>
    <mergeCell ref="Q70:S70"/>
    <mergeCell ref="T70:V70"/>
    <mergeCell ref="Q69:S69"/>
    <mergeCell ref="T69:V69"/>
    <mergeCell ref="W69:Y69"/>
    <mergeCell ref="Z69:AB69"/>
    <mergeCell ref="AC69:AE69"/>
    <mergeCell ref="AF69:AH69"/>
    <mergeCell ref="AC68:AE68"/>
    <mergeCell ref="AF68:AH68"/>
    <mergeCell ref="AI68:AK68"/>
    <mergeCell ref="AL68:AN68"/>
    <mergeCell ref="AP68:AQ68"/>
    <mergeCell ref="B69:D69"/>
    <mergeCell ref="E69:G69"/>
    <mergeCell ref="H69:J69"/>
    <mergeCell ref="K69:M69"/>
    <mergeCell ref="N69:P69"/>
    <mergeCell ref="AP67:AQ67"/>
    <mergeCell ref="B68:D68"/>
    <mergeCell ref="E68:G68"/>
    <mergeCell ref="H68:J68"/>
    <mergeCell ref="K68:M68"/>
    <mergeCell ref="N68:P68"/>
    <mergeCell ref="Q68:S68"/>
    <mergeCell ref="T68:V68"/>
    <mergeCell ref="W68:Y68"/>
    <mergeCell ref="Z68:AB68"/>
    <mergeCell ref="W67:Y67"/>
    <mergeCell ref="Z67:AB67"/>
    <mergeCell ref="AC67:AE67"/>
    <mergeCell ref="AF67:AH67"/>
    <mergeCell ref="AI67:AK67"/>
    <mergeCell ref="AL67:AN67"/>
    <mergeCell ref="AI66:AK66"/>
    <mergeCell ref="AL66:AN66"/>
    <mergeCell ref="AP66:AQ66"/>
    <mergeCell ref="B67:D67"/>
    <mergeCell ref="E67:G67"/>
    <mergeCell ref="H67:J67"/>
    <mergeCell ref="K67:M67"/>
    <mergeCell ref="N67:P67"/>
    <mergeCell ref="Q67:S67"/>
    <mergeCell ref="T67:V67"/>
    <mergeCell ref="Q66:S66"/>
    <mergeCell ref="T66:V66"/>
    <mergeCell ref="W66:Y66"/>
    <mergeCell ref="Z66:AB66"/>
    <mergeCell ref="AC66:AE66"/>
    <mergeCell ref="AF66:AH66"/>
    <mergeCell ref="AC65:AE65"/>
    <mergeCell ref="AF65:AH65"/>
    <mergeCell ref="AI65:AK65"/>
    <mergeCell ref="AL65:AN65"/>
    <mergeCell ref="AP65:AQ65"/>
    <mergeCell ref="B66:D66"/>
    <mergeCell ref="E66:G66"/>
    <mergeCell ref="H66:J66"/>
    <mergeCell ref="K66:M66"/>
    <mergeCell ref="N66:P66"/>
    <mergeCell ref="AP64:AQ64"/>
    <mergeCell ref="B65:D65"/>
    <mergeCell ref="E65:G65"/>
    <mergeCell ref="H65:J65"/>
    <mergeCell ref="K65:M65"/>
    <mergeCell ref="N65:P65"/>
    <mergeCell ref="Q65:S65"/>
    <mergeCell ref="T65:V65"/>
    <mergeCell ref="W65:Y65"/>
    <mergeCell ref="Z65:AB65"/>
    <mergeCell ref="W64:Y64"/>
    <mergeCell ref="Z64:AB64"/>
    <mergeCell ref="AC64:AE64"/>
    <mergeCell ref="AF64:AH64"/>
    <mergeCell ref="AI64:AK64"/>
    <mergeCell ref="AL64:AN64"/>
    <mergeCell ref="AI63:AK63"/>
    <mergeCell ref="AL63:AN63"/>
    <mergeCell ref="AP63:AQ63"/>
    <mergeCell ref="B64:D64"/>
    <mergeCell ref="E64:G64"/>
    <mergeCell ref="H64:J64"/>
    <mergeCell ref="K64:M64"/>
    <mergeCell ref="N64:P64"/>
    <mergeCell ref="Q64:S64"/>
    <mergeCell ref="T64:V64"/>
    <mergeCell ref="Q63:S63"/>
    <mergeCell ref="T63:V63"/>
    <mergeCell ref="W63:Y63"/>
    <mergeCell ref="Z63:AB63"/>
    <mergeCell ref="AC63:AE63"/>
    <mergeCell ref="AF63:AH63"/>
    <mergeCell ref="AC62:AE62"/>
    <mergeCell ref="AF62:AH62"/>
    <mergeCell ref="AI62:AK62"/>
    <mergeCell ref="AL62:AN62"/>
    <mergeCell ref="AP62:AQ62"/>
    <mergeCell ref="B63:D63"/>
    <mergeCell ref="E63:G63"/>
    <mergeCell ref="H63:J63"/>
    <mergeCell ref="K63:M63"/>
    <mergeCell ref="N63:P63"/>
    <mergeCell ref="AP61:AQ61"/>
    <mergeCell ref="B62:D62"/>
    <mergeCell ref="E62:G62"/>
    <mergeCell ref="H62:J62"/>
    <mergeCell ref="K62:M62"/>
    <mergeCell ref="N62:P62"/>
    <mergeCell ref="Q62:S62"/>
    <mergeCell ref="T62:V62"/>
    <mergeCell ref="W62:Y62"/>
    <mergeCell ref="Z62:AB62"/>
    <mergeCell ref="W61:Y61"/>
    <mergeCell ref="Z61:AB61"/>
    <mergeCell ref="AC61:AE61"/>
    <mergeCell ref="AF61:AH61"/>
    <mergeCell ref="AI61:AK61"/>
    <mergeCell ref="AL61:AN61"/>
    <mergeCell ref="AI60:AK60"/>
    <mergeCell ref="AL60:AN60"/>
    <mergeCell ref="AP60:AQ60"/>
    <mergeCell ref="B61:D61"/>
    <mergeCell ref="E61:G61"/>
    <mergeCell ref="H61:J61"/>
    <mergeCell ref="K61:M61"/>
    <mergeCell ref="N61:P61"/>
    <mergeCell ref="Q61:S61"/>
    <mergeCell ref="T61:V61"/>
    <mergeCell ref="Q60:S60"/>
    <mergeCell ref="T60:V60"/>
    <mergeCell ref="W60:Y60"/>
    <mergeCell ref="Z60:AB60"/>
    <mergeCell ref="AC60:AE60"/>
    <mergeCell ref="AF60:AH60"/>
    <mergeCell ref="AC59:AE59"/>
    <mergeCell ref="AF59:AH59"/>
    <mergeCell ref="AI59:AK59"/>
    <mergeCell ref="AL59:AN59"/>
    <mergeCell ref="AP59:AQ59"/>
    <mergeCell ref="B60:D60"/>
    <mergeCell ref="E60:G60"/>
    <mergeCell ref="H60:J60"/>
    <mergeCell ref="K60:M60"/>
    <mergeCell ref="N60:P60"/>
    <mergeCell ref="AP58:AQ58"/>
    <mergeCell ref="B59:D59"/>
    <mergeCell ref="E59:G59"/>
    <mergeCell ref="H59:J59"/>
    <mergeCell ref="K59:M59"/>
    <mergeCell ref="N59:P59"/>
    <mergeCell ref="Q59:S59"/>
    <mergeCell ref="T59:V59"/>
    <mergeCell ref="W59:Y59"/>
    <mergeCell ref="Z59:AB59"/>
    <mergeCell ref="W58:Y58"/>
    <mergeCell ref="Z58:AB58"/>
    <mergeCell ref="AC58:AE58"/>
    <mergeCell ref="AF58:AH58"/>
    <mergeCell ref="AI58:AK58"/>
    <mergeCell ref="AL58:AN58"/>
    <mergeCell ref="AI57:AK57"/>
    <mergeCell ref="AL57:AN57"/>
    <mergeCell ref="AP57:AQ57"/>
    <mergeCell ref="B58:D58"/>
    <mergeCell ref="E58:G58"/>
    <mergeCell ref="H58:J58"/>
    <mergeCell ref="K58:M58"/>
    <mergeCell ref="N58:P58"/>
    <mergeCell ref="Q58:S58"/>
    <mergeCell ref="T58:V58"/>
    <mergeCell ref="Q57:S57"/>
    <mergeCell ref="T57:V57"/>
    <mergeCell ref="W57:Y57"/>
    <mergeCell ref="Z57:AB57"/>
    <mergeCell ref="AC57:AE57"/>
    <mergeCell ref="AF57:AH57"/>
    <mergeCell ref="AC56:AE56"/>
    <mergeCell ref="AF56:AH56"/>
    <mergeCell ref="AI56:AK56"/>
    <mergeCell ref="AL56:AN56"/>
    <mergeCell ref="AP56:AQ56"/>
    <mergeCell ref="B57:D57"/>
    <mergeCell ref="E57:G57"/>
    <mergeCell ref="H57:J57"/>
    <mergeCell ref="K57:M57"/>
    <mergeCell ref="N57:P57"/>
    <mergeCell ref="AP55:AQ55"/>
    <mergeCell ref="B56:D56"/>
    <mergeCell ref="E56:G56"/>
    <mergeCell ref="H56:J56"/>
    <mergeCell ref="K56:M56"/>
    <mergeCell ref="N56:P56"/>
    <mergeCell ref="Q56:S56"/>
    <mergeCell ref="T56:V56"/>
    <mergeCell ref="W56:Y56"/>
    <mergeCell ref="Z56:AB56"/>
    <mergeCell ref="W55:Y55"/>
    <mergeCell ref="Z55:AB55"/>
    <mergeCell ref="AC55:AE55"/>
    <mergeCell ref="AF55:AH55"/>
    <mergeCell ref="AI55:AK55"/>
    <mergeCell ref="AL55:AN55"/>
    <mergeCell ref="AI54:AK54"/>
    <mergeCell ref="AL54:AN54"/>
    <mergeCell ref="AP54:AQ54"/>
    <mergeCell ref="B55:D55"/>
    <mergeCell ref="E55:G55"/>
    <mergeCell ref="H55:J55"/>
    <mergeCell ref="K55:M55"/>
    <mergeCell ref="N55:P55"/>
    <mergeCell ref="Q55:S55"/>
    <mergeCell ref="T55:V55"/>
    <mergeCell ref="Q54:S54"/>
    <mergeCell ref="T54:V54"/>
    <mergeCell ref="W54:Y54"/>
    <mergeCell ref="Z54:AB54"/>
    <mergeCell ref="AC54:AE54"/>
    <mergeCell ref="AF54:AH54"/>
    <mergeCell ref="AC53:AE53"/>
    <mergeCell ref="AF53:AH53"/>
    <mergeCell ref="AI53:AK53"/>
    <mergeCell ref="AL53:AN53"/>
    <mergeCell ref="AP53:AQ53"/>
    <mergeCell ref="B54:D54"/>
    <mergeCell ref="E54:G54"/>
    <mergeCell ref="H54:J54"/>
    <mergeCell ref="K54:M54"/>
    <mergeCell ref="N54:P54"/>
    <mergeCell ref="AP52:AQ52"/>
    <mergeCell ref="B53:D53"/>
    <mergeCell ref="E53:G53"/>
    <mergeCell ref="H53:J53"/>
    <mergeCell ref="K53:M53"/>
    <mergeCell ref="N53:P53"/>
    <mergeCell ref="Q53:S53"/>
    <mergeCell ref="T53:V53"/>
    <mergeCell ref="W53:Y53"/>
    <mergeCell ref="Z53:AB53"/>
    <mergeCell ref="W52:Y52"/>
    <mergeCell ref="Z52:AB52"/>
    <mergeCell ref="AC52:AE52"/>
    <mergeCell ref="AF52:AH52"/>
    <mergeCell ref="AI52:AK52"/>
    <mergeCell ref="AL52:AN52"/>
    <mergeCell ref="AI51:AK51"/>
    <mergeCell ref="AL51:AN51"/>
    <mergeCell ref="AP51:AQ51"/>
    <mergeCell ref="B52:D52"/>
    <mergeCell ref="E52:G52"/>
    <mergeCell ref="H52:J52"/>
    <mergeCell ref="K52:M52"/>
    <mergeCell ref="N52:P52"/>
    <mergeCell ref="Q52:S52"/>
    <mergeCell ref="T52:V52"/>
    <mergeCell ref="Q51:S51"/>
    <mergeCell ref="T51:V51"/>
    <mergeCell ref="W51:Y51"/>
    <mergeCell ref="Z51:AB51"/>
    <mergeCell ref="AC51:AE51"/>
    <mergeCell ref="AF51:AH51"/>
    <mergeCell ref="AC50:AE50"/>
    <mergeCell ref="AF50:AH50"/>
    <mergeCell ref="AI50:AK50"/>
    <mergeCell ref="AL50:AN50"/>
    <mergeCell ref="AP50:AQ50"/>
    <mergeCell ref="B51:D51"/>
    <mergeCell ref="E51:G51"/>
    <mergeCell ref="H51:J51"/>
    <mergeCell ref="K51:M51"/>
    <mergeCell ref="N51:P51"/>
    <mergeCell ref="AP49:AQ49"/>
    <mergeCell ref="B50:D50"/>
    <mergeCell ref="E50:G50"/>
    <mergeCell ref="H50:J50"/>
    <mergeCell ref="K50:M50"/>
    <mergeCell ref="N50:P50"/>
    <mergeCell ref="Q50:S50"/>
    <mergeCell ref="T50:V50"/>
    <mergeCell ref="W50:Y50"/>
    <mergeCell ref="Z50:AB50"/>
    <mergeCell ref="W49:Y49"/>
    <mergeCell ref="Z49:AB49"/>
    <mergeCell ref="AC49:AE49"/>
    <mergeCell ref="AF49:AH49"/>
    <mergeCell ref="AI49:AK49"/>
    <mergeCell ref="AL49:AN49"/>
    <mergeCell ref="AI48:AK48"/>
    <mergeCell ref="AL48:AN48"/>
    <mergeCell ref="AP48:AQ48"/>
    <mergeCell ref="B49:D49"/>
    <mergeCell ref="E49:G49"/>
    <mergeCell ref="H49:J49"/>
    <mergeCell ref="K49:M49"/>
    <mergeCell ref="N49:P49"/>
    <mergeCell ref="Q49:S49"/>
    <mergeCell ref="T49:V49"/>
    <mergeCell ref="Q48:S48"/>
    <mergeCell ref="T48:V48"/>
    <mergeCell ref="W48:Y48"/>
    <mergeCell ref="Z48:AB48"/>
    <mergeCell ref="AC48:AE48"/>
    <mergeCell ref="AF48:AH48"/>
    <mergeCell ref="AC47:AE47"/>
    <mergeCell ref="AF47:AH47"/>
    <mergeCell ref="AI47:AK47"/>
    <mergeCell ref="AL47:AN47"/>
    <mergeCell ref="AP47:AQ47"/>
    <mergeCell ref="B48:D48"/>
    <mergeCell ref="E48:G48"/>
    <mergeCell ref="H48:J48"/>
    <mergeCell ref="K48:M48"/>
    <mergeCell ref="N48:P48"/>
    <mergeCell ref="AP46:AQ46"/>
    <mergeCell ref="B47:D47"/>
    <mergeCell ref="E47:G47"/>
    <mergeCell ref="H47:J47"/>
    <mergeCell ref="K47:M47"/>
    <mergeCell ref="N47:P47"/>
    <mergeCell ref="Q47:S47"/>
    <mergeCell ref="T47:V47"/>
    <mergeCell ref="W47:Y47"/>
    <mergeCell ref="Z47:AB47"/>
    <mergeCell ref="W46:Y46"/>
    <mergeCell ref="Z46:AB46"/>
    <mergeCell ref="AC46:AE46"/>
    <mergeCell ref="AF46:AH46"/>
    <mergeCell ref="AI46:AK46"/>
    <mergeCell ref="AL46:AN46"/>
    <mergeCell ref="AI45:AK45"/>
    <mergeCell ref="AL45:AN45"/>
    <mergeCell ref="AP45:AQ45"/>
    <mergeCell ref="B46:D46"/>
    <mergeCell ref="E46:G46"/>
    <mergeCell ref="H46:J46"/>
    <mergeCell ref="K46:M46"/>
    <mergeCell ref="N46:P46"/>
    <mergeCell ref="Q46:S46"/>
    <mergeCell ref="T46:V46"/>
    <mergeCell ref="Q45:S45"/>
    <mergeCell ref="T45:V45"/>
    <mergeCell ref="W45:Y45"/>
    <mergeCell ref="Z45:AB45"/>
    <mergeCell ref="AC45:AE45"/>
    <mergeCell ref="AF45:AH45"/>
    <mergeCell ref="AC44:AE44"/>
    <mergeCell ref="AF44:AH44"/>
    <mergeCell ref="AI44:AK44"/>
    <mergeCell ref="AL44:AN44"/>
    <mergeCell ref="AP44:AQ44"/>
    <mergeCell ref="B45:D45"/>
    <mergeCell ref="E45:G45"/>
    <mergeCell ref="H45:J45"/>
    <mergeCell ref="K45:M45"/>
    <mergeCell ref="N45:P45"/>
    <mergeCell ref="AP43:AQ43"/>
    <mergeCell ref="B44:D44"/>
    <mergeCell ref="E44:G44"/>
    <mergeCell ref="H44:J44"/>
    <mergeCell ref="K44:M44"/>
    <mergeCell ref="N44:P44"/>
    <mergeCell ref="Q44:S44"/>
    <mergeCell ref="T44:V44"/>
    <mergeCell ref="W44:Y44"/>
    <mergeCell ref="Z44:AB44"/>
    <mergeCell ref="W43:Y43"/>
    <mergeCell ref="Z43:AB43"/>
    <mergeCell ref="AC43:AE43"/>
    <mergeCell ref="AF43:AH43"/>
    <mergeCell ref="AI43:AK43"/>
    <mergeCell ref="AL43:AN43"/>
    <mergeCell ref="AI42:AK42"/>
    <mergeCell ref="AL42:AN42"/>
    <mergeCell ref="AP42:AQ42"/>
    <mergeCell ref="B43:D43"/>
    <mergeCell ref="E43:G43"/>
    <mergeCell ref="H43:J43"/>
    <mergeCell ref="K43:M43"/>
    <mergeCell ref="N43:P43"/>
    <mergeCell ref="Q43:S43"/>
    <mergeCell ref="T43:V43"/>
    <mergeCell ref="Q42:S42"/>
    <mergeCell ref="T42:V42"/>
    <mergeCell ref="W42:Y42"/>
    <mergeCell ref="Z42:AB42"/>
    <mergeCell ref="AC42:AE42"/>
    <mergeCell ref="AF42:AH42"/>
    <mergeCell ref="AC41:AE41"/>
    <mergeCell ref="AF41:AH41"/>
    <mergeCell ref="AI41:AK41"/>
    <mergeCell ref="AL41:AN41"/>
    <mergeCell ref="AP41:AQ41"/>
    <mergeCell ref="B42:D42"/>
    <mergeCell ref="E42:G42"/>
    <mergeCell ref="H42:J42"/>
    <mergeCell ref="K42:M42"/>
    <mergeCell ref="N42:P42"/>
    <mergeCell ref="AP40:AQ40"/>
    <mergeCell ref="B41:D41"/>
    <mergeCell ref="E41:G41"/>
    <mergeCell ref="H41:J41"/>
    <mergeCell ref="K41:M41"/>
    <mergeCell ref="N41:P41"/>
    <mergeCell ref="Q41:S41"/>
    <mergeCell ref="T41:V41"/>
    <mergeCell ref="W41:Y41"/>
    <mergeCell ref="Z41:AB41"/>
    <mergeCell ref="W40:Y40"/>
    <mergeCell ref="Z40:AB40"/>
    <mergeCell ref="AC40:AE40"/>
    <mergeCell ref="AF40:AH40"/>
    <mergeCell ref="AI40:AK40"/>
    <mergeCell ref="AL40:AN40"/>
    <mergeCell ref="AI39:AK39"/>
    <mergeCell ref="AL39:AN39"/>
    <mergeCell ref="AP39:AQ39"/>
    <mergeCell ref="B40:D40"/>
    <mergeCell ref="E40:G40"/>
    <mergeCell ref="H40:J40"/>
    <mergeCell ref="K40:M40"/>
    <mergeCell ref="N40:P40"/>
    <mergeCell ref="Q40:S40"/>
    <mergeCell ref="T40:V40"/>
    <mergeCell ref="Q39:S39"/>
    <mergeCell ref="T39:V39"/>
    <mergeCell ref="W39:Y39"/>
    <mergeCell ref="Z39:AB39"/>
    <mergeCell ref="AC39:AE39"/>
    <mergeCell ref="AF39:AH39"/>
    <mergeCell ref="AC38:AE38"/>
    <mergeCell ref="AF38:AH38"/>
    <mergeCell ref="AI38:AK38"/>
    <mergeCell ref="AL38:AN38"/>
    <mergeCell ref="AP38:AQ38"/>
    <mergeCell ref="B39:D39"/>
    <mergeCell ref="E39:G39"/>
    <mergeCell ref="H39:J39"/>
    <mergeCell ref="K39:M39"/>
    <mergeCell ref="N39:P39"/>
    <mergeCell ref="AP37:AQ37"/>
    <mergeCell ref="B38:D38"/>
    <mergeCell ref="E38:G38"/>
    <mergeCell ref="H38:J38"/>
    <mergeCell ref="K38:M38"/>
    <mergeCell ref="N38:P38"/>
    <mergeCell ref="Q38:S38"/>
    <mergeCell ref="T38:V38"/>
    <mergeCell ref="W38:Y38"/>
    <mergeCell ref="Z38:AB38"/>
    <mergeCell ref="W37:Y37"/>
    <mergeCell ref="Z37:AB37"/>
    <mergeCell ref="AC37:AE37"/>
    <mergeCell ref="AF37:AH37"/>
    <mergeCell ref="AI37:AK37"/>
    <mergeCell ref="AL37:AN37"/>
    <mergeCell ref="AI36:AK36"/>
    <mergeCell ref="AL36:AN36"/>
    <mergeCell ref="AP36:AQ36"/>
    <mergeCell ref="B37:D37"/>
    <mergeCell ref="E37:G37"/>
    <mergeCell ref="H37:J37"/>
    <mergeCell ref="K37:M37"/>
    <mergeCell ref="N37:P37"/>
    <mergeCell ref="Q37:S37"/>
    <mergeCell ref="T37:V37"/>
    <mergeCell ref="Q36:S36"/>
    <mergeCell ref="T36:V36"/>
    <mergeCell ref="W36:Y36"/>
    <mergeCell ref="Z36:AB36"/>
    <mergeCell ref="AC36:AE36"/>
    <mergeCell ref="AF36:AH36"/>
    <mergeCell ref="AC35:AE35"/>
    <mergeCell ref="AF35:AH35"/>
    <mergeCell ref="AI35:AK35"/>
    <mergeCell ref="AL35:AN35"/>
    <mergeCell ref="AP35:AQ35"/>
    <mergeCell ref="B36:D36"/>
    <mergeCell ref="E36:G36"/>
    <mergeCell ref="H36:J36"/>
    <mergeCell ref="K36:M36"/>
    <mergeCell ref="N36:P36"/>
    <mergeCell ref="AP34:AQ34"/>
    <mergeCell ref="B35:D35"/>
    <mergeCell ref="E35:G35"/>
    <mergeCell ref="H35:J35"/>
    <mergeCell ref="K35:M35"/>
    <mergeCell ref="N35:P35"/>
    <mergeCell ref="Q35:S35"/>
    <mergeCell ref="T35:V35"/>
    <mergeCell ref="W35:Y35"/>
    <mergeCell ref="Z35:AB35"/>
    <mergeCell ref="W34:Y34"/>
    <mergeCell ref="Z34:AB34"/>
    <mergeCell ref="AC34:AE34"/>
    <mergeCell ref="AF34:AH34"/>
    <mergeCell ref="AI34:AK34"/>
    <mergeCell ref="AL34:AN34"/>
    <mergeCell ref="AI33:AK33"/>
    <mergeCell ref="AL33:AN33"/>
    <mergeCell ref="AP33:AQ33"/>
    <mergeCell ref="B34:D34"/>
    <mergeCell ref="E34:G34"/>
    <mergeCell ref="H34:J34"/>
    <mergeCell ref="K34:M34"/>
    <mergeCell ref="N34:P34"/>
    <mergeCell ref="Q34:S34"/>
    <mergeCell ref="T34:V34"/>
    <mergeCell ref="Q33:S33"/>
    <mergeCell ref="T33:V33"/>
    <mergeCell ref="W33:Y33"/>
    <mergeCell ref="Z33:AB33"/>
    <mergeCell ref="AC33:AE33"/>
    <mergeCell ref="AF33:AH33"/>
    <mergeCell ref="AC32:AE32"/>
    <mergeCell ref="AF32:AH32"/>
    <mergeCell ref="AI32:AK32"/>
    <mergeCell ref="AL32:AN32"/>
    <mergeCell ref="AP32:AQ32"/>
    <mergeCell ref="B33:D33"/>
    <mergeCell ref="E33:G33"/>
    <mergeCell ref="H33:J33"/>
    <mergeCell ref="K33:M33"/>
    <mergeCell ref="N33:P33"/>
    <mergeCell ref="A31:AQ31"/>
    <mergeCell ref="B32:D32"/>
    <mergeCell ref="E32:G32"/>
    <mergeCell ref="H32:J32"/>
    <mergeCell ref="K32:M32"/>
    <mergeCell ref="N32:P32"/>
    <mergeCell ref="Q32:S32"/>
    <mergeCell ref="T32:V32"/>
    <mergeCell ref="W32:Y32"/>
    <mergeCell ref="Z32:AB32"/>
    <mergeCell ref="AC27:AD27"/>
    <mergeCell ref="AF27:AG27"/>
    <mergeCell ref="AI27:AJ27"/>
    <mergeCell ref="AL27:AM27"/>
    <mergeCell ref="A28:AQ29"/>
    <mergeCell ref="A30:AQ30"/>
    <mergeCell ref="K27:L27"/>
    <mergeCell ref="N27:O27"/>
    <mergeCell ref="Q27:R27"/>
    <mergeCell ref="T27:U27"/>
    <mergeCell ref="W27:X27"/>
    <mergeCell ref="Z27:AA27"/>
    <mergeCell ref="B24:C24"/>
    <mergeCell ref="B25:C25"/>
    <mergeCell ref="B26:C26"/>
    <mergeCell ref="B27:C27"/>
    <mergeCell ref="E27:F27"/>
    <mergeCell ref="H27:I27"/>
    <mergeCell ref="AI21:AK21"/>
    <mergeCell ref="AL21:AN21"/>
    <mergeCell ref="AO21:AO22"/>
    <mergeCell ref="AP21:AQ21"/>
    <mergeCell ref="B22:C22"/>
    <mergeCell ref="B23:C23"/>
    <mergeCell ref="Q21:S21"/>
    <mergeCell ref="T21:V21"/>
    <mergeCell ref="W21:Y21"/>
    <mergeCell ref="Z21:AB21"/>
    <mergeCell ref="AC21:AE21"/>
    <mergeCell ref="AF21:AH21"/>
    <mergeCell ref="A21:A22"/>
    <mergeCell ref="B21:D21"/>
    <mergeCell ref="E21:G21"/>
    <mergeCell ref="H21:J21"/>
    <mergeCell ref="K21:M21"/>
    <mergeCell ref="N21:P21"/>
    <mergeCell ref="W18:Y18"/>
    <mergeCell ref="AC18:AE18"/>
    <mergeCell ref="AI18:AK18"/>
    <mergeCell ref="AL18:AN18"/>
    <mergeCell ref="AO18:AQ18"/>
    <mergeCell ref="A19:AQ20"/>
    <mergeCell ref="AI17:AK17"/>
    <mergeCell ref="AL17:AN17"/>
    <mergeCell ref="AO17:AQ17"/>
    <mergeCell ref="B18:D18"/>
    <mergeCell ref="E18:G18"/>
    <mergeCell ref="H18:J18"/>
    <mergeCell ref="K18:M18"/>
    <mergeCell ref="N18:P18"/>
    <mergeCell ref="Q18:S18"/>
    <mergeCell ref="T18:V18"/>
    <mergeCell ref="AO16:AQ16"/>
    <mergeCell ref="B17:D17"/>
    <mergeCell ref="E17:G17"/>
    <mergeCell ref="H17:J17"/>
    <mergeCell ref="K17:M17"/>
    <mergeCell ref="N17:P17"/>
    <mergeCell ref="Q17:S17"/>
    <mergeCell ref="T17:V17"/>
    <mergeCell ref="W17:Y17"/>
    <mergeCell ref="AC17:AE17"/>
    <mergeCell ref="Q16:S16"/>
    <mergeCell ref="T16:V16"/>
    <mergeCell ref="W16:Y16"/>
    <mergeCell ref="AC16:AE16"/>
    <mergeCell ref="AI16:AK16"/>
    <mergeCell ref="AL16:AN16"/>
    <mergeCell ref="W15:Y15"/>
    <mergeCell ref="AC15:AE15"/>
    <mergeCell ref="AI15:AK15"/>
    <mergeCell ref="AL15:AN15"/>
    <mergeCell ref="AO15:AQ15"/>
    <mergeCell ref="B16:D16"/>
    <mergeCell ref="E16:G16"/>
    <mergeCell ref="H16:J16"/>
    <mergeCell ref="K16:M16"/>
    <mergeCell ref="N16:P16"/>
    <mergeCell ref="AI14:AK14"/>
    <mergeCell ref="AL14:AN14"/>
    <mergeCell ref="AO14:AQ14"/>
    <mergeCell ref="B15:D15"/>
    <mergeCell ref="E15:G15"/>
    <mergeCell ref="H15:J15"/>
    <mergeCell ref="K15:M15"/>
    <mergeCell ref="N15:P15"/>
    <mergeCell ref="Q15:S15"/>
    <mergeCell ref="T15:V15"/>
    <mergeCell ref="AO13:AQ13"/>
    <mergeCell ref="B14:D14"/>
    <mergeCell ref="E14:G14"/>
    <mergeCell ref="H14:J14"/>
    <mergeCell ref="K14:M14"/>
    <mergeCell ref="N14:P14"/>
    <mergeCell ref="Q14:S14"/>
    <mergeCell ref="T14:V14"/>
    <mergeCell ref="W14:Y14"/>
    <mergeCell ref="AC14:AE14"/>
    <mergeCell ref="Q13:S13"/>
    <mergeCell ref="T13:V13"/>
    <mergeCell ref="W13:Y13"/>
    <mergeCell ref="AC13:AE13"/>
    <mergeCell ref="AI13:AK13"/>
    <mergeCell ref="AL13:AN13"/>
    <mergeCell ref="W12:Y12"/>
    <mergeCell ref="AC12:AE12"/>
    <mergeCell ref="AI12:AK12"/>
    <mergeCell ref="AL12:AN12"/>
    <mergeCell ref="AO12:AQ12"/>
    <mergeCell ref="B13:D13"/>
    <mergeCell ref="E13:G13"/>
    <mergeCell ref="H13:J13"/>
    <mergeCell ref="K13:M13"/>
    <mergeCell ref="N13:P13"/>
    <mergeCell ref="AI11:AK11"/>
    <mergeCell ref="AL11:AN11"/>
    <mergeCell ref="AO11:AQ11"/>
    <mergeCell ref="B12:D12"/>
    <mergeCell ref="E12:G12"/>
    <mergeCell ref="H12:J12"/>
    <mergeCell ref="K12:M12"/>
    <mergeCell ref="N12:P12"/>
    <mergeCell ref="Q12:S12"/>
    <mergeCell ref="T12:V12"/>
    <mergeCell ref="Q11:S11"/>
    <mergeCell ref="T11:V11"/>
    <mergeCell ref="W11:Y11"/>
    <mergeCell ref="Z11:AB11"/>
    <mergeCell ref="AC11:AE11"/>
    <mergeCell ref="AF11:AH11"/>
    <mergeCell ref="A1:AQ4"/>
    <mergeCell ref="A5:AQ6"/>
    <mergeCell ref="A7:AQ8"/>
    <mergeCell ref="A9:AQ9"/>
    <mergeCell ref="A10:AQ10"/>
    <mergeCell ref="B11:D11"/>
    <mergeCell ref="E11:G11"/>
    <mergeCell ref="H11:J11"/>
    <mergeCell ref="K11:M11"/>
    <mergeCell ref="N11:P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ANIPA</dc:creator>
  <cp:lastModifiedBy>ANIPA</cp:lastModifiedBy>
  <dcterms:created xsi:type="dcterms:W3CDTF">2020-01-21T19:24:56Z</dcterms:created>
  <dcterms:modified xsi:type="dcterms:W3CDTF">2020-01-21T19:29:34Z</dcterms:modified>
</cp:coreProperties>
</file>