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dos\Desktop\FINANCEIRO\05. FINANCEIRO\2020\10. OUT\Histórico Mensal\"/>
    </mc:Choice>
  </mc:AlternateContent>
  <xr:revisionPtr revIDLastSave="0" documentId="8_{0999860C-B2B5-4C74-8E16-C0E382F9F38E}" xr6:coauthVersionLast="45" xr6:coauthVersionMax="45" xr10:uidLastSave="{00000000-0000-0000-0000-000000000000}"/>
  <bookViews>
    <workbookView xWindow="-120" yWindow="-120" windowWidth="20730" windowHeight="11160" activeTab="1" xr2:uid="{7CC03604-49F0-4B91-A5C8-DC61F3C32A6C}"/>
  </bookViews>
  <sheets>
    <sheet name="OUT" sheetId="1" r:id="rId1"/>
    <sheet name="VIAGE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4" i="1" l="1"/>
  <c r="AK25" i="1"/>
  <c r="AF65" i="1"/>
  <c r="AI65" i="1" s="1"/>
  <c r="AF43" i="1"/>
  <c r="AI35" i="1"/>
  <c r="AI36" i="1"/>
  <c r="AI37" i="1"/>
  <c r="AI38" i="1"/>
  <c r="AI39" i="1"/>
  <c r="AI40" i="1"/>
  <c r="AI41" i="1"/>
  <c r="AI34" i="1"/>
  <c r="AI44" i="1"/>
  <c r="AI45" i="1"/>
  <c r="AI43" i="1"/>
  <c r="AI48" i="1"/>
  <c r="AI49" i="1"/>
  <c r="AI47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51" i="1"/>
  <c r="AI66" i="1"/>
  <c r="AI67" i="1"/>
  <c r="AI68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70" i="1"/>
  <c r="AI86" i="1"/>
  <c r="AI87" i="1"/>
  <c r="AI88" i="1"/>
  <c r="AI89" i="1"/>
  <c r="AI85" i="1"/>
  <c r="AI92" i="1"/>
  <c r="AI93" i="1"/>
  <c r="AI94" i="1"/>
  <c r="AI91" i="1"/>
  <c r="AI97" i="1"/>
  <c r="AI98" i="1"/>
  <c r="AI99" i="1"/>
  <c r="AI100" i="1"/>
  <c r="AI101" i="1"/>
  <c r="AI102" i="1"/>
  <c r="AI96" i="1"/>
  <c r="AF112" i="1" l="1"/>
  <c r="AF110" i="1"/>
  <c r="AF111" i="1"/>
  <c r="AF109" i="1"/>
  <c r="AF67" i="1"/>
  <c r="AF33" i="1"/>
  <c r="AF42" i="1"/>
  <c r="AF50" i="1"/>
  <c r="AF46" i="1"/>
  <c r="AF64" i="1"/>
  <c r="AF69" i="1"/>
  <c r="AF84" i="1"/>
  <c r="AF90" i="1"/>
  <c r="AF95" i="1"/>
  <c r="AF76" i="1"/>
  <c r="AF35" i="1"/>
  <c r="AF71" i="1"/>
  <c r="AF83" i="1"/>
  <c r="AF66" i="1"/>
  <c r="AF58" i="1"/>
  <c r="AF36" i="1"/>
  <c r="AF57" i="1"/>
  <c r="AF56" i="1"/>
  <c r="AF82" i="1"/>
  <c r="AF37" i="1"/>
  <c r="AF75" i="1"/>
  <c r="AF53" i="1"/>
  <c r="AF38" i="1"/>
  <c r="AF55" i="1"/>
  <c r="AF54" i="1"/>
  <c r="AF48" i="1"/>
  <c r="AF87" i="1"/>
  <c r="AF77" i="1"/>
  <c r="AH25" i="1"/>
  <c r="AH24" i="1"/>
  <c r="AJ24" i="1"/>
  <c r="AI24" i="1"/>
  <c r="AF103" i="1" l="1"/>
  <c r="AF104" i="1" s="1"/>
  <c r="AF114" i="1"/>
  <c r="AH27" i="1"/>
  <c r="AF27" i="1"/>
  <c r="AI12" i="1"/>
  <c r="AK26" i="1"/>
  <c r="AC65" i="1" l="1"/>
  <c r="AC67" i="1" l="1"/>
  <c r="AE25" i="1"/>
  <c r="AE24" i="1"/>
  <c r="AE27" i="1" s="1"/>
  <c r="AC83" i="1"/>
  <c r="AC76" i="1"/>
  <c r="AC35" i="1"/>
  <c r="AC58" i="1"/>
  <c r="AC66" i="1"/>
  <c r="AC57" i="1"/>
  <c r="AC36" i="1"/>
  <c r="AC47" i="1"/>
  <c r="AC38" i="1"/>
  <c r="AC53" i="1"/>
  <c r="AC56" i="1"/>
  <c r="AC75" i="1"/>
  <c r="AC82" i="1"/>
  <c r="AC37" i="1"/>
  <c r="AC55" i="1"/>
  <c r="AC74" i="1"/>
  <c r="AC79" i="1"/>
  <c r="AC77" i="1"/>
  <c r="AC88" i="1"/>
  <c r="AC87" i="1"/>
  <c r="AC42" i="1"/>
  <c r="AC90" i="1"/>
  <c r="AC95" i="1"/>
  <c r="AC46" i="1" l="1"/>
  <c r="AC33" i="1"/>
  <c r="AC84" i="1"/>
  <c r="AC64" i="1"/>
  <c r="AC50" i="1"/>
  <c r="AC69" i="1"/>
  <c r="AC103" i="1" l="1"/>
  <c r="AC104" i="1" s="1"/>
  <c r="Z77" i="1"/>
  <c r="Z74" i="1"/>
  <c r="Z87" i="1"/>
  <c r="Z89" i="1"/>
  <c r="AB25" i="1"/>
  <c r="Z67" i="1"/>
  <c r="AM24" i="1" l="1"/>
  <c r="Z65" i="1"/>
  <c r="AB24" i="1"/>
  <c r="AB27" i="1" s="1"/>
  <c r="Z42" i="1"/>
  <c r="Z95" i="1"/>
  <c r="Z88" i="1"/>
  <c r="Z84" i="1" s="1"/>
  <c r="Z48" i="1"/>
  <c r="Z35" i="1"/>
  <c r="Z83" i="1"/>
  <c r="Z66" i="1"/>
  <c r="Z58" i="1"/>
  <c r="Z36" i="1"/>
  <c r="Z57" i="1"/>
  <c r="Z94" i="1"/>
  <c r="Z37" i="1"/>
  <c r="Z75" i="1"/>
  <c r="Z69" i="1" s="1"/>
  <c r="Z53" i="1"/>
  <c r="Z56" i="1"/>
  <c r="Z76" i="1"/>
  <c r="Z82" i="1"/>
  <c r="Z55" i="1"/>
  <c r="Z38" i="1"/>
  <c r="Z91" i="1"/>
  <c r="Z90" i="1" s="1"/>
  <c r="Z50" i="1" l="1"/>
  <c r="Z46" i="1"/>
  <c r="AI46" i="1"/>
  <c r="Z33" i="1"/>
  <c r="Z103" i="1" s="1"/>
  <c r="Z104" i="1" s="1"/>
  <c r="Z64" i="1"/>
  <c r="Y25" i="1" l="1"/>
  <c r="W68" i="1" l="1"/>
  <c r="W83" i="1"/>
  <c r="W76" i="1"/>
  <c r="W113" i="1"/>
  <c r="W67" i="1"/>
  <c r="W65" i="1"/>
  <c r="Y24" i="1"/>
  <c r="Y27" i="1" s="1"/>
  <c r="W82" i="1" l="1"/>
  <c r="W74" i="1"/>
  <c r="W88" i="1"/>
  <c r="W77" i="1"/>
  <c r="W87" i="1"/>
  <c r="W56" i="1"/>
  <c r="W58" i="1"/>
  <c r="W36" i="1"/>
  <c r="W75" i="1"/>
  <c r="W66" i="1"/>
  <c r="W64" i="1" s="1"/>
  <c r="W57" i="1"/>
  <c r="W55" i="1"/>
  <c r="W53" i="1"/>
  <c r="W38" i="1"/>
  <c r="W37" i="1"/>
  <c r="W35" i="1"/>
  <c r="W95" i="1"/>
  <c r="W90" i="1"/>
  <c r="W46" i="1"/>
  <c r="W42" i="1"/>
  <c r="AM58" i="1" l="1"/>
  <c r="W69" i="1"/>
  <c r="W84" i="1"/>
  <c r="W50" i="1"/>
  <c r="W33" i="1"/>
  <c r="W103" i="1" l="1"/>
  <c r="W104" i="1" s="1"/>
  <c r="T113" i="1"/>
  <c r="T53" i="1" l="1"/>
  <c r="T88" i="1"/>
  <c r="T87" i="1"/>
  <c r="T35" i="1"/>
  <c r="T43" i="1"/>
  <c r="T83" i="1"/>
  <c r="T66" i="1"/>
  <c r="T57" i="1"/>
  <c r="T50" i="1" s="1"/>
  <c r="T36" i="1"/>
  <c r="T37" i="1"/>
  <c r="T56" i="1"/>
  <c r="T75" i="1"/>
  <c r="T76" i="1"/>
  <c r="T82" i="1"/>
  <c r="T55" i="1"/>
  <c r="T38" i="1"/>
  <c r="T95" i="1"/>
  <c r="T90" i="1"/>
  <c r="T46" i="1"/>
  <c r="T42" i="1"/>
  <c r="V24" i="1"/>
  <c r="T67" i="1"/>
  <c r="T65" i="1"/>
  <c r="T64" i="1" s="1"/>
  <c r="V25" i="1"/>
  <c r="V27" i="1" l="1"/>
  <c r="T84" i="1"/>
  <c r="T33" i="1"/>
  <c r="T69" i="1"/>
  <c r="Q67" i="1"/>
  <c r="Q35" i="1"/>
  <c r="Q36" i="1"/>
  <c r="Q37" i="1"/>
  <c r="Q43" i="1"/>
  <c r="Q53" i="1"/>
  <c r="Q55" i="1"/>
  <c r="Q56" i="1"/>
  <c r="Q57" i="1"/>
  <c r="Q59" i="1"/>
  <c r="T103" i="1" l="1"/>
  <c r="T104" i="1" s="1"/>
  <c r="Q65" i="1"/>
  <c r="Q83" i="1"/>
  <c r="Q66" i="1"/>
  <c r="Q88" i="1"/>
  <c r="Q89" i="1"/>
  <c r="Q82" i="1"/>
  <c r="Q75" i="1"/>
  <c r="Q91" i="1"/>
  <c r="Q76" i="1"/>
  <c r="Q74" i="1"/>
  <c r="Q87" i="1"/>
  <c r="S25" i="1"/>
  <c r="S24" i="1"/>
  <c r="S27" i="1" l="1"/>
  <c r="Q33" i="1"/>
  <c r="Q42" i="1"/>
  <c r="Q46" i="1"/>
  <c r="Q50" i="1"/>
  <c r="Q64" i="1"/>
  <c r="Q69" i="1"/>
  <c r="Q84" i="1"/>
  <c r="Q90" i="1"/>
  <c r="Q95" i="1"/>
  <c r="Q103" i="1" l="1"/>
  <c r="Q104" i="1" s="1"/>
  <c r="P25" i="1"/>
  <c r="N82" i="1"/>
  <c r="N68" i="1"/>
  <c r="N111" i="1" l="1"/>
  <c r="Q111" i="1" s="1"/>
  <c r="T111" i="1" s="1"/>
  <c r="W111" i="1" s="1"/>
  <c r="Z111" i="1" s="1"/>
  <c r="AC111" i="1" s="1"/>
  <c r="N67" i="1"/>
  <c r="AM44" i="1"/>
  <c r="N90" i="1"/>
  <c r="N65" i="1"/>
  <c r="N95" i="1"/>
  <c r="N84" i="1"/>
  <c r="N46" i="1"/>
  <c r="N43" i="1"/>
  <c r="AI42" i="1" s="1"/>
  <c r="N76" i="1"/>
  <c r="N38" i="1"/>
  <c r="N35" i="1"/>
  <c r="N83" i="1"/>
  <c r="N62" i="1"/>
  <c r="N66" i="1"/>
  <c r="N36" i="1"/>
  <c r="N57" i="1"/>
  <c r="N75" i="1"/>
  <c r="N37" i="1"/>
  <c r="N55" i="1"/>
  <c r="N53" i="1"/>
  <c r="N56" i="1"/>
  <c r="P24" i="1"/>
  <c r="P27" i="1" s="1"/>
  <c r="N69" i="1" l="1"/>
  <c r="N50" i="1"/>
  <c r="AM43" i="1"/>
  <c r="N33" i="1"/>
  <c r="N42" i="1"/>
  <c r="N64" i="1"/>
  <c r="D46" i="2"/>
  <c r="E46" i="2"/>
  <c r="F46" i="2"/>
  <c r="G46" i="2"/>
  <c r="C46" i="2"/>
  <c r="B46" i="2"/>
  <c r="D24" i="2"/>
  <c r="E24" i="2"/>
  <c r="F24" i="2"/>
  <c r="G24" i="2"/>
  <c r="C24" i="2"/>
  <c r="B24" i="2"/>
  <c r="D9" i="2"/>
  <c r="E9" i="2"/>
  <c r="F9" i="2"/>
  <c r="G9" i="2"/>
  <c r="C9" i="2"/>
  <c r="B9" i="2"/>
  <c r="G47" i="2"/>
  <c r="F47" i="2"/>
  <c r="C47" i="2"/>
  <c r="K93" i="1"/>
  <c r="K102" i="1"/>
  <c r="F37" i="2"/>
  <c r="C37" i="2"/>
  <c r="H37" i="2" s="1"/>
  <c r="G32" i="2"/>
  <c r="D32" i="2"/>
  <c r="F32" i="2"/>
  <c r="F25" i="2"/>
  <c r="D25" i="2"/>
  <c r="C32" i="2"/>
  <c r="G25" i="2"/>
  <c r="C25" i="2"/>
  <c r="F10" i="2"/>
  <c r="G10" i="2"/>
  <c r="C10" i="2"/>
  <c r="H10" i="2" s="1"/>
  <c r="F11" i="2"/>
  <c r="G11" i="2"/>
  <c r="C11" i="2"/>
  <c r="H11" i="2" s="1"/>
  <c r="N103" i="1" l="1"/>
  <c r="N104" i="1" s="1"/>
  <c r="H25" i="2"/>
  <c r="H32" i="2"/>
  <c r="H47" i="2"/>
  <c r="K67" i="1"/>
  <c r="M25" i="1"/>
  <c r="M24" i="1"/>
  <c r="K89" i="1"/>
  <c r="K77" i="1"/>
  <c r="K88" i="1"/>
  <c r="K87" i="1"/>
  <c r="K65" i="1"/>
  <c r="K66" i="1"/>
  <c r="K83" i="1"/>
  <c r="K100" i="1"/>
  <c r="K76" i="1"/>
  <c r="K96" i="1"/>
  <c r="K35" i="1"/>
  <c r="K98" i="1"/>
  <c r="K99" i="1"/>
  <c r="K57" i="1"/>
  <c r="K75" i="1"/>
  <c r="K82" i="1"/>
  <c r="K56" i="1"/>
  <c r="K53" i="1"/>
  <c r="K36" i="1"/>
  <c r="K37" i="1"/>
  <c r="K38" i="1"/>
  <c r="K55" i="1"/>
  <c r="K72" i="1"/>
  <c r="K46" i="1" l="1"/>
  <c r="M27" i="1"/>
  <c r="K113" i="1"/>
  <c r="K69" i="1" l="1"/>
  <c r="K90" i="1"/>
  <c r="K33" i="1"/>
  <c r="K84" i="1"/>
  <c r="K42" i="1"/>
  <c r="K64" i="1"/>
  <c r="K95" i="1" l="1"/>
  <c r="K50" i="1"/>
  <c r="E26" i="2"/>
  <c r="G26" i="2"/>
  <c r="D26" i="2"/>
  <c r="F26" i="2"/>
  <c r="C26" i="2"/>
  <c r="G13" i="2"/>
  <c r="F13" i="2"/>
  <c r="C13" i="2"/>
  <c r="H13" i="2" s="1"/>
  <c r="G12" i="2"/>
  <c r="F12" i="2"/>
  <c r="C12" i="2"/>
  <c r="G14" i="2"/>
  <c r="H14" i="2" s="1"/>
  <c r="F14" i="2"/>
  <c r="G20" i="2"/>
  <c r="F20" i="2"/>
  <c r="C20" i="2"/>
  <c r="E20" i="2"/>
  <c r="H77" i="1"/>
  <c r="H92" i="1"/>
  <c r="H90" i="1" l="1"/>
  <c r="K103" i="1"/>
  <c r="K104" i="1" s="1"/>
  <c r="H26" i="2"/>
  <c r="H12" i="2"/>
  <c r="H68" i="1"/>
  <c r="H72" i="1"/>
  <c r="H82" i="1"/>
  <c r="H66" i="1"/>
  <c r="J25" i="1" l="1"/>
  <c r="J24" i="1"/>
  <c r="J27" i="1" s="1"/>
  <c r="H67" i="1"/>
  <c r="H65" i="1"/>
  <c r="H76" i="1"/>
  <c r="H83" i="1"/>
  <c r="H96" i="1"/>
  <c r="H57" i="1"/>
  <c r="AM73" i="1"/>
  <c r="H97" i="1" l="1"/>
  <c r="H75" i="1"/>
  <c r="H38" i="1"/>
  <c r="H37" i="1"/>
  <c r="H98" i="1"/>
  <c r="H64" i="1"/>
  <c r="H53" i="1"/>
  <c r="H50" i="1" s="1"/>
  <c r="H36" i="1"/>
  <c r="H56" i="1"/>
  <c r="H55" i="1"/>
  <c r="H42" i="1"/>
  <c r="H46" i="1"/>
  <c r="H79" i="1"/>
  <c r="H74" i="1"/>
  <c r="H87" i="1"/>
  <c r="H84" i="1" s="1"/>
  <c r="H69" i="1" l="1"/>
  <c r="H33" i="1"/>
  <c r="H95" i="1"/>
  <c r="H103" i="1" s="1"/>
  <c r="H104" i="1" s="1"/>
  <c r="G48" i="2"/>
  <c r="E67" i="1"/>
  <c r="E66" i="1"/>
  <c r="E65" i="1"/>
  <c r="E77" i="1"/>
  <c r="E83" i="1"/>
  <c r="E102" i="1"/>
  <c r="E57" i="1"/>
  <c r="E68" i="1"/>
  <c r="E74" i="1"/>
  <c r="E35" i="1"/>
  <c r="AI33" i="1" s="1"/>
  <c r="E88" i="1"/>
  <c r="G24" i="1"/>
  <c r="E93" i="1"/>
  <c r="E82" i="1"/>
  <c r="E76" i="1"/>
  <c r="E80" i="1"/>
  <c r="E91" i="1"/>
  <c r="AI90" i="1" s="1"/>
  <c r="E98" i="1"/>
  <c r="AI95" i="1" s="1"/>
  <c r="E56" i="1"/>
  <c r="E36" i="1"/>
  <c r="E72" i="1"/>
  <c r="E53" i="1"/>
  <c r="E75" i="1"/>
  <c r="E55" i="1"/>
  <c r="E79" i="1"/>
  <c r="E89" i="1"/>
  <c r="E87" i="1"/>
  <c r="AI69" i="1" l="1"/>
  <c r="AI84" i="1"/>
  <c r="AM56" i="1"/>
  <c r="AI64" i="1"/>
  <c r="E113" i="1"/>
  <c r="AI50" i="1" l="1"/>
  <c r="AI103" i="1" s="1"/>
  <c r="AI17" i="1" s="1"/>
  <c r="H20" i="2"/>
  <c r="G15" i="2"/>
  <c r="F15" i="2"/>
  <c r="C15" i="2"/>
  <c r="F48" i="2"/>
  <c r="E48" i="2"/>
  <c r="H48" i="2" s="1"/>
  <c r="C48" i="2"/>
  <c r="F27" i="2"/>
  <c r="C27" i="2"/>
  <c r="G27" i="2"/>
  <c r="E27" i="2"/>
  <c r="H15" i="2" l="1"/>
  <c r="H27" i="2"/>
  <c r="E110" i="1"/>
  <c r="H110" i="1" s="1"/>
  <c r="K110" i="1" s="1"/>
  <c r="N110" i="1" s="1"/>
  <c r="Q110" i="1" s="1"/>
  <c r="T110" i="1" s="1"/>
  <c r="W110" i="1" s="1"/>
  <c r="Z110" i="1" s="1"/>
  <c r="AC110" i="1" s="1"/>
  <c r="E112" i="1"/>
  <c r="H112" i="1" s="1"/>
  <c r="K112" i="1" s="1"/>
  <c r="N112" i="1" s="1"/>
  <c r="Q112" i="1" s="1"/>
  <c r="T112" i="1" s="1"/>
  <c r="W112" i="1" s="1"/>
  <c r="Z112" i="1" s="1"/>
  <c r="AC112" i="1" s="1"/>
  <c r="AM94" i="1"/>
  <c r="AM85" i="1"/>
  <c r="AM63" i="1"/>
  <c r="AM61" i="1"/>
  <c r="AM60" i="1"/>
  <c r="AM59" i="1"/>
  <c r="AM51" i="1"/>
  <c r="AM49" i="1"/>
  <c r="AM48" i="1"/>
  <c r="AM47" i="1"/>
  <c r="AM45" i="1"/>
  <c r="AM41" i="1"/>
  <c r="G25" i="1"/>
  <c r="AK27" i="1" s="1"/>
  <c r="AI16" i="1" l="1"/>
  <c r="AI18" i="1" s="1"/>
  <c r="AI104" i="1"/>
  <c r="AM42" i="1"/>
  <c r="AN24" i="1"/>
  <c r="E24" i="1" l="1"/>
  <c r="AM86" i="1" l="1"/>
  <c r="AM62" i="1"/>
  <c r="E50" i="1"/>
  <c r="AM97" i="1"/>
  <c r="AM98" i="1"/>
  <c r="AM99" i="1"/>
  <c r="AM100" i="1"/>
  <c r="AM101" i="1"/>
  <c r="AM102" i="1"/>
  <c r="AM96" i="1"/>
  <c r="AM92" i="1"/>
  <c r="AM93" i="1"/>
  <c r="AM91" i="1"/>
  <c r="AM87" i="1"/>
  <c r="AM88" i="1"/>
  <c r="AM89" i="1"/>
  <c r="AM70" i="1"/>
  <c r="AM83" i="1"/>
  <c r="AM75" i="1"/>
  <c r="AM76" i="1"/>
  <c r="AM78" i="1"/>
  <c r="AM79" i="1"/>
  <c r="AM80" i="1"/>
  <c r="AM81" i="1"/>
  <c r="AM82" i="1"/>
  <c r="AM74" i="1"/>
  <c r="AM72" i="1"/>
  <c r="AM71" i="1"/>
  <c r="AM68" i="1"/>
  <c r="AM67" i="1"/>
  <c r="AM66" i="1"/>
  <c r="AM65" i="1"/>
  <c r="AM54" i="1"/>
  <c r="AM55" i="1"/>
  <c r="AM53" i="1"/>
  <c r="AM52" i="1"/>
  <c r="AM36" i="1"/>
  <c r="AM37" i="1"/>
  <c r="AM38" i="1"/>
  <c r="AM39" i="1"/>
  <c r="AM40" i="1"/>
  <c r="AM35" i="1"/>
  <c r="AM34" i="1"/>
  <c r="E33" i="1"/>
  <c r="E42" i="1"/>
  <c r="E46" i="1"/>
  <c r="E64" i="1"/>
  <c r="E69" i="1"/>
  <c r="E84" i="1"/>
  <c r="E90" i="1"/>
  <c r="E95" i="1"/>
  <c r="AM77" i="1" l="1"/>
  <c r="AM57" i="1"/>
  <c r="AM50" i="1" s="1"/>
  <c r="E103" i="1"/>
  <c r="E41" i="2" l="1"/>
  <c r="D41" i="2"/>
  <c r="B41" i="2"/>
  <c r="F36" i="2"/>
  <c r="G36" i="2"/>
  <c r="E36" i="2"/>
  <c r="D36" i="2"/>
  <c r="B36" i="2"/>
  <c r="F31" i="2"/>
  <c r="E31" i="2"/>
  <c r="C31" i="2"/>
  <c r="B31" i="2"/>
  <c r="F19" i="2"/>
  <c r="E19" i="2"/>
  <c r="D19" i="2"/>
  <c r="B19" i="2"/>
  <c r="G31" i="2" l="1"/>
  <c r="C19" i="2"/>
  <c r="G41" i="2"/>
  <c r="B51" i="2"/>
  <c r="G19" i="2"/>
  <c r="F41" i="2"/>
  <c r="D31" i="2"/>
  <c r="C36" i="2"/>
  <c r="H36" i="2" s="1"/>
  <c r="H38" i="2" s="1"/>
  <c r="C41" i="2"/>
  <c r="G51" i="2" l="1"/>
  <c r="H19" i="2"/>
  <c r="H21" i="2" s="1"/>
  <c r="H24" i="2"/>
  <c r="H28" i="2" s="1"/>
  <c r="H46" i="2"/>
  <c r="H49" i="2" s="1"/>
  <c r="F51" i="2"/>
  <c r="D51" i="2"/>
  <c r="H31" i="2"/>
  <c r="H33" i="2" s="1"/>
  <c r="E51" i="2"/>
  <c r="H41" i="2"/>
  <c r="H43" i="2" s="1"/>
  <c r="C51" i="2"/>
  <c r="H9" i="2"/>
  <c r="H16" i="2" s="1"/>
  <c r="H51" i="2" l="1"/>
  <c r="B109" i="1"/>
  <c r="B95" i="1"/>
  <c r="B91" i="1"/>
  <c r="B90" i="1" s="1"/>
  <c r="B84" i="1"/>
  <c r="B69" i="1"/>
  <c r="B64" i="1"/>
  <c r="B34" i="1"/>
  <c r="D26" i="1"/>
  <c r="D25" i="1"/>
  <c r="D24" i="1"/>
  <c r="B17" i="1"/>
  <c r="B16" i="1"/>
  <c r="B46" i="1"/>
  <c r="B44" i="1"/>
  <c r="B43" i="1"/>
  <c r="B42" i="1" s="1"/>
  <c r="B41" i="1"/>
  <c r="B40" i="1"/>
  <c r="B39" i="1"/>
  <c r="AN26" i="1"/>
  <c r="G27" i="1"/>
  <c r="B27" i="1"/>
  <c r="AI27" i="1" s="1"/>
  <c r="AN23" i="1"/>
  <c r="D23" i="1"/>
  <c r="B15" i="1"/>
  <c r="B14" i="1"/>
  <c r="B13" i="1"/>
  <c r="AL12" i="1"/>
  <c r="B114" i="1" l="1"/>
  <c r="E109" i="1"/>
  <c r="B12" i="1"/>
  <c r="B18" i="1" s="1"/>
  <c r="B33" i="1"/>
  <c r="AN25" i="1"/>
  <c r="AM27" i="1"/>
  <c r="D27" i="1"/>
  <c r="B104" i="1" s="1"/>
  <c r="B50" i="1"/>
  <c r="AM84" i="1"/>
  <c r="E27" i="1"/>
  <c r="H27" i="1" s="1"/>
  <c r="K27" i="1" s="1"/>
  <c r="N27" i="1" s="1"/>
  <c r="Q27" i="1" s="1"/>
  <c r="T27" i="1" s="1"/>
  <c r="W27" i="1" s="1"/>
  <c r="Z27" i="1" s="1"/>
  <c r="AC27" i="1" s="1"/>
  <c r="AM33" i="1"/>
  <c r="AM69" i="1"/>
  <c r="H109" i="1" l="1"/>
  <c r="E114" i="1"/>
  <c r="AM64" i="1"/>
  <c r="AM95" i="1"/>
  <c r="AM90" i="1"/>
  <c r="AN27" i="1"/>
  <c r="AL24" i="1"/>
  <c r="AM46" i="1"/>
  <c r="K109" i="1" l="1"/>
  <c r="H114" i="1"/>
  <c r="AL80" i="1"/>
  <c r="AL73" i="1"/>
  <c r="AM103" i="1"/>
  <c r="AL17" i="1" s="1"/>
  <c r="AL99" i="1"/>
  <c r="AL92" i="1"/>
  <c r="AL87" i="1"/>
  <c r="AL83" i="1"/>
  <c r="AL79" i="1"/>
  <c r="AL76" i="1"/>
  <c r="AL72" i="1"/>
  <c r="AL59" i="1"/>
  <c r="AL55" i="1"/>
  <c r="AL44" i="1"/>
  <c r="AL38" i="1"/>
  <c r="AL36" i="1"/>
  <c r="AL103" i="1"/>
  <c r="AL102" i="1"/>
  <c r="AL101" i="1"/>
  <c r="AL98" i="1"/>
  <c r="AL88" i="1"/>
  <c r="AL86" i="1"/>
  <c r="AL82" i="1"/>
  <c r="AL60" i="1"/>
  <c r="AL39" i="1"/>
  <c r="AL81" i="1"/>
  <c r="AL70" i="1"/>
  <c r="AL61" i="1"/>
  <c r="AL54" i="1"/>
  <c r="AL41" i="1"/>
  <c r="AL71" i="1"/>
  <c r="AL34" i="1"/>
  <c r="AL77" i="1"/>
  <c r="AL78" i="1"/>
  <c r="AL52" i="1"/>
  <c r="AL68" i="1"/>
  <c r="AL65" i="1"/>
  <c r="AL48" i="1"/>
  <c r="AL43" i="1"/>
  <c r="AL96" i="1"/>
  <c r="AL91" i="1"/>
  <c r="AL89" i="1"/>
  <c r="AL85" i="1"/>
  <c r="AL63" i="1"/>
  <c r="AL51" i="1"/>
  <c r="AL56" i="1"/>
  <c r="AL84" i="1"/>
  <c r="AL62" i="1"/>
  <c r="AL49" i="1"/>
  <c r="AL74" i="1"/>
  <c r="AL37" i="1"/>
  <c r="AL35" i="1"/>
  <c r="AL100" i="1"/>
  <c r="AL64" i="1"/>
  <c r="AL47" i="1"/>
  <c r="AL67" i="1"/>
  <c r="AL97" i="1"/>
  <c r="AL40" i="1"/>
  <c r="AL93" i="1"/>
  <c r="AL42" i="1"/>
  <c r="AL53" i="1"/>
  <c r="AL75" i="1"/>
  <c r="AL94" i="1"/>
  <c r="AL90" i="1"/>
  <c r="AL66" i="1"/>
  <c r="AL57" i="1"/>
  <c r="AL50" i="1"/>
  <c r="AL95" i="1"/>
  <c r="AL69" i="1"/>
  <c r="AL27" i="1"/>
  <c r="AL25" i="1"/>
  <c r="AL26" i="1"/>
  <c r="AL33" i="1"/>
  <c r="AL16" i="1"/>
  <c r="AL46" i="1"/>
  <c r="AL45" i="1" l="1"/>
  <c r="AL58" i="1"/>
  <c r="N109" i="1"/>
  <c r="K114" i="1"/>
  <c r="AL18" i="1"/>
  <c r="AL104" i="1"/>
  <c r="E104" i="1"/>
  <c r="Q109" i="1" l="1"/>
  <c r="N114" i="1"/>
  <c r="Q114" i="1" l="1"/>
  <c r="T109" i="1"/>
  <c r="T114" i="1" l="1"/>
  <c r="W109" i="1"/>
  <c r="W114" i="1" l="1"/>
  <c r="Z109" i="1"/>
  <c r="AC109" i="1" l="1"/>
  <c r="AC114" i="1" s="1"/>
  <c r="Z114" i="1"/>
</calcChain>
</file>

<file path=xl/sharedStrings.xml><?xml version="1.0" encoding="utf-8"?>
<sst xmlns="http://schemas.openxmlformats.org/spreadsheetml/2006/main" count="270" uniqueCount="158">
  <si>
    <t>Bens da ANIPA</t>
  </si>
  <si>
    <t>JAN</t>
  </si>
  <si>
    <t>Acumulado 2019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</si>
  <si>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</si>
  <si>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</si>
  <si>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</si>
  <si>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</si>
  <si>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</si>
  <si>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</si>
  <si>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</si>
  <si>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</si>
  <si>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</si>
  <si>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</si>
  <si>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</si>
  <si>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</si>
  <si>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</si>
  <si>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</si>
  <si>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</si>
  <si>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</si>
  <si>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</si>
  <si>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</si>
  <si>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</si>
  <si>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</si>
  <si>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</si>
  <si>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</si>
  <si>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</si>
  <si>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</si>
  <si>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</si>
  <si>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Consultoria/Assessoria Técnica (Fin, Cont, TI)</t>
  </si>
  <si>
    <t>Telemarketing (associados regular termos)</t>
  </si>
  <si>
    <t>Assessoria Comunicação</t>
  </si>
  <si>
    <t xml:space="preserve">Serviços eventuais de apoio </t>
  </si>
  <si>
    <t>Custos das Ações</t>
  </si>
  <si>
    <t>Honorários mensais das ações</t>
  </si>
  <si>
    <t>Taxas de ajuizamento de ações</t>
  </si>
  <si>
    <t>Registros/Cartórios/Publicações</t>
  </si>
  <si>
    <t>Registros e Taxas(Cart, Pref, RF...)</t>
  </si>
  <si>
    <t>Cartórios (Aut, Doc, Rec Firma)</t>
  </si>
  <si>
    <t>Publicações Legais/Editais</t>
  </si>
  <si>
    <t>Tecnologia</t>
  </si>
  <si>
    <t>Desenvolvimento/Hospedagem SITE e Sistema inicial</t>
  </si>
  <si>
    <t>Desenvolvimento novo SITE</t>
  </si>
  <si>
    <t xml:space="preserve">Hospedagem/Manutenção novo SITE </t>
  </si>
  <si>
    <t>Serviço de E-mail</t>
  </si>
  <si>
    <t>Desenv/Serviço Sist Assembleia Virtual</t>
  </si>
  <si>
    <t>Desenv/Serviço Sist Eleição Virtual</t>
  </si>
  <si>
    <t>Desenv/Serviço Fórum Site ANIPA</t>
  </si>
  <si>
    <t>Registro Domínio ANIPA</t>
  </si>
  <si>
    <t>Certificado Segurança SITE / Certificado Digital</t>
  </si>
  <si>
    <t>Bancos/Impostos/Juros</t>
  </si>
  <si>
    <t>Tarifas Bancárias CAIXA</t>
  </si>
  <si>
    <t>IRRF/IOF operações financeiras (sobre os investimentos)</t>
  </si>
  <si>
    <t>Despesas com Juros/Outras despesas financeiras</t>
  </si>
  <si>
    <t xml:space="preserve">Escritório ANIPA </t>
  </si>
  <si>
    <t>Móveis/Utensílios</t>
  </si>
  <si>
    <t>Softwares (Office, Antivírus, Adobe mensal)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</si>
  <si>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</si>
  <si>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</si>
  <si>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</si>
  <si>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</si>
  <si>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Manutenção (de computadores, impressora)</t>
  </si>
  <si>
    <t>Higiene e Limpeza (material e serviço)</t>
  </si>
  <si>
    <t>Serviço de Seleção e Recrutamento</t>
  </si>
  <si>
    <t>Salários (mês, 13°, férias, rescisão)</t>
  </si>
  <si>
    <t>Outros Serviços</t>
  </si>
  <si>
    <t>Serv. Gráficos/Digitalizações/Cópias</t>
  </si>
  <si>
    <t>Serviços MSN/Telefonia</t>
  </si>
  <si>
    <t>Motoboy</t>
  </si>
  <si>
    <t>Correios</t>
  </si>
  <si>
    <t>Deslocamento (para serviços externos)</t>
  </si>
  <si>
    <t>Outros</t>
  </si>
  <si>
    <t>Apoio a mobilizações</t>
  </si>
  <si>
    <t>Devoluções/Recebimentos indevidos</t>
  </si>
  <si>
    <t>Participações em outras associações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</si>
  <si>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</si>
  <si>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</si>
  <si>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</si>
  <si>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</si>
  <si>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</si>
  <si>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</si>
  <si>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</si>
  <si>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t>Total Despesas</t>
  </si>
  <si>
    <t>Resultado / Saldo em Conta</t>
  </si>
  <si>
    <t>Investimentos</t>
  </si>
  <si>
    <t>Caixa FIC GIRO EMPRESAS</t>
  </si>
  <si>
    <t>CDB Flex Empresarial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</si>
  <si>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</si>
  <si>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</si>
  <si>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</si>
  <si>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</si>
  <si>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ANIPA.</t>
  </si>
  <si>
    <t>Acumulado até 2019</t>
  </si>
  <si>
    <t>Despesas Acumuladas até 2019</t>
  </si>
  <si>
    <t>Acumulado 2020</t>
  </si>
  <si>
    <t>PRESIDÊNCIA</t>
  </si>
  <si>
    <t>Pernoites</t>
  </si>
  <si>
    <t>Passagens</t>
  </si>
  <si>
    <t>Combustível</t>
  </si>
  <si>
    <t>Táxi</t>
  </si>
  <si>
    <t>Outros (1)</t>
  </si>
  <si>
    <t>Total</t>
  </si>
  <si>
    <t>JURÍDICO</t>
  </si>
  <si>
    <t>Hotel</t>
  </si>
  <si>
    <t>FINANCEIRO</t>
  </si>
  <si>
    <t>TÉCNICO</t>
  </si>
  <si>
    <t>COMUNICAÇÃO</t>
  </si>
  <si>
    <t>CONSELHO FISCAL / SUPLENTE</t>
  </si>
  <si>
    <t>ASSOCIADOS / PRESTADOR DE SERVIÇO / FUNCIONÁRIOS</t>
  </si>
  <si>
    <t>TOTAL GERAL</t>
  </si>
  <si>
    <t>(1) despesas com pedágios, estacionamento, alimentação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</si>
  <si>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</si>
  <si>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(2)</t>
    </r>
  </si>
  <si>
    <r>
      <t>Impostos recolhidos à terceiros (INSS, IR, CONTR. FEDER...)</t>
    </r>
    <r>
      <rPr>
        <sz val="8"/>
        <rFont val="Calibri"/>
        <family val="2"/>
        <scheme val="minor"/>
      </rPr>
      <t>(2)</t>
    </r>
  </si>
  <si>
    <t>(2) Pagamento em duplicidade de algumas DARFs</t>
  </si>
  <si>
    <t>Reforma escritório</t>
  </si>
  <si>
    <r>
      <t xml:space="preserve">Serviço de Mensagens por celular </t>
    </r>
    <r>
      <rPr>
        <sz val="8"/>
        <rFont val="Calibri"/>
        <family val="2"/>
        <scheme val="minor"/>
      </rPr>
      <t>(3)</t>
    </r>
  </si>
  <si>
    <t>(3) Pagamento em atraso mensalidade de dez/2019</t>
  </si>
  <si>
    <t>Locação sala Eventos/Assembleia/Equipamentos/Hotel</t>
  </si>
  <si>
    <t xml:space="preserve">(4) Investimento realizado indevidamente pela agência bancária, sem anuência da ANIPA. Valor integral da  aplicação devolvido mediante crédito em conta. </t>
  </si>
  <si>
    <r>
      <rPr>
        <b/>
        <sz val="10"/>
        <color theme="1"/>
        <rFont val="Calibri"/>
        <family val="2"/>
        <scheme val="minor"/>
      </rPr>
      <t xml:space="preserve">18/12 a 19/12/2019 </t>
    </r>
    <r>
      <rPr>
        <sz val="10"/>
        <color theme="1"/>
        <rFont val="Calibri"/>
        <family val="2"/>
        <scheme val="minor"/>
      </rPr>
      <t xml:space="preserve">- Porto Alegre/RS - Despesas nova funcionária contratada pela ANIPA como Assistente de Comunicação.  </t>
    </r>
  </si>
  <si>
    <r>
      <rPr>
        <b/>
        <sz val="10"/>
        <color theme="1"/>
        <rFont val="Calibri"/>
        <family val="2"/>
        <scheme val="minor"/>
      </rPr>
      <t>19/12/2019</t>
    </r>
    <r>
      <rPr>
        <sz val="10"/>
        <color theme="1"/>
        <rFont val="Calibri"/>
        <family val="2"/>
        <scheme val="minor"/>
      </rPr>
      <t xml:space="preserve"> - Brasília/DF - Despesas Presidente Vania Lacerda para reunião em Brasília</t>
    </r>
  </si>
  <si>
    <r>
      <t>Bolsa Americana Multimercado (encerrado)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(4)</t>
    </r>
  </si>
  <si>
    <t>FEV</t>
  </si>
  <si>
    <t>Assinatura de jornais, revistas, publicações</t>
  </si>
  <si>
    <r>
      <rPr>
        <b/>
        <sz val="10"/>
        <color theme="1"/>
        <rFont val="Calibri"/>
        <family val="2"/>
        <scheme val="minor"/>
      </rPr>
      <t xml:space="preserve">30/01/2020 </t>
    </r>
    <r>
      <rPr>
        <sz val="10"/>
        <color theme="1"/>
        <rFont val="Calibri"/>
        <family val="2"/>
        <scheme val="minor"/>
      </rPr>
      <t>- Brasília/DF - Despesas Presidente Vania Lacerda para participar da Mobilização do Quórum Qualificado</t>
    </r>
  </si>
  <si>
    <r>
      <rPr>
        <b/>
        <sz val="10"/>
        <color theme="1"/>
        <rFont val="Calibri"/>
        <family val="2"/>
        <scheme val="minor"/>
      </rPr>
      <t xml:space="preserve">30/01/2020 </t>
    </r>
    <r>
      <rPr>
        <sz val="10"/>
        <color theme="1"/>
        <rFont val="Calibri"/>
        <family val="2"/>
        <scheme val="minor"/>
      </rPr>
      <t>- Brasília/DF - Despesas Diretora Jurídica Helena O. Santiago para participar da Mobilização do Quórum Qualificado</t>
    </r>
  </si>
  <si>
    <r>
      <rPr>
        <b/>
        <sz val="10"/>
        <color theme="1"/>
        <rFont val="Calibri"/>
        <family val="2"/>
        <scheme val="minor"/>
      </rPr>
      <t>06/01 a 10/01/2020</t>
    </r>
    <r>
      <rPr>
        <sz val="10"/>
        <color theme="1"/>
        <rFont val="Calibri"/>
        <family val="2"/>
        <scheme val="minor"/>
      </rPr>
      <t xml:space="preserve"> - Porto Alegre/RS - Despesas Diretor Financeiro Emir Franzoi para cubrir as férias da Auxiliar Financeira </t>
    </r>
  </si>
  <si>
    <r>
      <rPr>
        <b/>
        <sz val="10"/>
        <color theme="1"/>
        <rFont val="Calibri"/>
        <family val="2"/>
        <scheme val="minor"/>
      </rPr>
      <t xml:space="preserve">13/02/2020 </t>
    </r>
    <r>
      <rPr>
        <sz val="10"/>
        <color theme="1"/>
        <rFont val="Calibri"/>
        <family val="2"/>
        <scheme val="minor"/>
      </rPr>
      <t>- Brasília/DF - Despesas Presidente Vania Lacerda para participar Reunião DIBEN-FUNCEF</t>
    </r>
  </si>
  <si>
    <r>
      <rPr>
        <b/>
        <sz val="10"/>
        <color theme="1"/>
        <rFont val="Calibri"/>
        <family val="2"/>
        <scheme val="minor"/>
      </rPr>
      <t xml:space="preserve">30/01/2020 </t>
    </r>
    <r>
      <rPr>
        <sz val="10"/>
        <color theme="1"/>
        <rFont val="Calibri"/>
        <family val="2"/>
        <scheme val="minor"/>
      </rPr>
      <t>- Brasília/DF - Despesas Vice-Presidente Geraldo A. da Silva para participar da Mobilização do Quórum Qualificado</t>
    </r>
  </si>
  <si>
    <r>
      <rPr>
        <b/>
        <sz val="10"/>
        <color theme="1"/>
        <rFont val="Calibri"/>
        <family val="2"/>
        <scheme val="minor"/>
      </rPr>
      <t xml:space="preserve">30/01/2020 </t>
    </r>
    <r>
      <rPr>
        <sz val="10"/>
        <color theme="1"/>
        <rFont val="Calibri"/>
        <family val="2"/>
        <scheme val="minor"/>
      </rPr>
      <t>- Brasília/DF - Despesas Diretor Financeiro Emir Franzoi para participar da Mobilização do Quórum Qualificado</t>
    </r>
  </si>
  <si>
    <t>MAR</t>
  </si>
  <si>
    <r>
      <rPr>
        <b/>
        <sz val="10"/>
        <color theme="1"/>
        <rFont val="Calibri"/>
        <family val="2"/>
        <scheme val="minor"/>
      </rPr>
      <t xml:space="preserve">12/03/2020 </t>
    </r>
    <r>
      <rPr>
        <sz val="10"/>
        <color theme="1"/>
        <rFont val="Calibri"/>
        <family val="2"/>
        <scheme val="minor"/>
      </rPr>
      <t xml:space="preserve">- Despesas Vice-Presidente Geraldo A. da Silva para reunião da diretoria em Belo Horizonte. </t>
    </r>
  </si>
  <si>
    <r>
      <rPr>
        <b/>
        <sz val="10"/>
        <color theme="1"/>
        <rFont val="Calibri"/>
        <family val="2"/>
        <scheme val="minor"/>
      </rPr>
      <t xml:space="preserve">12/03/2020 </t>
    </r>
    <r>
      <rPr>
        <sz val="10"/>
        <color theme="1"/>
        <rFont val="Calibri"/>
        <family val="2"/>
        <scheme val="minor"/>
      </rPr>
      <t xml:space="preserve">- Despesas Presidente Vania Lacerda para reunião da diretoria em Belo Horizonte. </t>
    </r>
  </si>
  <si>
    <r>
      <rPr>
        <b/>
        <sz val="10"/>
        <color theme="1"/>
        <rFont val="Calibri"/>
        <family val="2"/>
        <scheme val="minor"/>
      </rPr>
      <t xml:space="preserve">12/03/2020 </t>
    </r>
    <r>
      <rPr>
        <sz val="10"/>
        <color theme="1"/>
        <rFont val="Calibri"/>
        <family val="2"/>
        <scheme val="minor"/>
      </rPr>
      <t xml:space="preserve">- Despesas Diretor Financeiro Emir Franzoi para reunião da diretoria em Belo Horizonte. </t>
    </r>
  </si>
  <si>
    <r>
      <rPr>
        <b/>
        <sz val="10"/>
        <color theme="1"/>
        <rFont val="Calibri"/>
        <family val="2"/>
        <scheme val="minor"/>
      </rPr>
      <t xml:space="preserve">12/03/2020 </t>
    </r>
    <r>
      <rPr>
        <sz val="10"/>
        <color theme="1"/>
        <rFont val="Calibri"/>
        <family val="2"/>
        <scheme val="minor"/>
      </rPr>
      <t xml:space="preserve">- Despesas Diretor Técnico Ivan G. Thiesen para reunião da diretoria em Belo Horizonte. </t>
    </r>
  </si>
  <si>
    <r>
      <rPr>
        <b/>
        <sz val="10"/>
        <color theme="1"/>
        <rFont val="Calibri"/>
        <family val="2"/>
        <scheme val="minor"/>
      </rPr>
      <t xml:space="preserve">12/03/2020 </t>
    </r>
    <r>
      <rPr>
        <sz val="10"/>
        <color theme="1"/>
        <rFont val="Calibri"/>
        <family val="2"/>
        <scheme val="minor"/>
      </rPr>
      <t xml:space="preserve">- Despesas Diretora de Comunicação Glória F. Gonçalves para reunião da diretoria em Belo Horizonte. </t>
    </r>
  </si>
  <si>
    <r>
      <rPr>
        <b/>
        <sz val="10"/>
        <color theme="1"/>
        <rFont val="Calibri"/>
        <family val="2"/>
        <scheme val="minor"/>
      </rPr>
      <t xml:space="preserve">12/03/2020 </t>
    </r>
    <r>
      <rPr>
        <sz val="10"/>
        <color theme="1"/>
        <rFont val="Calibri"/>
        <family val="2"/>
        <scheme val="minor"/>
      </rPr>
      <t xml:space="preserve">- Despesas Advogados André Ibañez e Rodrigo Leitão para reunião da diretoria em Belo Horizonte. </t>
    </r>
  </si>
  <si>
    <t>ABR</t>
  </si>
  <si>
    <t>(5) Ajuizamento de Ação Quórum Qualificado no valor de R$ 50.000,00 em 2x</t>
  </si>
  <si>
    <r>
      <t>Honorários Advocatícios Iniciais Ações</t>
    </r>
    <r>
      <rPr>
        <sz val="8"/>
        <rFont val="Calibri"/>
        <family val="2"/>
        <scheme val="minor"/>
      </rPr>
      <t xml:space="preserve"> (5)</t>
    </r>
  </si>
  <si>
    <t xml:space="preserve">Caixa FIC SIGMA </t>
  </si>
  <si>
    <t>MAI</t>
  </si>
  <si>
    <t xml:space="preserve"> </t>
  </si>
  <si>
    <t>JUN</t>
  </si>
  <si>
    <t>JUL</t>
  </si>
  <si>
    <r>
      <t xml:space="preserve">Plataforma de assinatura eletrônica </t>
    </r>
    <r>
      <rPr>
        <sz val="8"/>
        <rFont val="Calibri"/>
        <family val="2"/>
        <scheme val="minor"/>
      </rPr>
      <t>(6)</t>
    </r>
  </si>
  <si>
    <t>(6) Contratação de plataforma de assinatura eletrônica para assinaturas de atas e documentos necessários em razão da pandemia de COVID-19 que</t>
  </si>
  <si>
    <t xml:space="preserve">       impossibilita a reunião presencial de diretores e conselheiros.</t>
  </si>
  <si>
    <t>AGO</t>
  </si>
  <si>
    <t>SENHA DESBLOQUEIO PLANILHA 3279</t>
  </si>
  <si>
    <t>SET</t>
  </si>
  <si>
    <r>
      <t xml:space="preserve">CONTROLE FINANCEIRO 2020
</t>
    </r>
    <r>
      <rPr>
        <b/>
        <sz val="12"/>
        <rFont val="Calibri"/>
        <family val="2"/>
        <scheme val="minor"/>
      </rPr>
      <t>Posição OUTUBRO</t>
    </r>
  </si>
  <si>
    <r>
      <t xml:space="preserve">DESPESAS COM VIAGENS 2020
</t>
    </r>
    <r>
      <rPr>
        <b/>
        <sz val="12"/>
        <rFont val="Calibri"/>
        <family val="2"/>
        <scheme val="minor"/>
      </rPr>
      <t>Posição OUTUBRO</t>
    </r>
  </si>
  <si>
    <t>OUT</t>
  </si>
  <si>
    <t xml:space="preserve">Desenvolvimento Sistema de Cadastros ANIPA </t>
  </si>
  <si>
    <t xml:space="preserve">Hospedagem / Manutenção Sistema de Cadastros ANIPA </t>
  </si>
  <si>
    <t>Computadores 4, impressoras 1, celular 1</t>
  </si>
  <si>
    <t>Caixa FIC PREMIUM - mudou para FIC RUBI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</si>
</sst>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87A4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vertical="center"/>
    </xf>
    <xf numFmtId="0" fontId="6" fillId="8" borderId="1" xfId="0" applyFont="1" applyFill="1" applyBorder="1"/>
    <xf numFmtId="0" fontId="9" fillId="10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 vertical="center" wrapText="1"/>
    </xf>
    <xf numFmtId="164" fontId="10" fillId="7" borderId="1" xfId="0" applyNumberFormat="1" applyFont="1" applyFill="1" applyBorder="1" applyAlignment="1">
      <alignment horizontal="right"/>
    </xf>
    <xf numFmtId="3" fontId="10" fillId="7" borderId="1" xfId="0" applyNumberFormat="1" applyFont="1" applyFill="1" applyBorder="1"/>
    <xf numFmtId="164" fontId="10" fillId="7" borderId="1" xfId="0" applyNumberFormat="1" applyFont="1" applyFill="1" applyBorder="1"/>
    <xf numFmtId="0" fontId="6" fillId="7" borderId="1" xfId="0" applyFont="1" applyFill="1" applyBorder="1"/>
    <xf numFmtId="10" fontId="11" fillId="7" borderId="1" xfId="0" applyNumberFormat="1" applyFont="1" applyFill="1" applyBorder="1"/>
    <xf numFmtId="0" fontId="6" fillId="13" borderId="1" xfId="0" applyFont="1" applyFill="1" applyBorder="1"/>
    <xf numFmtId="164" fontId="6" fillId="13" borderId="1" xfId="0" applyNumberFormat="1" applyFont="1" applyFill="1" applyBorder="1"/>
    <xf numFmtId="10" fontId="11" fillId="8" borderId="1" xfId="0" applyNumberFormat="1" applyFont="1" applyFill="1" applyBorder="1"/>
    <xf numFmtId="3" fontId="6" fillId="8" borderId="1" xfId="0" applyNumberFormat="1" applyFont="1" applyFill="1" applyBorder="1"/>
    <xf numFmtId="164" fontId="6" fillId="8" borderId="1" xfId="0" applyNumberFormat="1" applyFont="1" applyFill="1" applyBorder="1"/>
    <xf numFmtId="0" fontId="10" fillId="8" borderId="1" xfId="0" applyFont="1" applyFill="1" applyBorder="1"/>
    <xf numFmtId="0" fontId="9" fillId="14" borderId="1" xfId="0" applyFont="1" applyFill="1" applyBorder="1"/>
    <xf numFmtId="40" fontId="8" fillId="14" borderId="1" xfId="0" applyNumberFormat="1" applyFont="1" applyFill="1" applyBorder="1"/>
    <xf numFmtId="10" fontId="12" fillId="14" borderId="1" xfId="0" applyNumberFormat="1" applyFont="1" applyFill="1" applyBorder="1"/>
    <xf numFmtId="165" fontId="9" fillId="6" borderId="1" xfId="0" applyNumberFormat="1" applyFont="1" applyFill="1" applyBorder="1" applyAlignment="1">
      <alignment horizontal="right"/>
    </xf>
    <xf numFmtId="40" fontId="9" fillId="6" borderId="1" xfId="0" applyNumberFormat="1" applyFont="1" applyFill="1" applyBorder="1"/>
    <xf numFmtId="0" fontId="13" fillId="4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 applyProtection="1">
      <alignment horizontal="center"/>
      <protection locked="0"/>
    </xf>
    <xf numFmtId="0" fontId="10" fillId="8" borderId="1" xfId="0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10" fillId="8" borderId="1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10" fontId="9" fillId="3" borderId="1" xfId="0" applyNumberFormat="1" applyFont="1" applyFill="1" applyBorder="1" applyAlignment="1">
      <alignment horizontal="right"/>
    </xf>
    <xf numFmtId="0" fontId="8" fillId="14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4" fontId="9" fillId="8" borderId="0" xfId="0" applyNumberFormat="1" applyFont="1" applyFill="1" applyAlignment="1">
      <alignment horizontal="right"/>
    </xf>
    <xf numFmtId="4" fontId="14" fillId="8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16" fillId="0" borderId="0" xfId="0" applyFont="1"/>
    <xf numFmtId="40" fontId="9" fillId="8" borderId="0" xfId="0" applyNumberFormat="1" applyFont="1" applyFill="1"/>
    <xf numFmtId="0" fontId="9" fillId="0" borderId="0" xfId="0" applyFont="1"/>
    <xf numFmtId="0" fontId="9" fillId="10" borderId="7" xfId="0" applyFont="1" applyFill="1" applyBorder="1" applyAlignment="1">
      <alignment horizontal="center" vertical="center"/>
    </xf>
    <xf numFmtId="0" fontId="6" fillId="0" borderId="1" xfId="0" applyFont="1" applyBorder="1"/>
    <xf numFmtId="0" fontId="9" fillId="5" borderId="1" xfId="0" applyFont="1" applyFill="1" applyBorder="1" applyAlignment="1">
      <alignment horizontal="center"/>
    </xf>
    <xf numFmtId="10" fontId="8" fillId="12" borderId="1" xfId="0" applyNumberFormat="1" applyFont="1" applyFill="1" applyBorder="1" applyAlignment="1">
      <alignment horizontal="right"/>
    </xf>
    <xf numFmtId="10" fontId="10" fillId="8" borderId="1" xfId="0" applyNumberFormat="1" applyFont="1" applyFill="1" applyBorder="1" applyAlignment="1">
      <alignment horizontal="right"/>
    </xf>
    <xf numFmtId="10" fontId="10" fillId="8" borderId="1" xfId="1" applyNumberFormat="1" applyFont="1" applyFill="1" applyBorder="1" applyAlignment="1">
      <alignment horizontal="right"/>
    </xf>
    <xf numFmtId="0" fontId="6" fillId="8" borderId="7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8" borderId="0" xfId="0" applyNumberFormat="1" applyFont="1" applyFill="1" applyAlignment="1">
      <alignment vertical="center" wrapText="1"/>
    </xf>
    <xf numFmtId="0" fontId="0" fillId="8" borderId="0" xfId="0" applyFill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6" fillId="0" borderId="0" xfId="0" applyFont="1"/>
    <xf numFmtId="0" fontId="9" fillId="1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 vertical="center"/>
    </xf>
    <xf numFmtId="4" fontId="9" fillId="8" borderId="1" xfId="0" applyNumberFormat="1" applyFont="1" applyFill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right"/>
    </xf>
    <xf numFmtId="40" fontId="2" fillId="3" borderId="1" xfId="0" applyNumberFormat="1" applyFont="1" applyFill="1" applyBorder="1" applyAlignment="1">
      <alignment horizontal="right"/>
    </xf>
    <xf numFmtId="164" fontId="9" fillId="8" borderId="1" xfId="0" applyNumberFormat="1" applyFont="1" applyFill="1" applyBorder="1" applyAlignment="1">
      <alignment horizontal="right" vertical="center"/>
    </xf>
    <xf numFmtId="4" fontId="7" fillId="14" borderId="12" xfId="0" applyNumberFormat="1" applyFont="1" applyFill="1" applyBorder="1" applyAlignment="1">
      <alignment horizontal="center"/>
    </xf>
    <xf numFmtId="0" fontId="0" fillId="8" borderId="0" xfId="0" applyFill="1"/>
    <xf numFmtId="0" fontId="9" fillId="8" borderId="0" xfId="0" applyFont="1" applyFill="1"/>
    <xf numFmtId="0" fontId="9" fillId="8" borderId="0" xfId="0" applyFont="1" applyFill="1" applyAlignment="1">
      <alignment horizontal="center"/>
    </xf>
    <xf numFmtId="4" fontId="13" fillId="17" borderId="7" xfId="0" applyNumberFormat="1" applyFont="1" applyFill="1" applyBorder="1" applyAlignment="1">
      <alignment horizontal="right"/>
    </xf>
    <xf numFmtId="4" fontId="2" fillId="17" borderId="7" xfId="0" applyNumberFormat="1" applyFont="1" applyFill="1" applyBorder="1" applyAlignment="1">
      <alignment horizontal="right"/>
    </xf>
    <xf numFmtId="4" fontId="2" fillId="3" borderId="8" xfId="0" applyNumberFormat="1" applyFont="1" applyFill="1" applyBorder="1" applyAlignment="1">
      <alignment horizontal="right"/>
    </xf>
    <xf numFmtId="4" fontId="2" fillId="17" borderId="1" xfId="0" applyNumberFormat="1" applyFont="1" applyFill="1" applyBorder="1"/>
    <xf numFmtId="4" fontId="2" fillId="8" borderId="0" xfId="0" applyNumberFormat="1" applyFont="1" applyFill="1"/>
    <xf numFmtId="2" fontId="2" fillId="3" borderId="7" xfId="0" applyNumberFormat="1" applyFont="1" applyFill="1" applyBorder="1" applyAlignment="1">
      <alignment horizontal="right"/>
    </xf>
    <xf numFmtId="4" fontId="2" fillId="17" borderId="7" xfId="0" applyNumberFormat="1" applyFont="1" applyFill="1" applyBorder="1"/>
    <xf numFmtId="4" fontId="5" fillId="14" borderId="12" xfId="0" quotePrefix="1" applyNumberFormat="1" applyFont="1" applyFill="1" applyBorder="1" applyAlignment="1">
      <alignment horizontal="center"/>
    </xf>
    <xf numFmtId="0" fontId="11" fillId="0" borderId="0" xfId="0" applyFont="1"/>
    <xf numFmtId="0" fontId="0" fillId="0" borderId="0" xfId="0" applyFont="1"/>
    <xf numFmtId="3" fontId="6" fillId="13" borderId="1" xfId="0" applyNumberFormat="1" applyFont="1" applyFill="1" applyBorder="1"/>
    <xf numFmtId="164" fontId="10" fillId="8" borderId="1" xfId="0" applyNumberFormat="1" applyFont="1" applyFill="1" applyBorder="1" applyAlignment="1">
      <alignment horizontal="right"/>
    </xf>
    <xf numFmtId="0" fontId="9" fillId="10" borderId="5" xfId="0" applyFont="1" applyFill="1" applyBorder="1" applyAlignment="1">
      <alignment horizontal="right" vertical="center" wrapText="1"/>
    </xf>
    <xf numFmtId="3" fontId="8" fillId="11" borderId="5" xfId="0" applyNumberFormat="1" applyFont="1" applyFill="1" applyBorder="1" applyAlignment="1">
      <alignment horizontal="right"/>
    </xf>
    <xf numFmtId="3" fontId="10" fillId="10" borderId="5" xfId="0" applyNumberFormat="1" applyFont="1" applyFill="1" applyBorder="1" applyAlignment="1">
      <alignment horizontal="right"/>
    </xf>
    <xf numFmtId="3" fontId="10" fillId="8" borderId="5" xfId="0" applyNumberFormat="1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0" fontId="9" fillId="10" borderId="4" xfId="0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right" vertical="center" wrapText="1"/>
    </xf>
    <xf numFmtId="0" fontId="9" fillId="10" borderId="6" xfId="0" applyFont="1" applyFill="1" applyBorder="1" applyAlignment="1">
      <alignment horizontal="right" vertical="center" wrapText="1"/>
    </xf>
    <xf numFmtId="3" fontId="8" fillId="11" borderId="4" xfId="0" applyNumberFormat="1" applyFont="1" applyFill="1" applyBorder="1" applyAlignment="1">
      <alignment horizontal="right"/>
    </xf>
    <xf numFmtId="3" fontId="8" fillId="11" borderId="5" xfId="0" applyNumberFormat="1" applyFont="1" applyFill="1" applyBorder="1" applyAlignment="1">
      <alignment horizontal="right"/>
    </xf>
    <xf numFmtId="3" fontId="8" fillId="11" borderId="6" xfId="0" applyNumberFormat="1" applyFont="1" applyFill="1" applyBorder="1" applyAlignment="1">
      <alignment horizontal="right"/>
    </xf>
    <xf numFmtId="3" fontId="10" fillId="10" borderId="4" xfId="0" applyNumberFormat="1" applyFont="1" applyFill="1" applyBorder="1" applyAlignment="1">
      <alignment horizontal="right"/>
    </xf>
    <xf numFmtId="3" fontId="10" fillId="10" borderId="5" xfId="0" applyNumberFormat="1" applyFont="1" applyFill="1" applyBorder="1" applyAlignment="1">
      <alignment horizontal="right"/>
    </xf>
    <xf numFmtId="3" fontId="10" fillId="10" borderId="6" xfId="0" applyNumberFormat="1" applyFont="1" applyFill="1" applyBorder="1" applyAlignment="1">
      <alignment horizontal="right"/>
    </xf>
    <xf numFmtId="3" fontId="10" fillId="8" borderId="4" xfId="0" applyNumberFormat="1" applyFont="1" applyFill="1" applyBorder="1" applyAlignment="1">
      <alignment horizontal="right"/>
    </xf>
    <xf numFmtId="3" fontId="10" fillId="8" borderId="5" xfId="0" applyNumberFormat="1" applyFont="1" applyFill="1" applyBorder="1" applyAlignment="1">
      <alignment horizontal="right"/>
    </xf>
    <xf numFmtId="3" fontId="10" fillId="8" borderId="6" xfId="0" applyNumberFormat="1" applyFont="1" applyFill="1" applyBorder="1" applyAlignment="1">
      <alignment horizontal="right"/>
    </xf>
    <xf numFmtId="0" fontId="8" fillId="8" borderId="4" xfId="0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0" fontId="8" fillId="8" borderId="6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 wrapText="1"/>
    </xf>
    <xf numFmtId="4" fontId="15" fillId="8" borderId="0" xfId="0" applyNumberFormat="1" applyFont="1" applyFill="1" applyAlignment="1">
      <alignment vertical="center" wrapText="1"/>
    </xf>
    <xf numFmtId="0" fontId="0" fillId="0" borderId="0" xfId="0" applyBorder="1"/>
    <xf numFmtId="0" fontId="9" fillId="10" borderId="5" xfId="0" applyFont="1" applyFill="1" applyBorder="1" applyAlignment="1">
      <alignment horizontal="center" vertical="center" wrapText="1"/>
    </xf>
    <xf numFmtId="3" fontId="8" fillId="11" borderId="5" xfId="0" applyNumberFormat="1" applyFont="1" applyFill="1" applyBorder="1" applyAlignment="1">
      <alignment horizontal="center"/>
    </xf>
    <xf numFmtId="3" fontId="10" fillId="10" borderId="5" xfId="0" applyNumberFormat="1" applyFont="1" applyFill="1" applyBorder="1" applyAlignment="1">
      <alignment horizontal="center"/>
    </xf>
    <xf numFmtId="3" fontId="6" fillId="7" borderId="1" xfId="0" applyNumberFormat="1" applyFont="1" applyFill="1" applyBorder="1"/>
    <xf numFmtId="164" fontId="0" fillId="0" borderId="0" xfId="0" applyNumberFormat="1" applyFont="1"/>
    <xf numFmtId="0" fontId="9" fillId="10" borderId="5" xfId="0" applyFont="1" applyFill="1" applyBorder="1" applyAlignment="1">
      <alignment horizontal="center" vertical="center" wrapText="1"/>
    </xf>
    <xf numFmtId="3" fontId="8" fillId="11" borderId="5" xfId="0" applyNumberFormat="1" applyFont="1" applyFill="1" applyBorder="1" applyAlignment="1">
      <alignment horizontal="center"/>
    </xf>
    <xf numFmtId="3" fontId="10" fillId="10" borderId="5" xfId="0" applyNumberFormat="1" applyFont="1" applyFill="1" applyBorder="1" applyAlignment="1">
      <alignment horizontal="center"/>
    </xf>
    <xf numFmtId="40" fontId="8" fillId="14" borderId="4" xfId="0" applyNumberFormat="1" applyFont="1" applyFill="1" applyBorder="1"/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9" fillId="12" borderId="4" xfId="0" applyNumberFormat="1" applyFont="1" applyFill="1" applyBorder="1" applyAlignment="1">
      <alignment horizontal="right"/>
    </xf>
    <xf numFmtId="4" fontId="9" fillId="12" borderId="5" xfId="0" applyNumberFormat="1" applyFont="1" applyFill="1" applyBorder="1" applyAlignment="1">
      <alignment horizontal="right"/>
    </xf>
    <xf numFmtId="4" fontId="9" fillId="12" borderId="6" xfId="0" applyNumberFormat="1" applyFont="1" applyFill="1" applyBorder="1" applyAlignment="1">
      <alignment horizontal="right"/>
    </xf>
    <xf numFmtId="4" fontId="8" fillId="12" borderId="1" xfId="0" applyNumberFormat="1" applyFont="1" applyFill="1" applyBorder="1" applyAlignment="1">
      <alignment horizontal="right"/>
    </xf>
    <xf numFmtId="4" fontId="9" fillId="14" borderId="1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9" fillId="3" borderId="5" xfId="0" applyNumberFormat="1" applyFont="1" applyFill="1" applyBorder="1" applyAlignment="1">
      <alignment horizontal="right"/>
    </xf>
    <xf numFmtId="4" fontId="9" fillId="3" borderId="6" xfId="0" applyNumberFormat="1" applyFont="1" applyFill="1" applyBorder="1" applyAlignment="1">
      <alignment horizontal="right"/>
    </xf>
    <xf numFmtId="4" fontId="13" fillId="1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4" fontId="19" fillId="8" borderId="1" xfId="0" applyNumberFormat="1" applyFont="1" applyFill="1" applyBorder="1" applyAlignment="1">
      <alignment horizontal="right" vertical="center" wrapText="1"/>
    </xf>
    <xf numFmtId="4" fontId="13" fillId="5" borderId="1" xfId="0" applyNumberFormat="1" applyFont="1" applyFill="1" applyBorder="1" applyAlignment="1">
      <alignment horizontal="right" vertical="center" wrapText="1"/>
    </xf>
    <xf numFmtId="4" fontId="20" fillId="8" borderId="0" xfId="0" applyNumberFormat="1" applyFont="1" applyFill="1" applyAlignment="1">
      <alignment horizontal="center" vertical="center" wrapText="1"/>
    </xf>
    <xf numFmtId="4" fontId="10" fillId="7" borderId="4" xfId="0" applyNumberFormat="1" applyFont="1" applyFill="1" applyBorder="1" applyAlignment="1">
      <alignment horizontal="right"/>
    </xf>
    <xf numFmtId="4" fontId="10" fillId="7" borderId="5" xfId="0" applyNumberFormat="1" applyFont="1" applyFill="1" applyBorder="1" applyAlignment="1">
      <alignment horizontal="right"/>
    </xf>
    <xf numFmtId="4" fontId="10" fillId="7" borderId="6" xfId="0" applyNumberFormat="1" applyFont="1" applyFill="1" applyBorder="1" applyAlignment="1">
      <alignment horizontal="right"/>
    </xf>
    <xf numFmtId="4" fontId="10" fillId="8" borderId="1" xfId="0" applyNumberFormat="1" applyFont="1" applyFill="1" applyBorder="1" applyAlignment="1">
      <alignment horizontal="right"/>
    </xf>
    <xf numFmtId="2" fontId="19" fillId="0" borderId="1" xfId="0" applyNumberFormat="1" applyFont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3" fontId="8" fillId="14" borderId="4" xfId="0" applyNumberFormat="1" applyFont="1" applyFill="1" applyBorder="1" applyAlignment="1">
      <alignment horizontal="center"/>
    </xf>
    <xf numFmtId="3" fontId="8" fillId="14" borderId="6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4" fontId="8" fillId="7" borderId="4" xfId="0" applyNumberFormat="1" applyFont="1" applyFill="1" applyBorder="1" applyAlignment="1">
      <alignment horizontal="right"/>
    </xf>
    <xf numFmtId="4" fontId="8" fillId="7" borderId="5" xfId="0" applyNumberFormat="1" applyFont="1" applyFill="1" applyBorder="1" applyAlignment="1">
      <alignment horizontal="right"/>
    </xf>
    <xf numFmtId="4" fontId="8" fillId="7" borderId="6" xfId="0" applyNumberFormat="1" applyFont="1" applyFill="1" applyBorder="1" applyAlignment="1">
      <alignment horizontal="right"/>
    </xf>
    <xf numFmtId="0" fontId="8" fillId="8" borderId="4" xfId="0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0" fontId="8" fillId="8" borderId="6" xfId="0" applyFont="1" applyFill="1" applyBorder="1" applyAlignment="1">
      <alignment horizontal="right"/>
    </xf>
    <xf numFmtId="3" fontId="10" fillId="10" borderId="4" xfId="0" applyNumberFormat="1" applyFont="1" applyFill="1" applyBorder="1" applyAlignment="1">
      <alignment horizontal="right"/>
    </xf>
    <xf numFmtId="3" fontId="10" fillId="10" borderId="5" xfId="0" applyNumberFormat="1" applyFont="1" applyFill="1" applyBorder="1" applyAlignment="1">
      <alignment horizontal="right"/>
    </xf>
    <xf numFmtId="3" fontId="10" fillId="10" borderId="6" xfId="0" applyNumberFormat="1" applyFont="1" applyFill="1" applyBorder="1" applyAlignment="1">
      <alignment horizontal="right"/>
    </xf>
    <xf numFmtId="3" fontId="8" fillId="11" borderId="4" xfId="0" applyNumberFormat="1" applyFont="1" applyFill="1" applyBorder="1" applyAlignment="1">
      <alignment horizontal="right"/>
    </xf>
    <xf numFmtId="3" fontId="8" fillId="11" borderId="5" xfId="0" applyNumberFormat="1" applyFont="1" applyFill="1" applyBorder="1" applyAlignment="1">
      <alignment horizontal="right"/>
    </xf>
    <xf numFmtId="3" fontId="8" fillId="11" borderId="6" xfId="0" applyNumberFormat="1" applyFont="1" applyFill="1" applyBorder="1" applyAlignment="1">
      <alignment horizontal="right"/>
    </xf>
    <xf numFmtId="3" fontId="8" fillId="11" borderId="4" xfId="0" applyNumberFormat="1" applyFont="1" applyFill="1" applyBorder="1" applyAlignment="1">
      <alignment horizontal="center"/>
    </xf>
    <xf numFmtId="3" fontId="8" fillId="11" borderId="5" xfId="0" applyNumberFormat="1" applyFont="1" applyFill="1" applyBorder="1" applyAlignment="1">
      <alignment horizontal="center"/>
    </xf>
    <xf numFmtId="3" fontId="8" fillId="11" borderId="6" xfId="0" applyNumberFormat="1" applyFont="1" applyFill="1" applyBorder="1" applyAlignment="1">
      <alignment horizontal="center"/>
    </xf>
    <xf numFmtId="3" fontId="10" fillId="10" borderId="4" xfId="0" applyNumberFormat="1" applyFont="1" applyFill="1" applyBorder="1" applyAlignment="1">
      <alignment horizontal="center"/>
    </xf>
    <xf numFmtId="3" fontId="10" fillId="10" borderId="5" xfId="0" applyNumberFormat="1" applyFont="1" applyFill="1" applyBorder="1" applyAlignment="1">
      <alignment horizontal="center"/>
    </xf>
    <xf numFmtId="3" fontId="10" fillId="10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3" fontId="10" fillId="8" borderId="4" xfId="0" applyNumberFormat="1" applyFont="1" applyFill="1" applyBorder="1" applyAlignment="1">
      <alignment horizontal="right"/>
    </xf>
    <xf numFmtId="3" fontId="10" fillId="8" borderId="5" xfId="0" applyNumberFormat="1" applyFont="1" applyFill="1" applyBorder="1" applyAlignment="1">
      <alignment horizontal="right"/>
    </xf>
    <xf numFmtId="3" fontId="10" fillId="8" borderId="6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 vertical="center" wrapText="1"/>
    </xf>
    <xf numFmtId="4" fontId="6" fillId="8" borderId="1" xfId="0" applyNumberFormat="1" applyFont="1" applyFill="1" applyBorder="1" applyAlignment="1">
      <alignment horizontal="right"/>
    </xf>
    <xf numFmtId="4" fontId="10" fillId="11" borderId="4" xfId="0" applyNumberFormat="1" applyFont="1" applyFill="1" applyBorder="1" applyAlignment="1">
      <alignment horizontal="right"/>
    </xf>
    <xf numFmtId="4" fontId="10" fillId="11" borderId="5" xfId="0" applyNumberFormat="1" applyFont="1" applyFill="1" applyBorder="1" applyAlignment="1">
      <alignment horizontal="right"/>
    </xf>
    <xf numFmtId="4" fontId="10" fillId="11" borderId="6" xfId="0" applyNumberFormat="1" applyFont="1" applyFill="1" applyBorder="1" applyAlignment="1">
      <alignment horizontal="right"/>
    </xf>
    <xf numFmtId="4" fontId="6" fillId="11" borderId="1" xfId="0" applyNumberFormat="1" applyFont="1" applyFill="1" applyBorder="1" applyAlignment="1">
      <alignment horizontal="right"/>
    </xf>
    <xf numFmtId="4" fontId="9" fillId="10" borderId="4" xfId="0" applyNumberFormat="1" applyFont="1" applyFill="1" applyBorder="1" applyAlignment="1">
      <alignment horizontal="right" vertical="center" wrapText="1"/>
    </xf>
    <xf numFmtId="4" fontId="9" fillId="10" borderId="5" xfId="0" applyNumberFormat="1" applyFont="1" applyFill="1" applyBorder="1" applyAlignment="1">
      <alignment horizontal="right" vertical="center" wrapText="1"/>
    </xf>
    <xf numFmtId="4" fontId="9" fillId="10" borderId="6" xfId="0" applyNumberFormat="1" applyFont="1" applyFill="1" applyBorder="1" applyAlignment="1">
      <alignment horizontal="right" vertical="center" wrapText="1"/>
    </xf>
    <xf numFmtId="0" fontId="9" fillId="10" borderId="4" xfId="0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right" vertical="center" wrapText="1"/>
    </xf>
    <xf numFmtId="0" fontId="9" fillId="10" borderId="6" xfId="0" applyFont="1" applyFill="1" applyBorder="1" applyAlignment="1">
      <alignment horizontal="right" vertical="center" wrapText="1"/>
    </xf>
    <xf numFmtId="4" fontId="6" fillId="10" borderId="1" xfId="0" applyNumberFormat="1" applyFont="1" applyFill="1" applyBorder="1" applyAlignment="1">
      <alignment horizontal="right" vertical="center" wrapText="1"/>
    </xf>
    <xf numFmtId="4" fontId="10" fillId="10" borderId="4" xfId="0" applyNumberFormat="1" applyFont="1" applyFill="1" applyBorder="1" applyAlignment="1">
      <alignment horizontal="right"/>
    </xf>
    <xf numFmtId="4" fontId="10" fillId="10" borderId="5" xfId="0" applyNumberFormat="1" applyFont="1" applyFill="1" applyBorder="1" applyAlignment="1">
      <alignment horizontal="right"/>
    </xf>
    <xf numFmtId="4" fontId="10" fillId="10" borderId="6" xfId="0" applyNumberFormat="1" applyFont="1" applyFill="1" applyBorder="1" applyAlignment="1">
      <alignment horizontal="right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3" fontId="10" fillId="8" borderId="4" xfId="0" applyNumberFormat="1" applyFont="1" applyFill="1" applyBorder="1" applyAlignment="1">
      <alignment horizontal="center"/>
    </xf>
    <xf numFmtId="3" fontId="10" fillId="8" borderId="5" xfId="0" applyNumberFormat="1" applyFont="1" applyFill="1" applyBorder="1" applyAlignment="1">
      <alignment horizontal="center"/>
    </xf>
    <xf numFmtId="3" fontId="10" fillId="8" borderId="6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3" fontId="10" fillId="7" borderId="4" xfId="0" applyNumberFormat="1" applyFont="1" applyFill="1" applyBorder="1" applyAlignment="1">
      <alignment horizontal="center"/>
    </xf>
    <xf numFmtId="3" fontId="10" fillId="7" borderId="6" xfId="0" applyNumberFormat="1" applyFont="1" applyFill="1" applyBorder="1" applyAlignment="1">
      <alignment horizontal="center"/>
    </xf>
    <xf numFmtId="4" fontId="9" fillId="10" borderId="1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3" fontId="8" fillId="14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38" fontId="8" fillId="14" borderId="4" xfId="0" applyNumberFormat="1" applyFont="1" applyFill="1" applyBorder="1" applyAlignment="1">
      <alignment horizontal="center"/>
    </xf>
    <xf numFmtId="38" fontId="8" fillId="14" borderId="6" xfId="0" applyNumberFormat="1" applyFont="1" applyFill="1" applyBorder="1" applyAlignment="1">
      <alignment horizontal="center"/>
    </xf>
    <xf numFmtId="4" fontId="10" fillId="7" borderId="1" xfId="0" applyNumberFormat="1" applyFont="1" applyFill="1" applyBorder="1" applyAlignment="1">
      <alignment horizontal="right"/>
    </xf>
    <xf numFmtId="4" fontId="10" fillId="8" borderId="4" xfId="0" applyNumberFormat="1" applyFont="1" applyFill="1" applyBorder="1" applyAlignment="1">
      <alignment horizontal="right"/>
    </xf>
    <xf numFmtId="4" fontId="10" fillId="8" borderId="5" xfId="0" applyNumberFormat="1" applyFont="1" applyFill="1" applyBorder="1" applyAlignment="1">
      <alignment horizontal="right"/>
    </xf>
    <xf numFmtId="4" fontId="10" fillId="8" borderId="6" xfId="0" applyNumberFormat="1" applyFont="1" applyFill="1" applyBorder="1" applyAlignment="1">
      <alignment horizontal="right"/>
    </xf>
    <xf numFmtId="4" fontId="8" fillId="12" borderId="4" xfId="0" applyNumberFormat="1" applyFont="1" applyFill="1" applyBorder="1" applyAlignment="1">
      <alignment horizontal="right"/>
    </xf>
    <xf numFmtId="4" fontId="8" fillId="12" borderId="5" xfId="0" applyNumberFormat="1" applyFont="1" applyFill="1" applyBorder="1" applyAlignment="1">
      <alignment horizontal="right"/>
    </xf>
    <xf numFmtId="4" fontId="8" fillId="12" borderId="6" xfId="0" applyNumberFormat="1" applyFont="1" applyFill="1" applyBorder="1" applyAlignment="1">
      <alignment horizontal="right"/>
    </xf>
    <xf numFmtId="4" fontId="8" fillId="9" borderId="1" xfId="0" applyNumberFormat="1" applyFont="1" applyFill="1" applyBorder="1" applyAlignment="1">
      <alignment horizontal="right"/>
    </xf>
    <xf numFmtId="2" fontId="6" fillId="7" borderId="1" xfId="0" applyNumberFormat="1" applyFont="1" applyFill="1" applyBorder="1" applyAlignment="1">
      <alignment horizontal="right"/>
    </xf>
    <xf numFmtId="4" fontId="8" fillId="14" borderId="4" xfId="0" applyNumberFormat="1" applyFont="1" applyFill="1" applyBorder="1" applyAlignment="1">
      <alignment horizontal="right"/>
    </xf>
    <xf numFmtId="4" fontId="8" fillId="14" borderId="5" xfId="0" applyNumberFormat="1" applyFont="1" applyFill="1" applyBorder="1" applyAlignment="1">
      <alignment horizontal="right"/>
    </xf>
    <xf numFmtId="4" fontId="8" fillId="14" borderId="6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4" fontId="9" fillId="6" borderId="1" xfId="0" applyNumberFormat="1" applyFont="1" applyFill="1" applyBorder="1" applyAlignment="1">
      <alignment horizontal="right"/>
    </xf>
    <xf numFmtId="0" fontId="8" fillId="10" borderId="1" xfId="0" applyFont="1" applyFill="1" applyBorder="1" applyAlignment="1">
      <alignment horizontal="center"/>
    </xf>
    <xf numFmtId="4" fontId="15" fillId="8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4" fontId="6" fillId="7" borderId="4" xfId="0" applyNumberFormat="1" applyFont="1" applyFill="1" applyBorder="1" applyAlignment="1">
      <alignment horizontal="right"/>
    </xf>
    <xf numFmtId="4" fontId="6" fillId="7" borderId="5" xfId="0" applyNumberFormat="1" applyFont="1" applyFill="1" applyBorder="1" applyAlignment="1">
      <alignment horizontal="right"/>
    </xf>
    <xf numFmtId="4" fontId="6" fillId="7" borderId="6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4" fontId="8" fillId="5" borderId="5" xfId="0" applyNumberFormat="1" applyFont="1" applyFill="1" applyBorder="1" applyAlignment="1">
      <alignment horizontal="right"/>
    </xf>
    <xf numFmtId="4" fontId="8" fillId="5" borderId="6" xfId="0" applyNumberFormat="1" applyFont="1" applyFill="1" applyBorder="1" applyAlignment="1">
      <alignment horizontal="right"/>
    </xf>
    <xf numFmtId="4" fontId="6" fillId="8" borderId="4" xfId="0" applyNumberFormat="1" applyFont="1" applyFill="1" applyBorder="1" applyAlignment="1">
      <alignment horizontal="right"/>
    </xf>
    <xf numFmtId="4" fontId="6" fillId="8" borderId="5" xfId="0" applyNumberFormat="1" applyFont="1" applyFill="1" applyBorder="1" applyAlignment="1">
      <alignment horizontal="right"/>
    </xf>
    <xf numFmtId="4" fontId="6" fillId="8" borderId="6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right"/>
    </xf>
    <xf numFmtId="4" fontId="8" fillId="8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4" fontId="8" fillId="10" borderId="4" xfId="0" applyNumberFormat="1" applyFont="1" applyFill="1" applyBorder="1" applyAlignment="1">
      <alignment horizontal="center"/>
    </xf>
    <xf numFmtId="4" fontId="8" fillId="10" borderId="5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6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15" borderId="8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1C2D43-367A-42C3-89D2-DE24A49710B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115988-A0A6-44C0-AF68-B8FAF1FBFEC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1241F7-56F1-4139-B8FE-AF210445E4B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C051A4-FC43-4247-AA4D-09DB39E4C5C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958B11-CE90-442F-B103-F7696FFA8E9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96949-7A1B-4D80-A055-517ED6FDF3E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B3EB1-0F42-4318-B4BF-0A6C067F51D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059BA2-8DC7-483D-AC5F-95E5D3686FC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7BDB3-FB98-4027-BDD3-A5E6EC4A477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E76C8D-A400-4247-B1E4-5661242AB87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BF64F0-ABC6-4DE2-ACC5-9CC2F071E559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9DF969-CFEB-474A-8EE7-00C68E478719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A2A0BA-A453-40FD-A6DD-D9C20405091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084545-556E-4459-90DB-7B8FAEA2D96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AB8E7B-B284-460A-B189-DADA006F6B8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40DAAE-DBD8-4F8E-936F-74728F4E213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89D34-ED95-42B5-A512-4027CAB19EB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10698-116D-4462-95BA-048F97F90A1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FD75C-CF9D-4F73-A8D2-A4D2EE2FE08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8036DD-FCC7-425C-AC65-F38A5150AB25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8EBAF1-ECB0-42A3-A940-B1A7CF4BD97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BF673F-FC9D-4A8E-A5BD-4DD9C4ABC8B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925AB9-F623-473F-9A9D-7A48483ED8D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4C2D8-4E09-4C29-A714-426BEDC740E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10869-E487-49E4-BE4C-F919B577750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3E6D52-9C7A-4767-894A-0BFC9389442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D92BD3-59E5-4672-874F-02A3943D771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29A23C-60E5-4EF2-BF29-BD96D74526B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419809-535A-4600-83BF-CB05CCDD177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F4FA6-618E-4961-9B7B-2FB3F48D3AF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25257C-352B-4A4A-BD20-B9AC6DDB395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73482-D6E5-4EE1-9558-F04B4EAD8EF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398C14-EEBB-406D-8650-040B7685197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CFA8F-7612-4737-BE22-CE70D76CA609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2F011-368B-4B2E-8735-05B0D591D7F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946C8-705E-4D03-ADF5-F893D82F2E2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34D323-ADD2-44E0-9721-70737A667639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60518A-F892-42D2-B734-39DCA85D887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7099D3-E311-4280-B7A7-AFED1865818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78C4C-7378-476C-B935-156D354C842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9D9F3-7325-47A7-9956-09D9789096A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EB4426-60C0-4D9E-9180-007E1993991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23E64-8F6C-4B07-AAD0-885D1F7EE7C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8A701-02EF-489D-8789-421F3800C39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10F22-89FE-473E-942F-3840FEA360E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226FF4-84CD-4442-833D-7B149BE7566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D4181-8C61-43C0-ADBA-B9EAE9DAD7E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6CF50-AD93-499D-BDB2-9E7DE36C4289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BDA4F-53E7-4BC2-820B-B930041BAD8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9692E-DD97-4FA2-9F46-AC92202DFA9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A0C4C-5048-4DD5-B016-C573F1A2490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940E66-CB42-41C8-A82B-B9F1374BE8E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088C8E-0ACC-4851-99F3-B76A817EB3A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7A521C-6C3E-4CE0-8D48-E256E6C3A2C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07AD8-4C20-4AF1-86EF-75D88E796A2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9D7D95-61E9-47FF-B381-D1A98D2D4F0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4A309-00F7-4CFF-A18F-867878483CF0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7D5D2-D711-492F-B778-DCB7C112AEB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7CDE2B-5049-409D-BE66-FB170978A20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A248B-990F-4EFB-A7A7-E47D142DDD9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918DB-0306-4EF4-96B8-2DF6E24805A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9B613-6164-476B-B1F7-6644C37F6F4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61956-239E-44A4-BFB9-F1C3ACCBD75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8826B-3BE7-4D96-B9C7-FB5B76E878B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0DE8A-7CD9-4A0C-8476-348A8273C880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E4C48-F824-4907-A6BE-A3A2C34DCB37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47709-8F6E-4C82-BB49-7AF87EB6E28C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82801-D4DB-4E5B-BF11-33C047C0E59B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6E676D-FDE7-4A77-BD52-4AD8B91DD989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6E01A-B808-474D-85A3-80A0045F6010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2B4DB-4B55-4A32-AC94-5C77E728DD00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A74D36-999A-43CF-8850-F175EACB2EDC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63996-CC1F-4D85-A52F-1EA39C93429C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B0696-5DBC-4E3F-B11B-FD0F0A2E6C07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653B82-1459-44A3-8E56-B37FD0EF6A9F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A0FB7-A4D3-4190-9762-A18ECB1B18A2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2F5E6C-4FBD-414F-8BEB-2CF11210C817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D7109-8585-418E-BD73-CB996DEB9D48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CF9D8-9BDB-4CA5-88F7-6608E69AACCE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943D8-EC9A-4F9E-A041-AE68239A7053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F6C2F-FA9A-490A-9BA6-9429E1465FFA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2D375-D085-47AF-9945-A038F27689C8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E06CD-B208-44B1-8388-1336DB855E07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497B3-6721-49CA-B6D2-496046B485BF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936F4F-280A-45FE-AE90-426D7EBDC0BF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49481-5F63-4D43-BCCF-18F0524AECF6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1EA2C-6B3F-40B2-9E21-E1A58AEACB40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64D909-89C4-4F56-B993-6D747B45AFE0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E39A2-86F7-4E54-82E8-DA5429DAED79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37E38-3838-403C-A7F2-2180CAA60042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5752C-FFC6-4230-A00F-2FC0B7E0B8AD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BC654A-CCA8-4CB6-BB0B-2DEAB946394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F7FD3-3509-4FAC-AC33-28B99EE0AAF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F5665-7253-491A-96D4-00A1B12AC8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A50A9-0EB8-4BCD-883A-BE6DF282874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07505E-4011-483E-BB70-0F9EBC1F9C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A9E8B-73CF-4B4B-8795-4299380412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FB9F6-0410-4F88-A5BD-B3A34FB3C36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3231B-FD96-40B5-8E8A-F61FA662B4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027F6-C4AD-434C-A09F-EF319F9FA1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773BBB-6E12-4AD1-A7E8-D32C5FF0F36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AEA12-51C4-40D0-A627-B61DAED558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C7273C-0B09-412E-96E4-BA4B2A5A765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C7CCBC-9326-4B32-AD58-48614502C7E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C40708-A4D8-473C-9167-C664EA22AEA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824C9-DD59-4568-B420-E1C57796FE4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BD3C5-E9FF-41EA-B931-91DEEE9807E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63438C-2C75-40EA-BE85-3793DB790B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B751E-22B9-4827-9A43-23A19A6FF1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5F731-D901-4FCE-90C9-62B620AF60A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ADE3D-538D-4A75-B8FA-2F3AFA57E9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006C5-5809-444D-BAE5-054F85A932C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8DCB8-C84E-4228-8E10-E8E8A9D3488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637AF-5349-4FCA-AF54-FCEE81B0A4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E0F28F-8D3A-4D70-9AEF-98DF75133C1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FAD248-B3F4-490D-900A-ED115025B98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8D252-99D6-4C90-9116-B12311CC5D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8FBD2-3C88-42F4-B4CF-0655D3620E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7A515-8756-42E3-AB0D-054496030BF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22586-55D1-4CAE-AB14-08431EA1DF38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9FFB2-91CE-41D6-9C93-0DA6CECAF3D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3EC9A1-067B-43BD-987B-D7F6BDD435B0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9C8AD-D636-4590-A63D-CD9E181885C5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F0A91-DF30-4C9F-B795-14A8B641046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ED106-B2CF-434E-BB75-1A5F6A3B570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ABBF3-16CD-4158-BCD4-97364B7B31F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91A15-720C-40D2-ADCC-9EB6CFC34AC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C5CB4-D704-4B46-BCD4-55BD81714671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2109E2-FF08-4ECF-BECD-E6A98DA27C1B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3AEB47-D539-43FE-A513-0F98FF238860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875F26-6F7F-4609-80DA-CD6F22071D6F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4DF2D9-5ACC-40DF-8A16-C8861CD25393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D59B7-5A6C-4D7B-ADEE-D72707AC16E3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4B42F9-49F4-4185-A39D-8B8FB8D62EE8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12E09-2EB1-41F2-82F5-97BDC157C624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FC55E1-D9EA-4AAF-94E6-16D338788D83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04855C-5737-40BD-945F-42BD374688F0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19EAF-6E87-43F4-B4FC-BAD956CE9EF3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A14DF-7EA6-40B6-9F86-0A1BB6507BF5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131629-B855-4EBE-AC9D-BD8B6A40E34C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DD900-9731-4384-B146-9660C6399D09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B5663E-8E91-4BFE-A92E-4DA8F4627093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08DECA-E990-4A7D-B3E0-8BC20D31BC81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B4707F-04E1-40AD-9F74-D3D843C6E3AC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ECD43-488E-4FB1-8C17-D1767C005EE8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6BB65-D2B4-44F2-8EBA-791B3350A37B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1BC468-99B9-45E5-822B-AE771583A672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92A3B-C9FF-4016-828A-2D57C9624BD3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995D4D-4080-4538-BB99-979E036F638A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B827E-A8D5-4F1B-9CE1-C394CB5243AB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A4471-9D44-4BB1-A1AE-A042C367AF6B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49084E-7A5D-4540-82C3-122CDA8A5691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384972-B0EA-4E21-9740-32726A8D4C74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19926A-7AD5-4CE0-8781-D310AA060F7C}"/>
            </a:ext>
          </a:extLst>
        </xdr:cNvPr>
        <xdr:cNvSpPr>
          <a:spLocks noChangeAspect="1" noChangeArrowheads="1"/>
        </xdr:cNvSpPr>
      </xdr:nvSpPr>
      <xdr:spPr bwMode="auto">
        <a:xfrm>
          <a:off x="186975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C6A4D-B38C-4026-9C68-796DD78CFC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1D649-C445-417B-9A01-4E25F887382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53E7F-24DC-4208-8E9F-EEDFBD33050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C7AB0-E466-4D67-9195-0590672731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1EC7F8-B657-4FB4-A9CC-C7DEB52CFB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6BBC4-4E62-450D-97C4-A77E2FBFB79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E3F99-5932-4863-91FC-D71012D95B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2E30C-A7E0-4507-A622-F55C8C79733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D254C-CECE-404A-997B-E341FDAFAA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70D231-1AAF-4536-B6E4-A4B2DF3B70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AAF9C-77B3-40D0-8A97-C8B8BBF83AC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0F7FB-7D10-4020-A0CC-C48CCCF32BF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3E7F6-4401-4E6A-9E1F-7E27EB5151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8FD90-1472-499D-8FC2-29A6B91C449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A6AAE-DA1D-4D46-B132-210440D31D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9178F-1381-411C-AA58-8C642EFC85A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A90A6-C4B4-400A-8C54-345BF412E2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6396B5-0807-4BAC-AAF2-4609DE1D53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C1F18E-8AB7-48C6-89F7-DFC1CAF9E19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6AEFD2-0C40-4D56-8273-9C0EA94FD4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E2E36-1551-4BAF-AE5E-9AE905EF518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F5FCD0-29A0-4527-9AC4-001AEB9E8B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CDDC8-5654-4CA2-B857-B560054603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CCD4F-5594-4CB1-BEAE-C958019BF0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C49D1-5B70-427F-B12C-F37411A97C2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26EE63-34A2-4E6F-B6FF-16A9DFEC986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BFC49-38FA-4D93-B90C-B56A1E94F37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9DCB3A-A3AD-4341-B696-D5C608B357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4661C-605B-4E4E-AE9E-CBFD252DE24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3ED1A1-340B-4A39-8DA9-E512841925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0C79D-02E5-4D10-B56A-BE347B3D51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4A85CE-0E37-4946-B66E-9075AF5EF6D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5B946-22D3-441E-BA2F-675AEBFE486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B6143-22DC-447A-8E8F-0587F9380F7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69A41-F642-45AF-9C12-3C461E845C8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87B8C-EF67-4C0B-8943-89968B563DA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A091C-0BB8-4CA8-9F5C-7307D73839C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A2382-529C-4D16-90C4-19FEAB4D97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A1FFF9-BEE0-4717-BB0C-D6A99D2CFC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E549B-3FD6-441C-8E2D-F723CD0CFCA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AF79E-2D29-4E18-BD5F-4FD877377DB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DE2051-7A51-4163-9D4F-6614D9B5D7B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D34D7-108C-4672-8DA7-F80D9154F2E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F6ADB1-6E85-414C-9D62-92D2685A2B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46C3F-36B3-4E0D-ADEF-60A52BB7F7A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1FFC0A-636C-4F8E-A1CC-7B2F2BDFC4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006E5-0919-4F59-A814-AA8A23171A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DD7E1-2F03-4A63-93F7-CF2FEE48944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41AD0-7656-4F58-83C2-17F8EC62242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A98AB7-63E2-48B8-99F7-810544EB495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B0F58-8D10-4A6D-A486-21C3C459BBD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4FD7D-18DE-4900-996F-B55F69211FB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3170D3-B78C-4E7F-A04C-BCAEFE2945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27FE5D-FFCD-4419-B06E-F2CA46C365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CEABF-6781-422A-9299-B8984FAD67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D1B28-BAD9-4FAF-9C48-F5418BEF5B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FF27A-8CCE-45F7-81B5-915BE734261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F9105-72C8-4BEA-A672-5DE6B995C7F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77F821-0E06-4AB7-AC04-9E33F232C93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D03947-340D-40A9-B442-F7FBFADF80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C2B1B-0A0D-4B64-B08A-5566ABB37AD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F4FAB-5287-41E4-9C65-3E8B002D10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3210B0-0A8E-4663-BEFD-80DFB391AD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ABEEA-F075-4570-94C5-5526AF33F88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85BF69-2F36-4D41-B1DA-A889A743E9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D4324-90BB-4FCF-878A-E9209B1586B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947C1-9A00-4796-8A0F-809A085638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EEAA9-12F1-4D4F-9755-E929D32068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CD298-CDE9-4EA7-BE7F-698492076C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7CBC5-7DF7-497D-9DB7-F131B42ECF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D1D044-2C28-4058-8B03-28A82FC98B7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20436-1E91-4E1A-864A-79E5D8B1098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0206B6-ACD3-46FE-B79F-A8D65F90B6E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35CFB7-D2EF-4AA4-BD4F-486D2947288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02D88-F11E-4DC9-A6E8-AB4573AB31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3B3A0B-E9B1-4C3B-A13F-24B392127EF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28575</xdr:colOff>
      <xdr:row>0</xdr:row>
      <xdr:rowOff>28575</xdr:rowOff>
    </xdr:from>
    <xdr:to>
      <xdr:col>12</xdr:col>
      <xdr:colOff>191954</xdr:colOff>
      <xdr:row>3</xdr:row>
      <xdr:rowOff>133790</xdr:rowOff>
    </xdr:to>
    <xdr:pic>
      <xdr:nvPicPr>
        <xdr:cNvPr id="232" name="Imagem 231">
          <a:extLst>
            <a:ext uri="{FF2B5EF4-FFF2-40B4-BE49-F238E27FC236}">
              <a16:creationId xmlns:a16="http://schemas.microsoft.com/office/drawing/2014/main" id="{A438C8B9-1105-455C-AA4A-60E1E6B92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391128" cy="676715"/>
        </a:xfrm>
        <a:prstGeom prst="rect">
          <a:avLst/>
        </a:prstGeom>
      </xdr:spPr>
    </xdr:pic>
    <xdr:clientData/>
  </xdr:two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D59D8-9BB9-4BF3-B826-F91A3069445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D5D6FA-7B6D-46A3-8FB8-EA86767C41E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318F96-91CF-42AB-88FE-A5F236EEED0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00D3C-D656-4C64-B266-54F45E44A3B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6E6EA-3A4F-4624-8147-D6574264B27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6A4C8-7991-4599-9130-46F65A089FB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5C32AE-BE74-433B-8194-5D45B9860A88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91043-ED1F-4CEA-9904-FA13EE12191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602C3-2C96-46FB-964E-74FD49AE126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11469-D641-46D7-9146-67513AAC6C65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C5CC8-73C8-4F24-80F0-58E60D96167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F7BC7-192F-4CA1-ACCE-FC56D4AFEF0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1C2BD1-5199-4D9C-8E7E-02A26D5AAB3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42547-D98F-40CA-B5CD-41DBA960079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2E1AD-C151-41B2-97AD-95C57434BDF9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2558A-0FED-4BE4-B2D1-00377193367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33EEC-8DFA-46C3-917D-1A78248FEE8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53719-51B0-4E02-846D-7F9139D91BF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3CFB6-F87D-4BB6-BC44-8E63503C5F5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9BC7CF-006B-4247-B7F7-EC9D8EEF1B2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E4ED0-556E-4582-BFF6-021E5414F6A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A3F49-A50E-48B4-8137-9EB021A2BC1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36373-0C20-460D-9218-4E640D4F156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BDC94-1830-4413-AF19-92EF96E5892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15731D-DE78-498F-8424-216A3783529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724FE8-56AB-4837-B43E-C6AD6473C8D9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7A671A-939E-40F0-8593-08F1882E5FE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B935AD-D01A-491B-803A-18E9B3940FD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DB51D-8256-4F5E-9A36-B6FA905B6FB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D5003D-8749-405E-8C6C-7FD9F961B88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3CD12-58CA-4E57-B4BB-0C5911F41D3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09595-8A96-4C6A-828A-DB70BF7EFBE8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8C0728-5382-4308-A265-9DC6FE974FB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863AE-2B3F-4D32-9FE7-1210B9D2DA8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03819B-DF19-4A2A-9021-EE9EED229D48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B0485-99EA-49A1-BC14-5AD82F9C54E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6D6976-A9C8-462C-BECF-FDDACADFAE4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2D65F8-CC72-433A-B1B1-1A212E7CE5D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0646A-63C3-4281-9815-2C0E2A8BBBB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73DBB-8E8E-40A2-BB47-27D7EC67D90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CEC11-9038-492F-9DBE-19E99E54ADD0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DC83C-A401-487E-9F7D-7566CFEE8D7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266257-421A-4D53-9255-D8FF36357D7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47AE93-C148-4975-98E2-2DEA3AF5928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FB1F2E-9C70-46FC-8711-5176D9492D8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BF432-5D8D-4CAD-9AC9-0C35FFFC39C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1E041-8DEB-4517-91A9-1EF116B1C1C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140AFC-4A0C-4C0B-9A5C-D4B71E85D6D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995C32-6A3D-453C-AB47-36A3C954184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DA96F-B637-43F1-8C5E-F238B00D7985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255F1-9F5D-46AB-8C29-2DCA818800A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1A527-585A-4977-B9D2-1590AAC9A12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DC72C-B787-4767-ACE7-9C50EAD3166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B6E99-E2A1-4D9D-838E-1DC5556DBCE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F5E1E9-A626-4514-8BD7-3204B39EC9E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7FDF44-CD7C-4F87-9622-581FF504B110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1E374-12CC-44E1-8BE5-37972EE04D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E8451-6734-4398-810F-EE2A3A4673A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EABD72-2160-48DF-B9A2-DBBB7C5D23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822C9-8503-403A-9867-D23EBD24BB5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1B055-35AD-47C5-88BA-CF6CB1F8B6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16F9B-B313-4578-AAD0-B4828905E0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A86AF2-1B47-458C-9F73-78085FD1EB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35BD1-9C28-442D-947D-7C1BEAAED5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6941B-5198-4F94-8A51-AF19A1C41F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802A8-881D-40C4-9E80-2B02C6709EF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630ED-9D53-4C8D-8513-5393680E876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77859-1B02-4245-824E-F6D3717274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17CDC9-D672-4252-93C7-40DCD14A711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56FFE-E0A1-4A90-AB8B-8C91E04E07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0E5CA-C12C-4C6C-BCFA-CEB76052BD1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DDC27-2A4A-4ED7-93D0-C8B90F225A9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655E5-73BC-4878-A06F-8B6ED6D269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E2A4F-E226-49DA-9684-B73BBDA73B5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9BC73-1BE9-493D-A8B0-C8E3564C91B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D9658-BC57-479D-A057-9C522683F6C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77D49-07F8-4EA4-855A-2BF81615EC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7540B2-787C-45B6-91E0-E8F3831EA0F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C8E90-E89B-4616-BAB1-D2375566B47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470C0-C65E-452A-AD5D-909717C96B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A8AED-5FD7-421F-98A9-39EDB9472E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CC62B-7760-49D5-9A81-5C69855B90B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7DB8B8-91C6-4A1F-832E-5A86CC22377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150BE-9EBC-40F3-A4FD-105B3D4AEE8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5D4236-766D-4F57-82C3-CF92D3D4813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577DA-9B9B-453E-BFE9-575B32D2C0F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A50D25-EC8D-4C9C-AEB4-0EC9F1F6DB7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292EBE-2DD9-46C7-8C76-FBB9E0F464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1BB4FE-1B5B-4643-84F7-B7583EA8601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605AD-D1EB-4E7B-AADB-14B4F7F6F41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BBDC2-0520-436E-93AE-9C6EDF6F452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0FEB16-C1A0-4036-A1C8-0BEEF36B035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929196-C73B-4795-9BFE-3B310709F8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AE7E1-9287-4314-B02E-E9A0B4C439F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3EB301-DD23-4B0C-8CA6-FCAE28D15D6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9AEC3-35DA-44DB-8EC5-150100007E4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7FC3F-D1EF-4CD7-86AB-EB15CA5FB8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4668C5-7FC6-4257-8907-E4B42715236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F1735-89DB-4F0D-85F4-063708A8CA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DC1041-082B-4DAE-B108-BA7998C8C0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015B9-18C6-4567-B449-4088707EB99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0ECF0-2C89-4CEE-843D-AC7F7BABD26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B397B-050C-41EB-ADDB-1E00E26035E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A788F-2B52-47FB-AFCA-4FEC37DB403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2A90B3-B99D-4718-A0FB-120F4DD76CC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7551F-DC47-4A7A-93E2-E840682F2C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F7D65-E522-446F-A172-5EA70D926C0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782EF-FC04-41C5-A620-3ECFD5D935F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8639E-D57F-49FF-86AB-0E8707C6C90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4CDD0-7ACA-4075-B4B4-14FFC0613C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BCB81-C35E-4637-907C-1BBCD1295B3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C2906-9323-416C-B1F5-879357988D6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4BF89-D14F-4478-A107-2A84B81E671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122BEA-7473-4F89-BA03-B73B76C30D4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E020C-16C4-4B29-8CEB-F290AA9660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01BB6-F7B3-4588-9532-D60F3DCCCC9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F207A-5033-4CC4-B388-18E62B6CD6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6F3FD2-B526-4ACA-8555-AEDC419EB0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DF6E4-A20F-4B1C-BEB1-8D08D05E84D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CDA89-B3BD-4598-99C3-BAFD42F784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5C2E6-9669-494F-B433-B05D2C75343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6713F1-53EA-4C8B-83E8-8B610048B1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F1828-EA3C-422A-A835-CF95C39EF8E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7CD0E-0AFD-45FC-8D7F-47362FAF620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BD94B-0457-499C-8518-F39EDD04744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D2E053-83BB-4046-98AE-C14BFCE7D4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16547E-981B-4AFF-8F0B-2B7E56B408D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5CC1D-15DA-4071-91DC-632B621E156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D5115-6ADA-45B2-8F0A-2809F24F77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CA411E-0F19-44E4-B132-3EAEA9AB56F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64216-E8EB-45D8-BBED-A8A0D3B39A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440C43-9686-4BC6-94DE-34C79F8BE5B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FAFB7F-E61C-42FA-AF1C-2724187725F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D8D6D8-5E85-46F0-950F-719F4D9268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5F2910-9153-412A-AA76-25C6025A7C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1E409-9D6E-4FD3-AB32-24D8086B531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E569B-A2B6-4973-905C-9627E1D208C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14E6E-08FC-4813-96E8-C1CB0909C15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564B0-A8FA-410C-B745-27D22356DAB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EF22F5-DE5B-40FC-B387-44D33DF7E52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08D58-0354-464B-9F04-3340607BBE1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91C6A-DED6-431B-913E-43DEB1EA5C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31BA90-6F62-406E-80F1-8E5C296326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1DC1C3-4421-4D7C-B5E9-8446E691F2B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C4D423-768C-42B8-A302-19A6425562B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F83BA-7089-4234-BE64-3F54A152CC2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1107B-E8E9-4EC5-8D67-7023C783AFA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8E3C9-CD9F-4C6F-881A-0B74988F74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01531-79F8-40C5-AF65-50C9BD35E6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E5694-E4F3-49E7-8822-3902A22F84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B3C72-03AC-4A5F-A700-930A22DF54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B55EC4-FA09-4A85-9C14-D533ADADFE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D3A76E-29FC-454E-9086-DF29EA1E006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506F78-E9C8-40CE-9857-3774EAA27C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73BD9-D746-4B5D-A5B7-F02B83BC4E5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6AC44F-3C16-43BE-AC26-4B68EC478EFB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BC4AA-E944-4665-B2E8-D99D8799881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88245-70A2-441B-9B61-6F0E9D12174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E7614E-2A2C-445A-B0D4-5EA5AF463920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F99508-0C9D-4D05-A715-B795EE3B42E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1D632-7AC7-40C4-88FB-B85527ECEAF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3FC71-DAE2-4FDB-B1AF-FC4138421335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FE4CA7-6DEF-4C3E-873C-C8B8E6298E08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E85D3-A61D-4E27-AAA1-AADE0ECBE9D0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F7E47-3570-4C7B-89F9-8104EF58B1F2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95221-240E-4505-AF88-A5E98D09DDD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EED96-F701-4383-8B54-659C10970AC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582AEE-287B-40F2-831E-3833CA6CCDD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DDD72-D4C3-416B-8497-8F9B6982E45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92557-333F-4E68-AA1C-DD49239776F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9C72BE-DB63-41EF-9F79-EC2FF734A83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96933-D628-4C88-833F-75EE9456771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B205D-39A5-49CC-B0CE-0950BB1F227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190CC-0327-46FC-9BD2-41DD9F4BED1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835003-A447-44A8-8F67-2176662D379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64B72-940D-46E9-A653-AD2CB0ACA16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722792-91B7-4E99-8629-18DFDEA4E17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367FD-53D3-44D7-88B9-5A530ABB318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8D1535-63C1-416A-9432-667C982C4811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96E9A-5E4F-41A1-8C81-95D445C0AB49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39266D-ABBC-4BC3-828C-E35A5738D3C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D8C39-5E83-4ECB-BF80-EA36D5546EE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FC904-FFAF-48A2-B95B-AED3D432F4B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8DE587-0A76-4865-AC25-935D60D7A11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5D3A15-A67B-4CF7-8C53-C62DAA5140F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268BB7-1B32-49E9-BE1F-BE23624CA523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AC13BC-D4A6-4A54-9CB6-A1ECB32C598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EA233-FE09-44CE-B123-8D4584E89145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DAD5A-3209-4BC6-B2BC-384CD1EB73F5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A00750-6D90-46D2-AA4C-7EECF2855577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958A96-6D5C-4739-B730-BAEC41763C8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8C9AD-7F09-4503-9131-469BDBD2ED68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A0F768-5A9B-4D94-8174-53B38FC06BE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8F4BD-D811-4B73-9E86-3FB1F472BDFD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4115E-1C7C-4E4F-BD24-91166DC74A8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46DEE-7654-42BB-A8A7-B5946B64DCDF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07BAC-F69E-45CB-8F20-686B47E6E15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E5567C-1D93-484A-85F7-A1FE91F5CF1C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56F58-0AD3-43CA-96E8-B8E195E0759A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C99A3-A790-499D-90EE-23785C5728D9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C5937-A19B-4DBE-A5BE-B26181C2E248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27903-FBB9-4689-8CF7-2BD3A7658F6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4CE98A-A9A0-48FA-9C58-1F4B7EF5B1D4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FA037-EF77-412C-B390-C28891EBA396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9E8A22-8D38-48F5-B146-6D67C1758310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54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A371C-1D9D-4033-8FBD-23C89176762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60C30-21C3-4980-82CF-5B9E253DFB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0EF793-751A-4360-B7B3-1C52ECEDFE1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FD1332-EBD9-4138-A65A-DA44C9CC11B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657C6-2DFB-4C25-A03A-BC6AC621996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A51CC-E228-48E5-9119-62613D3841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8A4BC-C204-47D9-9526-F983E593E6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8B0B7-88C4-415E-B58D-DF25A1EF97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1A2FFC-7309-4206-A742-8957851F930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452F7-FAB4-4749-B729-D81EDDEF3A0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6A9A4D-660E-43F3-873A-CBA6B7AC6D4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A62B0-C4DD-4A10-9A03-BD5528B82F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8D17B-19DA-4C63-8C9A-5AD9E6F4ACF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5C41A-FC2F-4786-9C9B-C96B304C373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890F8-6787-4FAC-AF4E-12FCDFCDB6B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A0DC1-194A-427A-89BE-19AF49A118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64A94E-6FDC-4A4C-8903-988570E0B8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9421B-74FA-4DEA-A1D0-BA488C897A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A44E02-8858-4C38-AFCA-9055C585213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39ACB5-A772-4A4E-B12A-FB491A5EF62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AA455-4465-4BCB-A77B-9FA11A1042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8B3F1-0A34-442D-B6BB-02F91144D9E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8B0B4-BA30-41C3-BD0C-7363DC201C8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A71CC-4336-47DC-8B2D-A64629A155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3185E-A86F-43FB-B1D5-9AEC30AC3CB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18AF2-4AED-4BA5-8182-5C1BA4A426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D16805-B334-4AE6-8227-8BEC85248C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B101F6-F929-4AFD-BA28-E71ACB00912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027DFA-3C1F-4A48-8143-0A092F2BDC8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6BB1B-CD29-4D36-B484-5ABC6CB3A0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3B58DF-57BD-4D3C-AD6E-5AB9047F791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F8481-CF02-47D7-BE7C-624098031E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069E6-D7F3-4596-B49E-13C6397BF68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28625-97E3-44D6-A2F5-9A908D38B3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BEE54-EEB4-4916-AEB1-0B9D1719DCA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2DC6B-87D3-4487-9F60-A069B967616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8D5EB-FD29-4D26-AB57-47F6DE47ED7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421F44-BF77-49AE-BC92-8853A3D314E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2C8BF-A45E-4E32-8CBE-BAE901803B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E0ED7-3CA6-4978-9DC7-A0F9AFE97F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1B08B-31A7-4CC9-86E6-0286719E14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DC4A1-F16E-446C-97F0-0B7FD94A80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203986-1AA4-4295-AC8A-A40F751D351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AA5354-71CF-4F27-B556-9FF235CA85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FCA81-3541-4078-BFFE-FEC237CF86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92917-022A-4121-9DD1-587FCCFD269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28B03-A95F-43B8-9DA0-5ED284B1D1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2C8998-6254-4AD5-905A-0A17D6DF39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96F1A-3060-4332-A8AA-C12DE8B286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F1006E-4C5B-47ED-9666-B8E8493CA89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12063-47D1-41CC-A0DA-2E4BCF3525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BA1392-36AD-409B-B721-E6EB1311F1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41032-8AD4-4AB5-8821-2183F16725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3DC3F-6CF7-481E-A4B0-F869EEBACF1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88BDD-8BB2-4313-A09D-F1173D1722F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8B024-69CE-4AA5-B990-95714B6BDC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29855-98D4-40F8-B4FA-6C8F8E92381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35A05-5238-44CB-A137-E8A484B9CA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CAA817-9BFB-4CE1-ACB8-C3CCC80DB5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FD5F53-1314-499F-B2C4-974B7923A8C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7C274D-9F1A-49EA-962A-A843474AA4A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081BC-9F7D-47EA-A3DF-609E58C4D2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D93F3C-6C6E-46FD-A512-CCB0906BFA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80BF6-20A7-4DCB-BD82-619310C8576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43E5F8-1D5D-4417-9AAC-F2315A896D5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FDAE66-0977-427E-9815-0951D6D429A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50D232-4C41-4960-AD64-1F40A0ED9A3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325CE-2BE2-4682-B4DA-7B45A5AC2C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26D684-0CF8-46AF-B32A-2688B559152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F2BC3-2848-4FEA-8AE0-93A12D202D0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DFC388-9B13-40DD-94D0-24EB930680C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B6E43-6CED-422B-829F-3ACD3F621A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03856-2630-419E-BCC0-F5C2C154BE4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0A789-959F-4507-BC35-4117F1D357F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12E4E-37F1-475C-AC2E-ABA9C1B474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79DF5-5382-4E8F-ABC6-9832399F84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8123E-CEB2-4655-B806-FB59FF55F33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31CE44-C26F-4622-84AF-908117C6FF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73021-9F11-4880-82FB-B39FD6590C0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F1A7EF-B8B1-4A28-8DAC-00A2773DCA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B4ADE-034C-42E9-AE56-32E4F50D2A5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73E9DD-11BA-4485-991B-85AA998EC97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E76AF1-3713-42CF-B28C-7BE5024ACA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95C2FA-9247-4C95-8371-D58DF48F7F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B6F7E-BFC4-456A-83E7-00AD0F18B8E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44213-623C-497B-844A-84691D9FB56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17A10-691E-4225-9408-0B161FCF57C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91E1C-48FF-4B6B-94BD-AB15E5616F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912BA-3C38-4AB2-828E-1789BE3849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49D6C-92AD-4254-AB67-F001161CA8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581B6-5E84-485C-9D58-3ACD5748016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05076-990A-4020-BA71-F47ACCDCC3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E059B-C8B7-44C8-9418-1A72B85D02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06A78F-D5C6-4327-908A-D832AA030DD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C31AF-9FC8-4EE9-9168-CE945F2AB7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48C37-45AA-40F4-8947-73DC2C7B420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35DC1-B9D4-475F-84D2-ABB38FED50A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57177-13FA-423D-A2EE-3A351D32091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3B293-F865-4FA8-8A8C-99BBDA49B56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4F0D5-A97B-49A9-AF84-313F8F1041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79B49-E4E9-4B39-9087-B653A0BA74E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4A122-2860-46FB-8A3B-36482CA3FF6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8C1CB-7AE8-4849-B86B-EE79E1538E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9271E-83AA-4052-9FA0-4241E293D1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D1D6B-59C3-46D9-913A-D01EC1E7C7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A3FFF-629A-4ABB-940D-ABED361F85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BB6160-DB70-470B-992D-42BF2AB3EB8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A429EF-BDAD-4346-B18E-9209C99B93B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555B59-F0D6-422E-88AD-866D6EAC07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F54B4-0CFD-4563-A09C-07A6389ADB8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18C6E-9377-4791-895F-B6566C03E74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9B164-A75E-449E-9238-BB8B99D8175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7B5FF-B0B4-4A75-8407-04B8C969111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21101-0147-49C5-98EC-E63C500C41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E126DF-D37E-44C1-808C-19868EE23A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7F5AC-6F37-4DA2-A430-5FF3F88B2A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4A9A5C-7C93-4210-9ABF-38B576AD17C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DBD3FA-BC4B-4DE9-B0FE-D268CEEB2F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0B35A-5CB9-4DE9-BF11-9A270D0941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7AE89-3601-43E1-9667-57D7628AA23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8EF7D-D58E-4DF7-822B-1BA9D4FEC55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FF7069-FA58-4166-9411-7E9880B1570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4D0B8-C864-4420-ABAA-953D8ED317B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449D3F-6C8A-4C19-A8D7-76972D341F2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D542F4-9ADA-40CA-9427-ED499054AF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BE3C72-C40A-4E31-97CB-F6C849232B0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83709-C037-4F32-A80F-160A09B2931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93882-8257-4482-A068-7BA1020BE29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A788A-768A-496C-94CE-739B5ABB54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82A43-7E07-405C-9511-0AA8DB3B2AB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4AD74F-C7FF-4478-9E3D-A11D313EFA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E22599-8136-44A9-B4C3-59BF16BF04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748C0-1587-4351-8A18-B213CD6E10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4643B8-F7F8-434F-A400-0117BA2C00A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A3A118-CFCF-4998-AA9C-32C7131AF0F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80FB03-8545-4AA9-B5D1-2AA3CBC96CE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F11AF-5805-4BFB-98E8-FD54462F33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955D03-41D3-4CA7-828C-6F8FF042D6D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23457E-4E7B-458A-B329-D24D119A917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514ABB-C39D-4B8C-A175-7F2C1470EA5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2F2F22-B317-4959-B961-6F0AD4F4C3D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CA3C6D-6D48-4F3D-AA16-3C631FDF49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470588-0EA1-4264-9F40-ACDBF1DAAB9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378C11-2C65-4AF1-A220-AF26DBED640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0FB35-3E37-46DF-9A00-147DFF08C7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410D2D-4E7D-4E9E-A7C5-EE0819E6743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0EB08-39B7-4E9B-99FF-2A0C487A925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AFEE2-F730-4A0F-A6E9-991A9CE6B0F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A7B46F-5654-4A93-9D36-14B15525284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F7402-7206-46C0-98B0-B022731CD32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30585-540C-4F93-BF65-CC0742E2D15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489C4-6A2E-4D71-B7FE-CD02BD8135F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DBA5B-5850-4C31-B36D-7091E41DB3F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82979-C34B-4AA7-8EF3-BF488371E9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CECC0-76DA-4804-AACF-408D97A3DA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78DF79-4CA1-476D-B600-B0E374AE49E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23EC7-6448-4965-A797-0B6FC04CE5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394CA6-B964-49E6-A4D1-72E50488C0C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CFB236-C6DA-4404-AC06-2B5F1C87FCF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02E61-F8E4-4760-9689-33B6FF84CA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D35E1-492B-44B8-988A-E8CDBA8B482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654CBA-D919-407E-9AFC-ECC090C7CCC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AEC6A9-7B3E-4EDF-8AEE-2F1A7B2EEBB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C2D2E-AE27-4C8E-B654-260F5BB911C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39B55-7D1A-434C-BDB5-522B61E8E3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F82F3-68FD-487C-80A9-9E5D6B7C5EA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1A03E4-1C10-4D55-AD52-1A3DAE6C06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6AC747-EE7A-4F97-804C-FEA4E2DB30B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7D362-5098-485B-9DED-FA97A5453B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086F1-BBC7-4201-9E9F-B9D50185F66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BED59-ED5E-4009-A4F5-B2649BBF3F9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7E3E3-3E01-4B2C-A816-293D08C66CF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5E3AA-8830-431F-9808-BADEF4640FB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54A93-2EE6-4DD9-8697-E1B2E4D5D8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32047-EBB3-422A-9F21-2E948C9FC5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7282E-C51F-4C63-82EE-06C4ABE2275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BF3B8-839A-45EB-981D-CC7DC233FFF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013BD-38D6-479B-8FD9-F22E9D3B2C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BAE31-9C9F-41D0-8F40-3C264AB8C9B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999753-4E46-42C9-953A-BFBA7EFD405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E3802-B625-40E3-9685-EDE0AF1693A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FA57CF-2E88-4E96-B9EC-32EEE50AC6F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0C374-BF7D-4B31-90B8-5C2A1F16BB5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253BE3-581B-449F-9792-21CF0FFC9BF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BAB41-6C7D-4CF0-AD80-FB6A963F13E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E223AD-0219-4D46-A347-1075DDFEF0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FFBBC1-0E43-4B82-9E68-268F9D0079D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91FCD-804C-41EC-80FB-6606F77A096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90310-CABA-45A1-8FC6-CBDE1ECCF5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172F2-6191-4382-B10D-2DAC911589C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807B7-D46B-49E3-A661-0763C25E9F2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52CE56-2129-4DE5-BF39-7CD1E07A917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3A6B3-FF3C-4CF4-A8D3-4ADF0F64050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B0024-106B-4FFB-98B3-56CD2CB9441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1664A-BC8B-4C05-8198-1734B4529A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5A48C-8DF0-4AF0-ACD9-CE3B28B82B2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3381C-5068-4D76-8A93-C5709F84F0A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088BF-A679-43CE-9C0C-2BD270B272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3187A8-588C-4342-8416-66D6799560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E81D0C-CBFE-4FC6-B787-36341DDCBEF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E11B7D-494D-4ED9-A69F-3EC51882B6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AB872-5BFC-490B-896B-6F82CEF6557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24F7D-760F-4811-AC0F-3F610E13BE6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C2BFEB-CDD1-40AD-B8E2-9792C633FE1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FDDA56-E573-460A-AB83-443541438A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DDE54-5637-496C-9530-3F273579733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E843B6-4514-41AF-A3A2-2EF51BA68D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FC329-9731-4388-B3A3-02833FD57F8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9A3AE-71EC-47AB-B343-5A9DD2C6B14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336A3-BAB2-45AF-9B86-006C24C591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A5D08-A629-4C25-B2E8-9253BBE588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4E4E1-60CA-4882-8D40-6DE970FCB22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2F95A-08C9-4852-ABF8-9D7E9746BE2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ADBA8-1937-43F5-8637-EE20637F56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C11CC4-80E3-4C0A-AA26-0567EED9F1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D2BB5F-B89E-4D88-A3D3-9F9FDB152D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168A6-CBCB-4E69-A2FD-F2FB767C09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A36E44-179C-41DF-9EB7-D0F01607160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DA5B18-2589-42FF-BF75-7D0110DF4B1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860F1-A93C-4367-A5A3-06CA1A0BD03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D15BC-4E39-401F-A7FE-C0C8064C1B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13AED-DF8E-4B9B-BA9F-9D69DEE640C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4E915-5898-4242-82E1-86F4087BA3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051D2-A830-42DF-A54E-36FF25318E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D6D974-BFA9-45BF-ABD4-5B124CB173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6A306-103A-4CCE-8735-B9D67A36EE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0DA90-6D06-43B9-9F7D-97019B62E06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CC8498-0F72-4262-B46F-52639658D9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83200E-EDD9-4305-B67C-1DE61153C7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FDCFCA-97E7-4F39-BD16-4D3EF1D0D05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FD12A5-F97A-465F-81AC-B5334DA697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FC7B7-8648-40DC-9201-79008CCE7E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9D774-6995-4A0F-8EF7-6D38EE1EAD3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B48C56-576C-42D6-B30D-F39166E65F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B669A-47D1-47E9-87BE-A346ABE3038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7F452-C060-4F7C-AB7E-625ECD2686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EBDCC-D0D4-4C47-B6B7-E5358A1DDF1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682DD-3023-4CBA-BE11-1EDEF451BC6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41CE21-F5C3-4A3C-AA9C-2F58C9698B2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91576-CCB2-43F2-B2EE-AF3EF8DEE37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AED7DE-FB9B-4A76-BFB6-5F8EC82DDF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20E53-569D-473D-8FA8-433CD10AB5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0D02A-6EE7-4E0D-B212-DD29EF64F7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3F3A3-719C-47DB-9C0C-89F62C8FB8F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3FC67-5D0F-4254-9D69-ABC240687B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42040-D732-4CAA-8188-DAC2276AEDF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9A3BB-9E77-453E-9C32-D57C8E218AB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49CD8-AD3F-4DAC-A241-13CB30FCBE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2368B-AA97-4A26-95CC-8686BB2C35E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71D61-009E-498A-BEAF-969FBD8ED68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EFF01-9972-4689-9DB3-358F3F35E4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E3AB41-D9C0-4A6E-B68F-5418E9F1F6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493AE-1503-48AE-8CD1-8F2E2994B0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88138-772F-4BDC-B233-569F519AF1D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42F196-D2D3-451C-8F89-5AD67880F2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63146-340C-4727-8AE1-3F6285DC25D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C7FB7-A198-4375-9CA1-659FF3107E1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607ED-AE7C-4EC0-B20A-0080C132AA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6CD31D-F093-4085-B0FE-E84115D0377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52FF0-6ED8-4731-95F5-73895BFB39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54AD8-E3EA-4291-9BE0-B202387709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167FB-3931-4682-AB45-41DA7D1154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B751B4-6C55-44A0-B051-817667C8D6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8E6044-B7F4-4C06-944C-F6A6E3B16A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6C5584-A7EC-4278-98C9-42FC4B7BBCE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E35561-1B75-4CF8-A273-FEF38871073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7B227-78AA-471A-8EE4-4A7B6362A3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E9EEC0-973D-4360-A607-8ED4B4A7AC1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FE8943-50F0-491C-A2D3-B61CFDB147F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762AF-CB00-4E92-A5C0-8EAF84B74A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26C0E-8B7F-4AFA-93F5-9D73AA6BA04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92868-575E-47FE-A842-848BA1D60CF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CC5EAE-DD30-4C34-B414-D330B7A732C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97B54-F3FB-4C4E-8DB4-D10A9B42F41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FD1970-A209-4DF6-936A-62F0CC48B69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11A0F4-0667-4C6B-8D03-4584B771EC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FB44AC-F211-4A14-9F9B-31883431E6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EE5DD-83B9-48CD-B072-A611557205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2696F-5AA5-42EF-8522-B332FEAA885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C430E-BD46-42CF-AF98-12183F5BA2F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D5ACA2-F512-4021-8DA5-C2D15911E51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F43DF1-7543-4160-BAF4-D83AE3C75BB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0B69C9-06BF-4161-8C69-BFA50FC79D2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833502-85C1-4B46-B4BC-A4587747C64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4D2E8-67D0-42DC-8820-C6AA38B8064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F8349-7DAA-409B-9D89-D67B0887FC8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3EEEBF-F2E6-4B2F-BF43-0030E271D9B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40FF0-4F28-4DED-9B17-812182B8298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3F8060-9B6A-4DC9-84CB-E515FA4C0D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FD826D-347C-4730-8AA5-5114C93BDC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86696F-7FA9-4BED-8D4A-D6DAA0EE75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5BEF8-2042-4B8B-8F4F-F0214DB8F5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A586DD-97E8-47EB-8237-A5C5C32BF85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18714-1201-4559-8E96-D95C13D34EE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5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C4541-0EE4-4A69-B1C6-0FA0E27DBC4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B0ED0-324C-44E5-B406-E8426AE6A1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2A0BD-DDCA-47A3-AC4D-79DBE9AB834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36398-DE38-4268-B856-51318C4C80D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95A37-24B3-486E-8FF1-9F4C8A05382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B2B9C-4547-439F-9848-8F77A20317D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56DB8-B6A8-4668-8A1F-FAA10D6E4B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F5428-61BA-400D-8EB0-66976187E33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A5D7F-1615-4753-AEB6-5D80C615FEF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AA0E6-ED05-4BBA-9E69-0862C14B22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302571-2ACD-488E-B0A2-C16C5CD008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A7AD8-41BC-483A-90E7-CCA701DB6D3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3FC23-393B-476D-BD80-7A9A3235EC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41F03-F46F-4DE3-87D7-8F15C4F03B4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38E69-5790-4D7E-A6E9-85C48B4324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0906B7-4D4D-465A-B4E5-3D174C76A3E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819E80-9A11-4EEB-87ED-DF2F5B7AA74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0D4840-4A9C-4317-868F-B9D0C3EDCE3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0B015-6A31-41BC-BA27-73FAE23556A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F2F21-3964-4B7D-B843-4C89DBC27A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B07CA-47DF-4A76-B6C0-F2B341F8ED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07215-33BC-4352-BBDC-9ACA1B9078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DD56E-C335-4787-A26A-75D1741C27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9256FD-CA68-4FA7-9B0C-61CA912DFA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04A84-0540-4BBD-BA98-F51788EAC5C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AAD9DA-7234-4661-AF3B-B3C17715A58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4256C-684F-487D-B1CA-74C4E6B7ADA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31D0F-7B3E-488E-AA48-FF5B01057D6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C1D35A-1054-4909-9B45-0CF3F0F1D6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E9891-B81F-425F-BEE0-C6B07672253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28C9F-0922-440E-B660-9B6C053C8F2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3FE4A-093E-46B9-8AEB-FADD6D54091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921D1F-DEE4-4E3B-B616-F3FC424FEE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15861-B9F3-4668-89F3-8346CFE8452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51370-1C63-49BC-A5D9-44E00E2D7C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90A53-5DB7-4E26-8418-1CF862147D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A0B3C-8FC6-4EB4-BAEF-0ABB4395565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4E4AF-DD69-4AA5-8DBA-222B98B601D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1264F-4E0A-4E8F-AC13-9C04560560F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2971E-1123-41B6-A2AF-F4FDC87F0A4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493BDC-8B96-4036-96A9-FBD1CEF080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6870A-C1E6-4EF8-B964-172D99282AC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1B458-08DF-4EBB-B8AF-9B2184744D3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91FA88-38D2-4295-85D8-24C6FF1E846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A3749-4334-4AE4-A2EB-FFF6522C6EE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1CF89-103A-4A58-BA4E-C5375D8747A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621B05-F0A9-481F-B4F1-6ED5192D7D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81071-869E-42CA-B966-00B9FF9D153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592F6F-34CD-4C2A-8DD9-BD9C61F2A3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76E62-03F5-404E-A22A-3C86378009B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BD74D-5D95-4CB7-A49C-527D59BB17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E9E109-E389-4EE4-BDBB-26BAB455B2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A20C09-0464-4F5B-B668-413770170F3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5AB1B-C18F-4AD9-821F-09F74EC181C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A0205-9F43-43FF-ADDA-C4E0D487A3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A4C4A1-62BA-4B35-A784-8F217F7B47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F513B-8893-4D35-9AC0-208A082D54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D4E9E0-DD09-489E-AA72-FB96E89BA96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A6D17F-59DC-45D2-93C4-A4027049076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C0862D-DFEC-4E75-8AC3-ED35D04AA62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89C24-8451-4D89-B1A8-F641E170A9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2B356-8207-4403-94A7-9E87C95353A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BD7EE-CF3F-4BBD-9A36-263E7EE0F1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55FD37-2C59-4077-B7F1-C3C884A3194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5E1D50-BE37-4B04-9CFB-65D498700EF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1238F-4FB6-4DA6-B27D-3E4F3E88CE7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6ABBDF-0C68-473E-A738-E2E30115C97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277A2F-774A-431E-A947-EDFA25A91D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C05087-17C0-44BD-B4D6-B235D41D761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95364-9A88-4BF8-A878-03736BCE047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D5F69-1403-4783-8F20-43D5D47A9A5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61D75-7AE6-4D2F-B2C5-2F2DA3CD97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3676ED-D13B-4D02-8D9B-AA7A7214253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D0657-01C6-474C-A149-EE7FCD6FFF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4D8EF3-EC18-4EC1-9313-CBB01DE260E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4C4D8-B536-430D-AC5B-B372BC0FE4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2F9104-D261-4E9C-ACC4-0249CC65B1A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3DDEB-1BA5-49FB-8430-63841134B0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BEFA5-4908-44E8-A132-4423963D3E7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9113E0-62C8-4E9A-9C19-152A346DA6A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1D69D-FFE3-4E08-9971-81F753C826C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336ED8-2F25-4E10-AEB6-4C259FCB7B8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BC39E-DEC3-4E95-8F9B-E4EE72EC68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AEE4A-245C-4A5F-8DEF-D4535C45849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859F7-EF10-4C52-B55F-F1D550FC9D5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A9D2F-F954-4B98-9AF3-B9F36BE740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C4E5C4-612F-412B-94B3-FF0721AE9E7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2FD2F5-7953-417B-8606-A09CD92BD9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43418-31A2-476C-875C-B6FC543AD8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A8F11D-F542-428C-9AF7-9216AC1D41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FC0C48-D979-43E4-BF14-AE56ABA3B5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EF829-B4CE-4450-B1BF-5AA12C863E6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9BB57-3C69-4536-96BD-921E82C93E5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1EF8D-AE21-45B8-9594-FA850658E8F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4EC399-FCF7-469D-95DC-1670B411974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0BF97-F517-4D28-A45D-C044C5786A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D0797-9F81-4730-8258-9F79FE1DA94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5C18E-8B94-4AC3-9EBB-5FD775A460A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BAA74E-121B-42BF-80A5-474DFE98F31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35F085-4EEA-4578-A5CE-9A709580E18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F4777-C382-40CD-9A1A-ADBB24A5306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AB013-EB6D-4161-8EF6-81BB069AD83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46098A-D093-400F-94A6-410BFACFAB3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8C561-B348-43A4-AB3C-7F43A95E3F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1F67B-5188-4C22-9BF4-626FCDA5FC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00FBEF-8621-4CCE-ACB8-90183D42B1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962B70-3450-40A3-8690-63501F0C8A2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73213-4073-47EA-93B2-E100DF3975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60FE95-A9E7-47D2-9AD0-F24F820D45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8D67F-220E-4F80-9FE5-020DC36CE1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465887-ED70-48AA-B8F8-C32F2C69A6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0E3DAD-EE9A-416B-ADE6-18347888FA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37D490-6EB0-4C1C-974A-A37257F2380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E81EF-FC64-4954-B19A-21240CB2830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4A47D0-568D-4F9E-9B56-5199CC591CC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F562F-E13C-4028-A16F-59EB0F3D876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5ABC4-3A61-442A-878A-35B67E84D9F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4B478-C4B9-499E-B3CE-9E0B360B5A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0FEAD-D518-4B18-9DE5-24B053AE17D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9EE4E0-33A7-4CBD-ACDF-CBFFCAB76C5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74590-EB72-46E0-9237-19B7D57789F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7D3898-5909-478F-9771-0FD7259E7EF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2D37D6-1523-4354-8045-DC217D6F99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DD6E82-972B-4CD5-93B1-90B20451EB5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BA5E2-12C6-472C-9E78-20B6630C84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342C2-1349-4394-96BC-111C69CC95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572C9-E5DE-4104-9B1E-9673DCE0EE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74CEE5-54AB-4B1C-A962-65D09D74B06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F4A9EC-C472-4080-A6F6-F10344BDCAA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B43F4-51A2-4000-8368-19B40383D3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5AB63-12EB-40DB-9144-5BF31B08A3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B0C1E3-6B91-4925-B31F-2C8BE10309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FD010-A541-4569-9FCA-26FF96C8B7B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76A8E0-366A-4A00-8AF8-6987A18243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FF6EA-72BF-4F4D-8F0B-C1809D1BAC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27436-D1AB-4006-BC8B-2656EE18F75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BF3EE-2C69-4D08-A3A9-021385B71BF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8DC02-247D-4A7C-A87E-E648CF4CE35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849439-4E13-4776-838C-E8C78814FFC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7ADB34-A9B1-46C0-8C96-FE99D60C410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2B024-43F9-4925-82D3-2D69C9CB48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3547B-1419-4AB5-95F4-9D5ACE8473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75E75-8D67-4149-8D14-0E565DDD07C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FBA83D-0DFC-4B92-8B51-CA0E61B988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64E0F-F766-4F1E-A172-F1E6B66784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5F49C5-2514-412F-B325-1C1EBA27EC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A8B24E-E6E0-4165-AFC6-63D9FDD5ABA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EA3029-D288-4384-88D9-5DEA974372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8610F-9D92-4319-B909-8444E4E4A8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562D8B-15E0-43AD-B7DE-E0EF8DF63C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B4855-BA7C-4050-BE69-1BB0BE31A6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A02B36-99E9-45DC-848F-6DD0FFA7F6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0D008A-9490-41B9-84E8-04C8DCB7183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70B58C-A4B0-4274-BB65-A99617AAB3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8D3EB-6BD9-49B8-B2DF-99A5DF7D18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5C093-88CB-47C5-B773-F9BC33AB692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E3535-877A-445C-B0FF-BFE3444DDB7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B1924-4E3F-425C-96C9-18398108157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11857-68FA-4462-A80F-CA83BE6B5B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6AA86-46EA-40A1-911D-9E433068FC7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685A16-8AEA-4536-9470-C605F174D1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D5438-9DF6-47B3-8B50-021932C2A1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E31DA6-848B-44D9-BAD0-C941F00CEB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19E6EA-4EED-461C-BEE6-4FBD624576C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FA783-7108-46C3-B8B7-C9F304108D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C878C-3681-4482-B926-7CB30E1F9F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B834C-E1A8-4AC8-8A9E-821FDD37AD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544000-3A05-43FD-BFC0-B0297AA59C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0CA8FD-2748-45FF-8002-7ADCA262B8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9799E-FD03-4ED3-B713-DBF463EF214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A6DEB-283B-464D-A314-08317885E25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1D9F5-EC56-419A-8FC4-98257C88E28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7A5E9-1B79-4DBF-A131-106F251B34B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77301-59FC-4744-AD96-A7B95360B4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D4BA9-CC77-4EDD-BB6B-71ED714343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5E9E9E-D292-4244-9673-9B2D05D1D0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F3A6D-6375-4EA3-9E62-1E44DC1FA1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F836F-A783-4139-8CBD-2753C0FD6F4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FD906-FB35-4E57-BC54-9AE3B9C0817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AFF78-03ED-4CC7-9DAA-6B36D069AA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497240-986F-406C-A413-BD571E3A1A0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2D3F6F-CEF8-4C4E-B27A-49C74911589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F78A6E-73D2-4E0C-BDF4-3BA9C782E7C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6E9392-DBDD-4FFA-9D90-11D81E39C3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5364C-5CDC-4DCF-97F9-67F581D08A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8F578-A3D4-4AD9-B9B7-7B72557CC32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C76F0D-3351-4652-8175-F58BAAB9F3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211A8-619B-43DA-A173-135F09A501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766F3-4912-4AF1-B785-9C5D00AAB26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ED02BF-11A6-4198-ACEB-56985E1B97C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25871-0CDD-4ADA-87AA-B9082ED9669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19F68-B9A8-4420-A1FC-650D843B326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2E815-A74F-4818-99C1-67C8BAB987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A01BF-0BC1-49CC-B11A-EB8DD4CCE8C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E3CBBA-921A-40D1-8F88-9696E130928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DA294-F544-4A93-B556-DA8D38C2354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32A2EA-8ED5-4F35-9CA4-7753EE966E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D8B3A-EB03-4C89-B6EE-97E4F026AF5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C43EE0-A602-4980-8C6C-CC71569A4E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92A32-1EA2-47DF-9E42-EA552FE857E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288A2-00EC-46BF-9FCF-4CA6CA36ADA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01C17-52DE-4866-A855-E3285265091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5ED71-CC5C-41B5-A80D-A33A79A682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04D3E-6198-4870-988A-664CA89D9D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F76C4-FFD7-42B6-8528-420245F5CD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05E02-26D7-4345-BC3A-A79733B51E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741282-562F-41DC-9DB5-E25377FD07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3D083-3B9C-49D1-ADDC-7BD5E0FDC0B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2F3CF3-65E4-4B93-9AAA-97E37D8BBA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E4EC3A-7FE2-4309-B6B6-0C3A233E865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0789B-6E6C-4F85-898B-A1B7BE11AF6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E9E2E-1E24-4D82-AD7E-7E60BF399E6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1EA84-2EBB-46D5-B01C-3C0D7DED01C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21E97-4458-4086-9FD1-2A223C433D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C68EB-87B2-45A3-91BF-4C99BBDF6A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C072A-1484-42A4-BB91-A8614C40F95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054CB-B3DA-4DFE-809D-B468D5EFC0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57FC9-518C-4DEF-8C90-5F9516E0CC7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EA1DB-5667-422D-83D4-2B8E0392B39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224B0-4521-4B13-88A0-CF245426109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435DC1-2EAE-4CDC-87AB-4C06C804538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B9106A-E4E2-408E-A83A-18966BD8DF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C5B59-6B20-4C77-819B-567C5D05C22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ABE045-16F3-49F4-AE7C-0DB3FFFBED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8A4D9-A444-4580-940C-769CE9107E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816493-350B-4802-A479-9FA1BE49989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1C385-059F-4902-A109-0FF8BA35E42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2D048-08C9-4E63-A909-F6324FE1F5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0A88BB-7034-4DFC-8864-111AC92BF6D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506F6-B0F3-4496-B47D-8B72E1AC0E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FBC16-1985-42B4-8E13-BEF6AEEEA8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7620C6-419A-475B-A09A-8B86BAC548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614DE3-D7CC-4E61-91AE-7786D13BC4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CE6AB-504C-450F-99AC-2D82CEC699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F0B0F-8848-4B46-84FB-5335C70C91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B7FCBC-6B9C-400B-BBE4-4885A025402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C75E3D-E275-4F8A-A119-B814679EF3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617E3-56CC-4C3E-94AF-38E7C8DA33C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5BD7C-BF48-4D6E-A4F0-0FA9C6D4807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D9647-2A23-4D16-9B29-38D094F66B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919BA7-5B8D-4F37-AE53-CFCE59F2692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BA8EF-BE76-4F53-AEBC-3FFE69F7AD9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1CBEC-6DE3-478A-A28A-BAD6539F294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F9399-427E-4278-BF8C-09E053DFA00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DD2585-6720-419C-8269-04FDB0EF916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19C11-B98F-4BCF-A4CA-0BD02853233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E9802-5765-4822-BA29-9315BC35D4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93473D-C9FD-49B9-96FE-9422A0BA86D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5766F-04B0-4C01-94AC-27CA1048111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79F1B-25D5-462A-8059-C24E7B1141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1EABB-ADCE-4367-B838-8E1F51BCB7E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2A993-7B2C-44FF-B7CF-D09C62FB4E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9EBF0-8B6E-463D-87D0-04953349BB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DA846-578D-4F5B-9DC4-CC9947F5A48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FA98B7-2C71-4D48-87EA-46506C0DED8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4FE91-3970-4467-BF79-2D3A136080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39E8F-28A0-4335-AAF2-EF6D2930E62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B5B73-5395-4C6D-BE1C-F600E3951F9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93A4A-1AE1-43C2-A478-EC9E7264BD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5D9C8-744B-4082-8E17-770E8169A1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BBD74-50C9-4490-807A-B68C36FBC99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1F7D6-C6C6-4DB7-BB80-89DB0FE8ED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375D69-C75D-4BDF-B8CC-AECABAEC438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2FDD8-9EF0-408A-A7D2-D37B31FB6A2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DD5EB-82FC-4BA7-A0EF-414D6ADB035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19D1EC-8843-4ADB-8DD4-6258EA1EB71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583D3-C4CB-4000-857D-124C055C25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67A64-3EDC-4158-820A-0B33771797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63CE8-3DAA-44D9-9A5D-E3B5368F89B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6E9B8C-29B5-484B-B87D-D79B41349FF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DED06A-CE91-4708-8708-F63EDB4DCC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A22342-0E0E-412B-B005-0DC79F418B2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17172-8ABA-4CB5-9ECD-E1110A4334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1C9EC0-8C93-4E95-8EE1-3FCAF08A57C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1AB92D-6854-4C60-B6CE-25EF36D692B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069086-413E-4DC5-84B1-92A6334B20E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8E665-E23E-45C2-B989-EEB356B6D4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1C17FA-E6E1-4A52-BDA0-A97723CFC72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9B7BA-27CB-44FC-9855-01DD7374E4A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C702C-542A-4C9D-980F-05A5C2A4A54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FB6E2-2AD4-4D90-9DD7-D923B73750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8C8834-9A70-45CD-BE83-A753C671847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6045B-4B46-4D56-AB34-775A60D5EDC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2CE28-DCA4-463F-955D-7E981BB5568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8CFDF6-D493-4BA1-9D1C-8D2003EA6F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19B12-E5A4-41BC-91BB-83A7030B627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98342-3C54-46BB-88B4-BD7B9A69D59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7F47F-084D-412A-ABA4-A1BA1F44297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DCCDC-1F84-4963-A180-8C9F630E274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A550D-BF2C-44C8-8B29-C6D8507E17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A3C61-E9BA-4BFA-95CE-9FB78EB5C59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F550B-E76D-4CEF-8A90-22C6B7E6FF0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8F512-FDB5-4EF9-B3D9-4A7DB99F24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EC590-7C73-40BF-8E09-7EB505B940E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DE6F2-11ED-4EAC-A836-29A40D50C02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0FC64-001A-4B17-906C-0A7EE79EEB3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F1826A-9BF8-4923-9F67-27DBF30F014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FDB2D-E1A6-49F6-8642-AE39F588CA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381FD-90C0-4EE1-9238-47598B22DD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572EB4-F029-4CCA-8535-2D4E6B53BE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EBBBE-C544-4B8A-B1EC-B7166B635D8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5ACEF-4AEB-404D-820C-E89AF3DCA9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09CBB-081A-46F2-B878-02BF895308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52E2F-7DE4-431C-975F-C2CA74D575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9EA2B-569B-484E-A21D-CE408F0950F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6E8E72-6AD5-4E12-8B31-7263E30CCE5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48732-3A52-4092-B4E6-773A36F724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BD2565-62FF-4466-BE4C-F993687CBD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7DDBE3-958B-4C38-AD78-210DA4970B5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FCDCE-D4AD-46B3-A5B3-95CC68E328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5AD0FA-6F89-4E96-9E24-B0235BF6111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3134B-D7CB-46FB-9360-A1C98E21FB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FC3A8-23B6-4A5B-8E39-4CF5BA186C1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02119-602B-4746-87F9-D95EA656740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852255-115F-4C31-A341-EBBAD46304F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7DE0F-F856-4783-B2F9-DD0433B56F0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CE2B5-93F2-4BBB-9B98-0472D38AD02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44967-CAAB-4065-BBD2-A63597F2C7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1BF40A-3389-455E-A481-9C37BF8972A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09892-5242-4E4A-8D8B-37E77ACB4FF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E3CC64-60B2-4C2B-8297-A02FA6C9A1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5C5CEA-1F66-409A-AB97-9EE9042C996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061C1-05DF-43BD-AB37-1B46F3AE21C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C5402-605F-4203-988F-EEB1DB0CFD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1BE4D1-032C-425C-ABF9-9CE616F7BCD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723CC-0216-4AFB-A042-E11E2F99A5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BDDC6-9BAD-43A2-8C44-556E5FC131F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8E7BF-6698-4B82-A514-245A5CB7F80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9FB556-766E-4126-9A54-44565CA161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DC56BD-CE44-41C7-8760-A1FE6568506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4E2090-B7E3-4A55-8483-4564588054E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2F38F-B252-4915-8D05-04B3D3095E1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A65F71-9E2A-4685-AD65-F5BDC29D1A8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DC171-EF26-4007-9C68-E9E3ED7CE63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ED8E14-793F-433C-AB91-A4F975972FE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36FCB-F79F-4591-84DB-2528C50A29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838B6-19A7-4BFB-AD62-8EA079EA7C3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3474A-4E06-440A-A44E-E5F2C08485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1CC11A-E843-47FF-B116-8D376B039AC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2D24D-5198-41BD-8CA5-D4AA3AD912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D2190C-084F-4243-A47B-F66CFE4528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7CEE4-6728-4C24-B98E-FE80D5F4AFE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B92372-AB97-43FD-81B9-7BE1B2B984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65DEE-95FC-4B60-A1B3-E97C5D7EF62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42E965-57F6-49C0-BFAC-8C8110EA906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D2D6F-511C-45DF-95C3-B46D5210E52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7002D-0561-40E5-9DBC-C1715763F95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4968D-37B9-4AD8-98ED-04F3A7DF682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91D7C-EDAF-455E-86BF-03D6A2EEAB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842A7-6FAA-4204-9069-ABEAC8D2E86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7B726-A1F2-4CFD-B490-4E33642931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FFBE84-7FDD-4D34-B009-3D0313DF53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259D4-A7EE-43D2-8D5F-44D3819D3DA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3D539-BB6F-426C-B57A-7C1040DB2C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AFD66-AC79-44BD-882F-530DB0227A2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13DBF6-0D59-49FA-B7AF-97AC1FA6FC5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41843-1320-4DB9-96EF-215CAA046BC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AAEA7-3F16-401C-9B13-9D99CF5497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7F37F-3C4A-4689-8FB5-71C7E896CF9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576E14-96E4-47EA-9371-DB98D48C32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952919-870C-4730-8429-93FFF03F17E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701F22-9987-45A5-B920-0F0D31FE69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9DF8D-7ABF-41BC-A0B4-C680244EC6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371001-7550-4000-9117-7851ADA0AC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542BD-C204-4E2F-82EF-109453905A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A88CBB-62C0-4916-899E-95319748142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63B95-A4F3-4D76-9B01-4CA06BB59C6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A8351-F7B5-4E81-9AEC-017E3AD739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B498A-744A-4584-9F55-049FDC2320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F5643-996F-479E-8084-2F050766D03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99CB7-B6F3-4F06-BF6B-9556699D6F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CA04A-DB68-441A-9487-689D0D5CF49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0AF21-ECB2-4834-B955-B0133C04C7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B13A0-A9FF-4D53-A36F-BAEF3455F9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06EB7C-2631-422C-A5B7-C1B0CEB989C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FCB247-7491-4708-9A2C-7D44634108A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0B1417-8B03-4E9A-B122-96DEA597AFC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F0C56-6D80-4198-879F-B8A9011EDD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FBE464-E4D3-4038-97C0-2646B8D5C4C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1B168-919A-49F0-A974-FE317D609FA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FB3E8-46A3-4113-8464-A44650B2876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79CE88-5BDD-4085-BF9E-79E6424C8E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DA1905-3189-4E4C-8C8D-0B0F9BA6F91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FBBD4-2DA8-4A27-8713-4E9EC490C5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E913E-6B35-42D8-BA30-2A3E46E9F2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EF5BC-BFE7-4DB9-8350-511692F0A2D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F9836-BFFB-411C-BBC7-1EC6F95521E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EBA6F-0416-4881-853C-12EE690372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1E733-CE09-41FD-8C5D-EDA417FCDFE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4D5EC8-951E-4406-AD60-AF2DA8AF566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A7D67B-AF0F-465A-8579-9081A80A52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B946A-2365-4B31-A2E3-6FE96127186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07EBD-F9F5-4A40-A608-AE30C8A212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B10CCC-359A-49DA-9EC9-55855DC4A0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8F5E8-E5E3-447D-B22F-3E0D94278A6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875AB-897E-41E1-A444-6EF7F6D23F2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92B7E-788E-467F-90F8-BDF0A9628AE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C9B3A-3050-4FB4-A344-7FCF46B47A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8D44F-12F2-4FBA-8586-1B2E718685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A3F69-2C4B-4CDD-A5D5-F15CCF32B55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ABE14-D0EA-4F81-BE10-2642BF2B2C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FE337-846E-49AA-BDDA-AD7B6D5EBB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8AC38-02FD-4BF8-B15A-786170934B7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B59C9-9625-40B8-B413-EE75C9321CB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778A1-7783-405A-8BE2-00866FDE45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98A144-A7E6-4485-B0B0-ECB68E67A2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F4CD2F-EF97-4D30-A8A4-AA9DAE40DF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206A7-78C1-48E9-ADC1-D0E1FBBF35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EEB81E-68F6-4BCF-8293-D8D621B9F00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349804-DA8E-4D22-86EF-D2AD496D8E6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0483D-5017-4558-875B-4F110873B3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45C8C-A9EA-4469-ACC1-07F44415F72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A8AF4-FC86-4C4E-848E-43C4A50BDDA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6C6E5-E675-4751-B664-D9CC723D2E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33027-A3EA-4132-9FED-B09C6054ADF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B58C1-4871-4F57-B47E-A29184802A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42697B-063E-4579-83A3-92C2258E3E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C96AA-9F2C-43B1-A8D6-6CAB22D7CC3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091CE8-C045-46CF-93FF-2564B698801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CB24E-774B-4818-843F-952A4B3B048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C93BB-8F83-45A8-9B0C-0E027C1F24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7C8DA-A866-4C06-9425-D624E93C9E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9E59F8-6B8E-4C65-85D6-3880E8A1AD9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782BB-EA9E-4BAA-A0F9-5B236FBD12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EFB6FE-2011-4590-9535-B1A570DAF1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6660B-A2B7-46C4-83EB-9BDD2B018C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B6E8B-72E4-4103-8625-7BFD2B7D2F0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8CFA1-AFD1-4383-9FC6-79A50A469CB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8BB06-7CF1-4280-B4E3-3591321C6D8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109FCC-DD05-465B-B622-6C73D251C6C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9D97F-CD2B-4D0C-B1C7-A114C166CC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B6F6D-3EB0-4448-AAA4-E50BABEDE4C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2EDC2B-3B39-4C55-A738-76FAF478501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DBE76-B57D-4D57-B0B9-1507537B306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1D1F11-822E-4851-9879-F863152345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B2064-9813-492F-8216-43D32B49CF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E29AC-1270-4D36-A8AE-7AB627FF33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09546-F1FC-44D9-B6AB-5C1231ED9C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179A08-6F14-497A-8163-D6D5FEEE01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B5754-47FE-43BC-B6DA-1F69B541360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24864-D556-4A0F-92C7-52AF5CA5C9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D9F931-D136-4782-92B5-EB31B9C9584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027E3-2C63-44B7-A295-BC3DF31D02C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58D47-69F2-408F-9D74-7096A2C3159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6C385-0828-4BD7-9CC4-1719306C7B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6A937-767A-4A1E-9E9B-A9A49CD8DF9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B60B8A-4821-43DA-AD23-F4550164574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73787F-8579-47EE-865D-7D1CD1C2E09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23C44-CCDB-4A20-A835-09FBE38965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E9B8A6-9298-4283-8ACA-9451DA40DBB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06BBC-8C2C-4AB4-8E74-310E5F6E570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CEFD1B-F218-42A2-88DA-C85E76522D5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97168-646B-45CF-9291-8DC974B0C1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3250D-EC27-418E-89FC-C6BA42A7CDF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D486C-D4C9-4A7F-BE69-0BDE70E392D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DFAAB5-0F47-43BD-AE46-316673FBB07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6FCE15-7AD6-46A7-97F5-6CA08194B85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B2AC0B-BD0E-43D2-899E-8A45E9BE3B2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FC8FC-0CED-482E-BF24-E6EF75D8F72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A8048F-FC7E-41E4-AA9F-41CA79320D0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7B39DD-167E-4135-816D-1A80F6308F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8D2D9D-7056-4D05-9386-2D6EFDE3033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076B0-1663-40A4-B6A4-751138E15A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210E4-9B37-448D-A737-B580BB2DB88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000F47-2848-4FBF-BA1A-AEB6C6F8D02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1DA43-677A-4747-AE8B-CC97B471D46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4B431-0646-4D5E-9797-36B4D36980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A3EA2-BD2A-4F84-BF9E-F075C017BA6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6FC82-2CA8-4A61-A9BD-0233C294EC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98434-47DF-4643-9A32-4934061CD52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0CFD7-F26B-4ACA-B165-624B2E7DB8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53A294-98EA-4BFB-95EC-74A5EA90FA9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67A00-E264-4BD2-A39A-C128156714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7C639E-8C84-43E4-A5BB-0B606448694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3295C-D89A-44F7-B538-945006BAF6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0C976-2220-4D25-8DE6-BBE146EF8BF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8DB462-16BA-4866-8BDB-5A7B0FE8C35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220CEC-6047-4BA1-9F6B-11AC71CA05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94A67-0973-4721-A8B6-E6C451C4A8D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9C0AA-9A0B-45EF-B2BB-E4FFB0BB2D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AAC31-68F0-4EF0-B5A2-967D1B63118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2A393-74B0-458A-862B-567ACD023A6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69A30-4F0D-4941-8C21-5EBF6B35AB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645D6-379A-4C71-8ADC-47B4FED897D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5F426-85D7-4F7E-818F-2588B7EE47A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28593-9DA8-4039-B9F1-327AF34B3D6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CDE6F-2A88-4262-A7FC-54AE6327C88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1F988A-8110-4EDF-B3C0-D9C9C628DC8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40FC6-D839-40E0-999D-B55681AB7F9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94631-1DDE-4696-B29B-CD331C746C6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1CA8B-0825-4C54-9A5A-0AE99E802E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115D77-1B9D-4FE2-84D7-744E721AC7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FF2B12-9562-4C75-A8F6-07D6A7C7AD8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1E165-313F-404D-BC94-0D4D31281C1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0B915-1F81-4326-8769-F3CE7D22A5B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5BF74A-F113-42C4-9595-B9EABE2F548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B80D5-9FD0-4738-B281-F1047061C3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1FC90-8B77-48D5-8506-50E4A19E72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CBB33B-E9F6-46B4-A259-768B32E6E08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5EAE6-D467-49D5-91B7-1752157FD44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0864C-3CB0-4306-AF70-1904364980B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0B99E-0E0D-4FA7-B71F-CDD7BF8C47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6A24A-26AE-46BA-9E3A-09C5BF2057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17E73-10FB-4EFC-BD8E-EA1B56FF3B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33399-98CA-4158-813C-1580415F35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354DC-C338-4128-80FE-A1C669F3CCF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6CC7D-BAFD-41A9-B0A7-E58142B5DB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C7C249-D085-4A40-A2D7-0CC5D87C30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1BCDB-0881-4658-ADD2-6F33BCCD56D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C1505C-1929-4AEF-9F7D-BD6763D4A9C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028A2B-18B6-45C2-86AC-25770A96D3D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B5EC5-21CA-4360-AA4C-1214F789E43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6FF94-B6B8-42C7-865C-42B828D006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3B7946-9C9D-478F-AC80-CD93F710AD4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9CEB5-F9AB-4001-BB70-9D6D88472F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B4381-57F7-4CB3-92B1-0A74DB6FD5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726BD-84E6-4D8B-897C-3905FAFFDC6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30E7D-BA33-4370-A8BA-38955D99BD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45D74-583C-4E03-81CF-52ECCD1829B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CBAE0A-0D38-44F4-A46E-5F88215A8E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17A566-3AA6-4AEC-8107-87A45AC87F0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A9D0F-41F3-43C5-A78C-6D9E346AF8B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269A1-C5DD-4977-956A-2FA71EA4A62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E354A-8843-424A-968B-E49ABB286F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03A9F9-34C3-4299-80E3-BDECC3FB40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6CCB11-44A7-434F-BBDC-7D5422A136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4679E-7601-4A63-A3F0-33C5754DE80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4E8E9-CC0D-48D0-A36F-0F78A8402F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0B4BE-3525-48F8-B9FA-12618A2EB7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AF71DA-E114-4A01-8797-8ED6CDE801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EB3805-D020-4D04-BA4C-C5E3A885295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0B3E1B-633C-49FA-8E0D-FF0B35A8992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1815E-CD15-4766-A9D6-F94BE402CEA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FCD80-A256-4558-A62E-61C327B8902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B28C3D-3E74-49F9-8118-252ADFBA2D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6C34E-F28A-4BC1-8156-F32D34E5EE1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E0ED0-D885-4210-9C2A-D9904845B3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EEFDD-6040-45C0-AD42-68D6FF7EFF7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A46020-FD42-46FF-97A0-3BE546D0DF3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BCE11-24B3-43F2-8B0F-FD00DEF319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DEFCC-5178-4B77-90FE-7D881D41AAB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9AD68-E01F-4533-A129-B6FE251ECA8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70192-B24B-4480-A845-E196604AF6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1D898-15C5-4C67-A232-91552BD61B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22619D-9C43-4A67-87FE-58C8E3F95C2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177904-82F5-4B20-A87D-19EF2BA9DEF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A628A-16BA-4A2C-82C8-24AA92B17EF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416B42-AF5B-4FA1-858C-FFC5B41CF3F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AA152-B8F0-49C4-B3D4-931373B264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2AB60-E911-4B7C-8A04-DE0408F8BFE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A266B-783C-4896-9D09-75ED8B408F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32EA7A-5C6F-45BA-B779-C48520A201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66BB8-EDC4-467B-A87C-11E75333386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007CCC-1985-490A-AFA1-70CE2FEE77D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80468-DD85-468E-859B-43B3435C15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FE7E8-EE5B-4746-987B-1EA0EBB5BA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AA73F-12A3-497A-9976-6414BC47ED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72104D-0092-4F7E-8CD8-62D08EC2900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9B0C8-C622-4BE2-A253-8017029AA2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45DFA4-4807-4E1A-96F1-3C623CEF8F5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B2DBA-49F7-41A5-A25E-95D0116C284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BDA3A3-069A-4E13-92FE-B1B6332C393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EF0D4-7904-499E-BB6A-C20B608D6F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3DC9E-C589-453C-88A2-7A750E610F0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70176-A977-4F11-9001-9E765A0895D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19D13-C0FD-44D6-B02F-3A3A6B56DE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E48FC-06F6-4569-BBDB-00E1A702C11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CDDB9B-806E-413C-A080-A99656AA36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FC7C5-4F6A-496A-BE09-C03C1164A10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D2DC07-4CBF-4678-B6B4-51AB389361F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A8697D-D6BA-4021-9AC2-F7B4423E81C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CDF4D-82C7-46B0-A014-F014E1DB36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FCF142-F78B-4DCE-8945-2C97D338FB3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ED7F8-AE2B-4B40-839E-29C070449A2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F1129-347C-456A-893C-B6B8F771CA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C1995-64CC-47B4-A53B-66482DAA27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D148FE-465B-4C25-B352-BC1DD800CAE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E93785-9F5D-4A36-9A6E-8B645D200CB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E8723-FBCA-47AB-A79A-00255B3F6E2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804B8-4354-4777-ADC1-6C773CE8006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BDA11-76E0-429B-AAB9-4AB1C9A2425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A2794-6186-4540-AFAB-95E0B9C9345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37B8D-BDB9-4516-BABC-694C4428407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53E00-D0F2-4F87-9F1C-B77F4FAEA9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C5282-DE49-4649-A744-37421833F5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7EDF37-083D-4EE1-8B43-295DBF7FBF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BFF72-D16B-4005-A995-3DA7D237DB0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0C3ECB-B96C-462E-B25C-9675C96201C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32ABC-7DD9-488B-9A4A-F9E92FF01FC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EBDF3-D3F7-4D49-A54A-3C501498AB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7B2DEE-7926-4D9D-87CD-4CAF1FFC329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67286-2372-409A-AA25-13AD4395A9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B5B6B-CF45-4115-A762-C7E02BD170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879354-4DF0-41A8-BEA7-0F2F8AE4814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669EA-0271-4228-8350-81AAC12CC70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51991-A51E-447B-9DE7-998795E743A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C672F-0350-4540-86E6-3FF0534612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D0A28-8A8D-4338-8023-A58498E53CC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926697-4F40-45B6-B9B0-A51561AA457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F39DAA-9649-4378-B2D1-52D8FA490E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387F61-821C-4621-A692-6F5EE205212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F10605-1278-45D0-8CE2-541DE03B5A0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F9A70-4784-4EE7-BBDB-781E63478D3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4A6D6F-A841-4536-A0E8-0AE27A4C19A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684C4-4CC6-4F20-828F-F4C946D58FC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27C4C4-1E93-4811-96E0-BDB950BCE4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E353B6-F797-494C-9D85-FDC25B968B0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AEA88-4865-4573-A72E-E27D73FD50B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98DF4-EB38-4BEA-A7D0-4216A7A3BE0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C4F94C-535B-4B12-9E8E-03E748D08A7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46C548-9334-4507-BE52-BCD95D864A1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0476E-4CC8-42C5-BB9E-6D7B8ABF4A0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A8CA16-B924-4872-B202-3BAC59BAF23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984AD2-73E2-4EE2-9053-CBBC9CC661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AA909-D87B-4313-A8AA-AB984B3C63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94264-B6A8-4834-A403-0B26C0BA03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1CCFE-7301-40DB-81E1-A348DA7C059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628DD-DECD-4323-83A4-506CE9D85BC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4AF1A-6F5D-451B-B211-8838B56A2E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F839C-6F2B-4742-AF34-63DD4CBE05B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AE2A90-D4DF-4F70-92B4-6D5C36ECE1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66866-F78A-4478-A1B7-15F34878B81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BB6FEE-AC3D-4C48-8379-399D335C10A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878413-A39D-4706-9B20-CAE1D10384A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78BE79-D4FD-4774-A714-36606B315B5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00D75-FF85-4B02-AD94-439C9E312DE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ABD9E-7742-4F8C-B2A5-0270E66CB2C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0038C3-C7A0-4A79-83DE-259DB0A4F4B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9EBC27-5EC1-4A03-946F-CBA7B0CB382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0DDFDA-7057-461F-B343-E3D33BC8FA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9D270-D74A-4F1C-A047-44C824C690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E30CD4-BF8E-45DA-93E0-7EF2386DB1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C41828-DC30-4D97-9974-75C5631D463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995EC-D148-4D8A-ADD6-9A6F00CC599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73FEA4-9E7E-4FD4-AC0C-24CD08C13E1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0ED9A-ADF1-4391-9AA7-05161B6E25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A75B96-289A-4D13-B564-FFE1835233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24AFF6-10BA-436D-AE09-BD9BB61AE90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BB58CC-84E0-4BCC-9F6C-4ABE20BE59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3A99D3-E1A2-4E9C-B22F-FFA2FB84CE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FB339-2DCD-49B5-B008-F4E9135AA48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AA004D-5A06-427C-A0E6-66C64F65309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441211-A1BB-4A1F-8B00-78AAACE9B55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59CE5-7EC9-404A-BB07-BF6FC2E7895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2768D6-2D45-462E-BA0A-AA4A14E429F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A8ABB-9EAD-4A70-9A3E-653D85977CB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D10AB-7166-469F-8BE2-8BA8BA97EF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7FB37C-722F-4E05-9B81-99619372B4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01C1AC-8272-4855-9D0F-CED89468DB9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5DAF23-9BD7-4750-83AF-FBDF5ECF4BB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35554F-D288-4E62-9480-CCC5BBE3C0B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2EBAE-087A-4582-8302-C854D3B6AC7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E7021D-E107-48FB-8038-6D6A8788D12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93042-4DD9-419F-8E34-8C0905BF7F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1A1F8-0BCC-4385-9E98-F9773F537B3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CDF291-FD59-4B55-80FA-0421115128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72B788-CF7C-4236-91F7-13D63DEF16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B112A-7136-46B4-861F-7B77AEB7A1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95B5C-9999-4816-8610-C5724BF0DFC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C93B9-73EF-4060-9FDB-2437BD7CA43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448F64-3034-4A69-9AC1-51B3241034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9264F-61D6-4E25-A8A7-C3AA859F8EC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D873C-282B-4D21-AEE4-BB816C64FB0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CC9A6-974E-41DB-AD1B-4E02A9BDB15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C1802-29C6-41AA-A39F-742C50151FB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61F1B3-C075-40F6-BEF9-BBA5D70451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A846F-0397-47E1-B4EE-B00625FBE5F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4A1D77-9B77-4985-839A-D8A28AB90D6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B70C86-86DC-4562-BE80-A023F821213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5B5014-A262-4883-AD1D-AC9D2EB373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0D2F4-19A0-4471-ABE6-02318476FD2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4EA1D-C64F-4849-98D2-35E84A702B7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AE19F-8198-4CB2-B3CB-FA1DF2E221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63B77-D468-49F0-9587-559F6D86DD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94DF2-0264-4738-8971-D33713762F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F83019-AF50-4635-AF2F-2C1A0FBF9FC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CB599-94C1-4559-B0BA-EB693BF1F6B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5A6C49-5F75-4731-AB45-0746F661245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18187-A725-4D96-868C-1C7D0D1D0E6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16A193-416E-4811-958F-9541BA173D3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7DE93-A3B2-44FC-8061-C32FC347AAE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7DBC61-62C3-46C9-A5C0-C4782F74F96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5F3FF-06D9-48C0-A198-6C740B8CD6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14674-258E-4E97-8B94-DFEBC853745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03CC4-3BD5-4B47-8E11-E13FF3333BE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B5B735-4E82-47BE-8EFC-994CA2A633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197B2-6B44-4D03-A8C6-64F5CBB8FD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C7BCE2-344A-4294-8B07-EA7C9EC67BD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ECA085-EB07-4E92-B220-EDDF25A5558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F4E701-15A4-4D30-95EA-8AAC27E0CC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96D49D-C1C1-433F-8632-E510053350B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EA4DFE-21B1-4992-A982-0228C98FF23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001DD-8004-44F8-B060-C03A13391A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B17D85-C12B-4578-9317-DB8DF5D1B5A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D54ABC-6E85-4320-B721-93A57C06A46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13F454-475C-4E85-99A6-017C11CA19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02AA9D-047D-4280-B5AD-AADDE2E35D0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24E3D-E62E-4E33-9DE8-200A6843FA3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E795F-07D8-4E99-A451-8AC2C50365A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BE868D-4656-4F4F-9652-8B342446C4D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3335B-50FB-43C5-87C7-6E5D3AAE74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CCF405-985C-4B52-A714-1B7E135CA7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AFBFB-28F8-435C-B640-CE9C578026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6F64A-2BF8-495F-8B3D-C19FC960920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3B82A8-EC50-4C6F-A8D8-C7AE9EDE75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FAD4A6-9B61-4AF1-A3BB-88C3BFE8B73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F4D6C5-686A-420A-BBBE-B185F4B158E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A0996-6193-4F52-B078-ABFE79B6CEF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CCB81E-D3A5-4176-AAFB-F85566F621E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BABC8-EEFF-4CD2-81E1-2A69FD1555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F5DFAF-23EE-4AEC-AF56-D242752C022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30616A-9BC3-451F-8865-2D821CECEC6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C4212-69DA-4559-915D-D770C92919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3A72EA-9111-43A7-AFCE-BC55460D545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4C5CEE-212E-497A-861A-873604C902E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1ACC0-7E9E-4940-92DB-33350E6765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4EA9C7-5DF2-4E1A-8133-1AF5BD27907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952EBE-EAA6-4260-A5C2-3802BC206FF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88ED5-75D2-4AAD-924E-A8B12F8ADF6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91AB0-85EB-4AAA-8319-7C7D71B91EB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FD4FF-9B07-4998-9835-D5DCA776158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3E979-71D3-470D-B48D-57324D1B39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456A61-C629-4C08-A9EE-A16CFD6255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DC5CE-9EB9-4FF7-B7A4-1FEB7A3ECEF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0D6FA-E564-40AB-93DD-76B5E42FA06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4D9352-7118-4B86-A958-73767CBBCA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3153D-6022-416E-99A1-59802478C7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07999E-B520-446D-8681-3D685E79F2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DA2C0-3E05-41CE-9CB4-5732286B860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D78558-DA89-420E-A23C-730DE26730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FE122-B747-4269-A27F-BBEB18388EC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D948B1-179A-48CB-AF15-1FDA95D1F93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98128-8F12-45A6-97CF-F3EEDBB312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22293-D2C8-42F6-B9ED-EC0E5328964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5C4C7C-9B69-4C7C-9686-11476A0DEB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638F8-A8FB-46C5-8CDD-A86096611FB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2B714-74E8-4DA5-9BA1-AF3A221E127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756287-B70F-427C-9807-D2153F0967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225FC-7E53-42B2-8828-C0DCF17D8B6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C9F7A1-B5C6-45EC-B82C-41E79D96084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443C0C-ECA9-42C7-A061-ECF89091B3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96827C-0C0F-416A-B446-C722E44018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C5551A-538F-4F6B-B66B-E24CAD0EE24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9453B-16D7-4116-9F13-A8434B9A488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94260-4C39-46B4-A1DF-23550D7A441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796F99-837E-43C3-AFAC-3EF88DDFDA0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28214-35FB-44B7-B6AE-C381B9205E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F3AAD2-D399-40B6-89B3-9FA61875CB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FC566-3FDB-4498-A0C2-4B3FB679A3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65B22-409C-491B-BE48-1314C789D7B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B5186-B544-4B58-80F0-D6EFC403E11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C3F64-4CA4-4372-93BA-6CFCB19A295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71B55-E868-4D61-B0BB-3D775E296BC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539481-B728-41A5-A866-1174E7F6FC9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C97AD-7367-44AD-8756-4108EA0234C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D580D-35BC-4F97-90C7-503A19AA327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B21FF-EDE6-4A74-8C7D-D60BFD8F50F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1B124-DA46-41F2-9F59-0B5BB7226F8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4FECF-CF45-4969-8CFD-AC0E352B6B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BD8CDD-7E79-4C18-A573-C045A2839D7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A4559-133E-44B7-83E0-EF89EA1F9EF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195A85-4DD8-44E8-A0C6-C2A1B8F368F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F5D7AD-509F-40ED-807F-08C5388C418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84D531-EB19-4422-9B8D-3396AEF064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A28F68-7E84-407C-88B0-AEA86298D5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BC2E15-177F-4A73-9DF0-429194E4F7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43D856-6601-469D-A971-34A09782A9D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7D823-CAB4-4945-8EBD-78504FE8A0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12DFDB-B8DB-499F-9237-AD9DE25FCF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39BC5-E8A7-40D3-A61C-08337B02822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463CDA-A4DF-4599-BD8B-EB8C71614CF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67D245-62BA-4D61-B265-E4E090842D5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6CC54-5E95-483D-BBFE-2C6CC7A90B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2E0FBF-39D5-4597-B479-DC421B9EB4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6ED0FA-AC67-449D-AD8C-0F6476E47A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5003DB-0081-4F38-B76A-74C65143568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B4BD9-C1A2-4F6D-874F-125F34016DC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0AFA3-023A-437E-AE44-ED696696E5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93907A-2CA3-4D0D-A855-62EEADBDB9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4CE33-D11F-4904-AB28-06DD05558A9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89E57-622C-430E-83B9-BFEA911D012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342FB3-1559-494A-8999-6ACBE25EE0A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8D020-D951-48EE-84D7-BF1DF89772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B20B3-0C78-429F-ADAC-604F2F20FCC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3176F3-80C7-473F-9FD5-D62225974AD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775317-566F-4B0A-9AFB-E760D62B87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A4089-3029-460F-9A8B-943935D2703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83584D-E0FD-4BDB-8E1D-93A191DCFDE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4ACA3-6F95-4170-A045-2083F2D8FA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53633-8B3D-4B11-8906-0724833543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2FCD99-3668-47BF-95D2-D7BAE686A12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10BA0-3F04-413F-89CE-05636343BB4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CEB8D-2CE0-4984-A86C-7A263FC7676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33DB71-F49E-476D-835F-ACDE1C2E45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C1A20-35F7-41C9-821F-D77A9477A6C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B0C19-0113-4022-8195-12A5C5A87E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FAB287-F38E-41C3-B195-6B8985010F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34B7C5-E67C-4959-85E0-CCD4FED081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0B2D8-2C94-4720-BCBF-ABD6F42C47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7C8F0-A825-4A3F-BF75-E53FD9D5D2F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5F80E5-2132-483E-807F-D15C898A0DC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B7B00-0E1A-48A7-BC44-467A7A678A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211C1-F21E-441B-AB46-9ADCD030F3F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B80D7B-B20F-4B0C-BF59-3A063B51B44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D4F458-840D-4DD3-B0FC-64135FA9201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D76BE-EEF7-435B-9C22-AF04124BE3A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7FFFEE-B207-403F-86EA-515D664133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9ABFC-6FB3-4B70-9B5C-79C3198C8E1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9B450-B198-408F-80B3-617E97AA8DB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806B8B-7370-4563-8CFA-92501613D3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45324-F8DC-46EC-B7FD-2EA8EEC4BA1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180E7F-9F26-4FC8-B388-D42E3BBAC1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261652-3A8D-4211-8475-A296DECAF2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C3A0B5-8098-4945-A696-1C4E5D18AB8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D72614-7475-4FAD-8D44-0C706FA9D58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47F3B0-1E27-463B-A123-1F2C7C30992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070B0-5FBD-42B7-9FCC-32DF4D5CA42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B02FF-BB7D-4081-A3DA-7B305D07E90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E77F3-8321-4C6C-979A-27B3CE73C8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096B1-9372-4DBB-9EC5-B8258FCBF99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C469F-87D8-40BC-889E-471A026AAB0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7A9DE-6B48-49D4-8913-5B5D47EBA0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1E940F-9905-48EE-B4D9-6460EAFB9C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630FE-7328-4542-B215-B9AAB346E06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64C4D2-93AF-4007-94D2-6B52841D68C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9B3A0B-3C35-49C2-BDEB-6BE186C88BD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5C13C-AB77-4CD0-87AD-6A909B2F668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E4F3F5-228C-4702-98C9-C2B8D05FE23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9DFFD-FF62-47C5-851C-B5A41532412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355CD-34BF-4D5C-99BB-B8207CD7C8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2F844C-D3E1-4E57-8DB1-3D6D07356C1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8A9E0B-2D7F-4492-BCF0-3F154120304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242E73-EEF1-4D0D-B87C-5A3D967A775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7DBF1A-4E49-4F9F-8A89-F4DC5E2C6C0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0E8E1-8535-48BD-8F1C-7D6CDA9DE48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D799F5-9283-4FED-8EF0-AAE17A27BC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1FCD77-213D-4CD7-A008-DD689530EE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34FAE-D5E5-496D-B2B7-3F6E15FC065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84F4E-ED9B-4687-98D5-366504F1EBB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390AC-C63F-430A-AAF0-1FF9EE2ED39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055BB-2199-40A1-947E-01FFCC5ECFF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0C9D4E-D345-44BD-9A8F-381F32337BF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66804-1776-49DC-9DFD-3A2D383FE3C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939579-E955-4A2B-A7E7-BFE46E48E23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A6F02-73C7-46FE-8A9A-000EE932F79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B8786-4C46-4FDB-AD5F-8BF4979FE92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6DEEE-9743-424F-98A8-694DD15A7A3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B28CA-EEED-4FE4-A5B4-F54D488638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67A20-0EE4-4638-9AAA-5BD72C01118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A0690-72D0-46C4-B49F-69F1FB0C0CD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C1C51-0147-495D-805B-A08D3E7C7D4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3F7CA-1ABF-4435-B49B-F13B189DD3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36645-09D5-467D-B874-C2CA2AA9A95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65253-9F01-4E32-B382-03E10DC29C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36F3E7-A421-4719-9416-1C077216A5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496B46-19DD-4F8B-92F7-02497B4C98B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F22C8D-C671-46B4-A4DC-247597AA892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05EFCC-CC8E-40D5-BA2A-DEE2EDDC264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D5E64D-D0BF-45AA-9D90-5171B93BA5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120A2-3A8C-457B-A753-13BD9014A07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26739F-213B-4727-91B4-5A3BA8B158F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7C1E6-BA34-4EC2-B268-91EA456B78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FE0DB-25CA-4FE9-A08F-F72543FD9E1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7A47D-63A9-4C67-82FA-36057DBA549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D0471C-0AED-46C4-BB18-870842DFBF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16C656-F9B4-4494-B457-F1DBD84D5D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278355-93EB-465B-8DCC-6D36AA4AC0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96175-DE5A-4885-8910-177662B4B08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AEE7E-045B-4280-8F19-8AF3E463B5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88A41-CCDA-4694-8C29-37A2F6AA1D6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FF5924-DCB2-4859-935D-79A1A338A5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7D091D-1C5E-459B-93D3-0723CF16A0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4AC99-B145-46A5-9E4B-4A7CE86A776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650A02-2D5A-41CC-B36B-E4ADBF2ABEE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23A99A-204E-4B43-ABD6-499EA23E52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1098E-9E5D-4856-B1E4-843620ED26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B7FE7-36BD-4C4A-9A44-E54B471A70A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A20E9F-6639-4514-8740-6158641761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C3192-27A9-4CD7-9006-4FC3659A3F9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993B3-E47B-4348-9A94-A166F5FF33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71CE76-F58B-4169-AEDE-58004FC926E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22C0B-CA39-4BA2-9862-EE03DFD740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FC1868-FF27-4EFE-8C3F-1B0F7BC299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C8EFB0-7F28-4908-90D8-0B944AEA445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08772-72CA-4D70-9986-C1C1CD98464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9B5D7-02DA-474C-9FF5-084D357D0C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9DB89F-49EA-4959-A2E4-A285F968740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AA7BC-EA87-4741-B613-CEC7247F646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89220-8174-4DD5-932D-A2E14B6B54C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A90916-DDA3-463A-97F8-138B64D1DC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9E90A-D49A-4BD5-8A0D-A02A5FA517C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1ECD1-A1CA-4143-B0B9-E63E5142FF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6DB28-4A01-4866-9BA0-B898781C4DE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5A4A6-674B-4268-824D-3A7C3F7B8C6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3226A-409E-477E-8C0C-335176351F7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F0326B-6FEB-4176-A3DC-A923CC0B097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6E7360-AED0-490F-B6F9-F228731622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93E08-B476-4DC0-95EE-92AD84E377C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265CE-FE81-4D30-8FCA-1D4593BBDE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E845D-C27E-4148-A9EC-5A964A3C89B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CB689-2E66-445A-AC3C-B793F02F555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A847D-78D6-4864-9F05-7E4E5524400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DDBCC-5B5E-41DA-8A66-8E218926986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9E3ED0-A31C-41BF-B771-2FC9710EFBE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101A6-7AE0-480E-B434-92E9A185FD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A4B426-8852-4B99-ABD0-5CE99B9FF5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D8619E-9BB2-4A46-AD66-7B692D3D48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F139B-E23A-4FB8-8356-821A3ED18D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FA2C9B-9778-4909-B5BF-2610A098BA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DE2066-0D5F-44EA-8CAE-11F2D06F80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63E7B-8FAD-406B-B998-3A738D86A0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D9983-60E7-4126-B7E9-4DEDF8F5EAA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70405-9969-450F-9853-FC9B9D76AF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C165FF-A5C6-4A3E-8C99-D3863088BE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FF0269-DECC-45E7-BD2C-23DADF4F9E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38290-8284-43A9-8974-4F1FA4CBEA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A7A60-F342-434D-9A4F-B3E8028F83F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DC021-84C5-49B2-8DC1-FDDC3A5742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0C3A9D-6B2E-4C67-9148-EA33040A95F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3A1F3-3821-4D6D-91DB-E885F1BD958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253D8-AAA9-439E-95A7-9E1787A880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E0090-C1E4-4007-A0D4-BB303A0840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9B64D-748E-441A-B264-B59EB205151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94430-3811-43FD-8D6A-E8B9B1461D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3A40B-05EC-4DF1-AFCB-9B00A46EAD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A7700B-8569-40C3-8DC9-5D5E0E00E50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464324-0A66-4A48-88C8-3AF85E4ADF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3F50C-3270-43CE-B207-A8FF204E6D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23483-05ED-4DD9-BB1F-D7A6C864072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FBCA4-5FFD-4EDF-A79A-AAABC7B368B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487B3-E6E7-490E-A24B-195FAA89A2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294D2B-A93E-4104-8927-D3EBF5DEF7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02455-E209-46F3-B937-9B76A545E06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C725F-D251-428B-B643-1A534E4D9AE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1EF33-89F7-4F68-B638-4A210A863A3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56D82-A001-4BE1-B3F4-DC049C4BF12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6FC57-B5FD-487E-BE16-082D1381296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FFCF96-8857-40C6-83AA-F4F3B9ACC8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7660A-7D3F-42F8-9FD4-4F0016F7DA0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867608-6DB0-4123-9D8A-083B126FA71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242D1-580C-49B9-85D3-83B2757AE1A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1DF10-CBD6-4202-B753-50CD435E760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A09C0-3BC5-4A46-9C2C-855459EC79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1AEF25-7070-4A6A-994D-AED378FDC11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9B7F7-C46B-4631-8D45-161ECC4925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17F19-2A30-49AF-A5F6-AAA4D7248A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ECF2F-3541-46B6-B49D-30072544B58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755D1B-035A-48D1-B24A-827437D1202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6E94AD-CF23-4857-9DCA-D04DC9F5720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1D8DC-69BF-4E56-9386-65A0B72BB3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2A8DE2-BE91-404D-8368-3FD1026D42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56ED7-FE85-4A33-8595-0ADE9BC68D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B08589-CC21-4BA7-9CE6-994A9A7F5F4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18C2F3-F3B4-4C8F-A3CA-D0F60EE44F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8C2BBA-2F69-4EC6-B889-4A6806CD71C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FCA906-6C36-4639-AA4E-551918C0D2B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EEC36-2C22-451E-B151-8AD767F3D09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2DBC16-D900-41B4-B406-38E813D4FA2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F84BE2-6FB8-406A-9C76-F8809F3EA2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3DCF3-71CA-45B6-81AD-ED00E9DF4D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A8BFD2-8ED8-4241-9D8F-1635B233A2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B4355-29F9-4CAB-8912-19D219EF48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73574-6BC5-42B6-A226-482526C40C9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B3816D-B251-4CF6-8540-AA66C6F928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3D676-A1FD-4BA4-8DC9-29FC17DFC3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E0467-C626-4386-BF8D-D4E6C401E3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71F22-9B26-4E9E-AECB-3B4C905D53F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FE826-247A-48D4-B512-CCCC41B575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A75930-7DCD-45B9-B587-2606E48F91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B95CF-B43A-4679-A709-E040884649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ED2AEE-ABD1-4435-9C37-64D83C61699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5B26A5-30BB-4AC0-9535-F4A35D184AF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61FD98-5277-4513-8E6F-319C5B542D3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C607C5-660F-4E18-84F4-EB3FA63557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AB700-69DF-43EF-8479-3DECCCEB6C7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8463C-2496-49D3-85EB-3D672D072F3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1C6B0-6ED3-4945-88D0-1F592E57154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2F1BF-9A11-4FE5-B2B3-62CB8A9B533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EDED35-90CB-4051-A076-6037DBC175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7C13A3-B909-41FA-878A-05D20B9BFAC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40FA5-82F6-44B8-98E1-DD713439992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EA774E-699D-4541-9A04-FB001E6DB3E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71CE2-24D1-449F-87B5-E0F5705D85F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5A910-431F-4D1C-AD3A-F3A5C232497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1DA548-BB5F-480E-A200-A7346A192C1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88400-80B1-4435-846E-02DC7044E0E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2C6C4-5E95-4FA8-9BE7-7149E62BBF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14ABD-A647-42B5-9400-6295060981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28FA1-F7D1-4F6E-B80C-5CB6DA665D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3860CC-8684-486F-BA6E-10E17FA759C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B0A38-BFA2-46CE-8BD3-63250C06A0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3F9D39-FEF7-4F9D-9EA0-D625BFE9F9C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1DAFD-7FB0-4F9F-9506-B81F4892546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BB19F-0CD1-4CED-8712-CD6AC974D43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AB453B-2B35-4D7B-9746-67750D46768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0120E-EF3D-41B2-B3F4-0BE0D3B553B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974E9-0E02-4484-BA74-F39D92C0BA6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6C62E-A15A-46A2-9276-8DA112E45B8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D92E4-0FB1-4BF5-B18B-F9E267A8EC3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915466-0C03-4EF3-8017-0640667B2C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AF5216-12BB-4E4A-AAC2-15EE404F07F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50BDD-1FAA-41F5-A400-31D22BE9E4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35825-D1C1-45E2-8A8D-A541442F0D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DD19A-B280-4DB3-873C-AD7DB77F6DF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5F1DC-9016-4E09-9200-CD8C23D86A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15956-3CFD-4E03-9D56-1C2B24B31C7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87764-F90F-4B54-8B76-44BAD3C6AE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5F55E3-4B91-4E97-B6A3-8669FB95E98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82916-4BBD-4D5F-8A85-AEA88F64476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FCAC0-5906-40D1-B7FF-2D22FEA6CAB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B794E-FDAD-4F06-A431-24F7C2E0018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1B1A57-05CB-425B-AD67-9B597D94CC4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51731E-927C-4575-BBEF-BB6A411A342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769E92-ACDF-495C-A2C6-8627ABCD3C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73624-C395-43A0-810D-CA2C60F64EE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3D9AA-16CD-4E82-816E-42BB579EF48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0B5AEB-1115-4B40-B9D4-2146E7A2AFC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B8AB3-17BF-4D66-BDB8-9248F7E104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2024A5-B779-413D-8324-0D2CDF612FF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3D180-5D5E-4BDD-B5FC-6FC4AC7FCF7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FB3323-210F-4E57-BC4B-F9B2FA7D381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DBD8E-CA24-4735-84DD-C1B9DC581F0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9D8E1-AC03-45D4-907E-6CEEE4B8A9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CBF07C-7B4D-4127-8775-82352B4797B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1B7E5-F9A9-48E4-8559-7BF42ECD31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B6516-C114-4A9F-B3DC-B8680818EC8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4698F-AA3B-41EE-A058-BEAE2EF29C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B458C-6D30-47EA-B487-EB19C66674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9E6BB-B220-455D-B1F0-BB043E3FE6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B7A22-2DF9-49F6-AC13-D5CDA452DF5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83264-A1DE-4F9C-A0F0-287BAC0BD2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B2A82-BA4D-490F-8501-D2D7240297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18D1BF-B9F0-4D69-9DFE-618F0B7FEE8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BEE82A-08CE-41FA-8EA3-C24EA40D03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06D9F-8CE9-4A43-BCFC-8895A6A1F61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DBB23B-1852-4E3E-B678-CD33F125715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7E6FF-1288-45D5-932D-3F43DCBB9AC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65C4A6-2BDE-41F9-A7A6-16BDFBA7D51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91350-1E42-4711-A7AF-8AEB6347C6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00B14-FBA9-44A3-A402-B4B5EBEAA9D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B0CB4C-5A04-4646-80A4-6630CB9D2A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A3DD97-186D-4ADB-974F-E8039315606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1FA52C-BDC7-4581-96B8-F96E2EF5E55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771C0-8E19-4389-BB24-84C7C7A113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BE548-2473-4D4A-B6F0-C0BB343967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F3AE82-6425-4A34-A068-F2E379289DA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2D62E3-ED27-450B-B7B3-3BF4DBE540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DCA056-ABD9-4674-9622-1DC6B2175C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6ECD9-B843-4672-AE87-366152B4B88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2C5AE-7B31-482C-B301-E1F13B3E3DF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FAE29-EC00-4B5C-960F-DEB206F3D2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C8E638-FCBE-4E91-97F2-FA44CD35BB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74009-DCE4-480E-806E-0A015DD9F33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3A215-26A7-4BA1-8A39-E34B7A234E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C57DA-2E3E-4197-A14B-4788D7E01C1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238EDE-A957-47F9-863F-F4BAB6776B7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9130F0-BD11-4300-B0BB-83F2C9AE70B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B7DD10-6065-4526-AC56-E3DAEFBAF46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F888A-ABB0-41E9-B8CD-AEA514D9278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4BB4A-19EF-4E11-BD09-6E78F5FDE9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C1A4A9-6445-4F6F-B1F1-C109E569DEA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A3F508-CB75-481C-A8FF-AC3DBB266BC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C9BAB-E95B-4559-9FEF-2D0F9FAD100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005CA-D900-4C7C-8DFD-F31C79EFF4D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70229-9F73-4EE7-AC80-0352DD458F4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012DF-F7B0-43BF-9BF9-17159104768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289DAC-0573-48F6-A1E8-E66A531DD29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10548-E7A7-4E02-BEBC-475191CDA7E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5EE9E-7066-4DC2-BA77-BEA40BF54C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E26E7-BE73-4BED-A5FA-34BC0CDCD7D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0C06EE-274B-44E6-93C9-885B9BA58A7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162B3-E6C8-4E0B-8D07-67AB631674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40012-1F1E-408E-BBA9-43A0B985D61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BFDA9-9E8F-4596-8FFE-198F8B350A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2578B-22A7-40D2-9FAF-C95BEE83BAC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838A1-56E3-4258-89F2-69F6D907127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89FF7-BF45-4EEA-9878-F7D2529DEE3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5FB39-1D32-4233-A608-B62A6179D1F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40843-033B-4876-9BC1-599F45E1123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7A6755-9880-4516-BE9E-0164127447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BEBEB-93C0-4815-AF31-55A82D09B4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FFA04-6708-47B1-9005-A56A6A6D679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483B69-3E6B-404D-8D0F-808DCDAE9CF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133FE8-D5E7-4024-B7A8-1FC62AB830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49F5A1-4328-4D70-AE98-8B0F8F4E24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8C387-A4D6-4CCB-BBAA-89A9B322FF6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00BF6-A18D-4A7F-8360-8B7579F4B7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CA439-E041-4345-9C92-C938174D3B6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54EB16-66A6-45FC-85B9-5E4F21CB03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3EDA7-E670-4081-A889-B878E004CA7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CC4BE-3E4F-4B22-98B8-4B7F23B92C4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907B0B-9058-40A2-9D90-071295EFCC6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1446D-CBC0-483B-A85C-5C775865ABB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E90F8F-9788-4416-AE52-B69B2BEA59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24C43-1610-4079-85A1-66549B97EA2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F7A0F4-B41D-45B4-9F45-F9BC66E92A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585F1-AC60-4F4C-874F-35402C765D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33F80-F308-4C71-83F4-0FC99428BF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BC599-23C3-4675-A45A-F0B1F2BE4B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0F7FB-2642-4C3C-BA15-1DF203B756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FF70E-85F0-4950-891E-3E0FE9505C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5B7A7-E5C5-4D3E-86F6-78C92ADDD2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4FE55-8D6F-47F8-87BF-82FEC7C5B5C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DF7E7-95F3-4348-A666-FB0C01FED6D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9579C-C0D3-4F93-B924-C8622FA46D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15B30-C5E8-4285-9C4B-9C9428B2B7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E8D3EA-5104-4B72-BB0E-08828BB3E1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7640F-5D80-49A9-935C-8257CA91698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4E7552-2353-485C-B0FC-5E045DC027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F7C2C-E2DC-487F-9D9C-0E2D05D42E6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1E8AD-D4CB-43D7-9236-622ECB6EB0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69AEE-4F7E-4113-91DE-CB631BB015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3B51D-DBD6-4C90-8C2A-16960F223A0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28647-3F54-4721-8858-6C5BFFF6328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A4D6A-6760-4784-928B-97C80750A59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6788F7-9CD2-44DF-BD7E-F342D5A421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7297AC-3AC1-4086-8EB8-5D50AE35536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5E0B53-BA03-4577-8B68-E41DD097B3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82E81-C734-48F5-967C-371FCDEA392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F92CF4-9285-4DAD-B320-B7735F614FB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812F8-14BF-436A-938A-7FCA851D368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27D0B-A07A-4967-8BF4-9C66C976C5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D111F-B05C-4791-8B4A-BF1A54F3B1D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1B626F-9D64-4BB4-B4E3-7C832993D8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B8E2A-C249-43A0-95D3-75FAD807EB4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B427D-F065-4C08-B22C-F4F4CADB71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4413A-9816-48FD-88F5-DC50B587747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5F6DF1-5C6C-412B-AE95-6F1395B93C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88AFF-A5BA-421E-B1EF-E635FA89C4C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7E3BF-E603-4ED8-886E-0B76FEDAB67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37D213-1D6B-402C-9E7C-3113E090848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6F6E4-4212-4C8E-8910-F608067CE4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934E8-389F-4B13-B62F-6E6B4BCA00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5910D-CCC7-40BA-977E-56B2538230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F4093-68BD-4503-870A-BEEDADF8457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6351E-5E64-41F0-A6E1-5453D58068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2B9DC-AD7B-4545-AD38-7B1A14A26F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C7A060-859E-4E91-8B0F-D1DBE052A56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99DFA-182E-4E13-9C6E-770C2FDCC62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6D61E-AF7B-4335-85AB-D79716A1C0E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81CEE-E3E5-4785-B2B7-C4088A14F5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99752B-D1EE-49F5-9CE1-1E2CE66077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F86814-5B28-4F9C-9EA3-976425D6B97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F1D503-B268-45E0-BA29-3A8A9C02FBE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DBCFFA-18A3-4A5A-B33E-D83517FA985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35618-8338-48E0-B554-99724C1F5B8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6FD6C1-1030-44EC-B9DD-DB24BAD8D4F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209FC-43F8-4262-B693-212E3F888E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128D57-9E45-45E5-BC59-C303716836C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DB9DC-6F52-4B6D-BCAA-B9B5FF9171F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F7172-EE33-4A71-992B-AFC860494E4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2689A-343C-4618-A8CB-11C0C0BB566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B1102-44B6-4883-9C10-7ABC0D332A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F42701-0D0D-4C2E-87E0-98E8ECFC172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1315E-ED20-4F20-A7B2-3117E2E2268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4F366-8ED7-4DAA-B55B-7D5378120C3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F27D8-E3D1-44AA-AA28-DAD7D6C78CC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2E6B8D-FE16-4231-B09B-DBBD98603A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D7F06-F0F6-4F39-8DBF-5E71F7D4F9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21C45-7140-44E6-84E4-B968C3C6B5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1E92F-07D5-4091-AE1D-64E9AC14E7D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5C61E-EC35-48DD-A622-3A8FFE850D2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A03E6-CC0A-4BAB-B4D6-052285928C6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34D52-6FBF-42FA-8173-8B49A8B27F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CEB313-E860-4314-AE6F-084D42FCF86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A96FE5-0289-4DA6-AB26-1C70248C479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8EEE6-7D2D-4903-AB7A-B2A2E5A092F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F879C-9F2A-41CD-9008-1309AFD2F8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224AB8-2A9A-4778-B8A1-0353B33152D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1731EF-EBB6-4C5A-8B1F-7D8A2CC54CB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DC35A-5E5F-4E39-B7B0-C1045E44705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AFBA9-229C-4572-943A-33AEE7BCDEB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C39145-E5A4-4A29-8B41-C63DEB2E7ED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8EA85-4FEB-413C-8CB3-7501E195FD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E85C2-21A9-4FAD-A1CD-DF9C0BE48A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B1BBF-FA9F-4C4C-AC9B-7B4F555A44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FC0F71-7517-469F-A464-7FB1E53CE3A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01EEE-BE29-4130-9CEF-C68E20D9FC2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414BD-9113-4192-BDC9-A626A683B2C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D5001-3BC0-4F95-8AD0-52AD8CFAFD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7A6FA-2C50-4DD5-AECD-84D74FA079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054A8-0A88-4F06-983D-455CCE9698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8A672-4301-4751-AF56-9129F33E8D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BA4D83-FF50-4EC2-BD88-29AEF8901E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24255-FCC0-4AD9-B502-30556AC0631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699E34-AC23-4029-845C-02472DCB51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131CCD-C099-4B7F-9DB6-37E1CB9165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4CE30-37AB-4352-9DEB-6A0B35CAE98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1C6F9-FAF9-48B9-B67B-AA263AC1319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FA0CC-B4A3-4018-9914-F06539613B1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42C80-63C6-4B36-A470-FFD08202277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B0BD6-98E6-4482-8C49-E48799B76C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A4A66-5F94-47E7-923E-E5849DF11F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B0A3CF-E34D-4BF5-875D-BEC8A4E7E05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994E6-C717-4988-9BE9-E141C4F2EA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3BA46-05FC-4E01-A28D-B1A96EACDB3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340E08-5072-4167-A63A-171B2BFFF6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D77FE-7CBD-4BD2-8F2D-FB52A8B35E0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74B39-9A70-4D31-96A6-D4AB6EDC71C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6FB75-63FE-4135-9C76-5E6869FF3DF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F5245-3C54-4F19-875D-176B1609729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09FA7-C73C-40EE-B80E-68CD7A22BDE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5F2C58-AA31-484A-9FAA-5104DFD6736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0A93F-D082-4657-BFDA-AAB72A40CE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BA6859-49E1-4C6E-94B8-5022777AC18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B3A7F3-D007-4E5E-B388-E5F183D3D59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A0235-6725-42D8-B247-929AF603CD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E1E1E7-1552-473E-A496-BF2E5ED1EEC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02F9E0-50B6-4539-8207-F90E7AD6BC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F676F-FB34-4482-A76C-6E6E43EB746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EC3B2-A4F7-48CD-BBC9-1ED2D74AAD1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B5A2F5-9894-4767-9596-56866A98F33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73746-3EED-4EB1-8745-462F68395B7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3DED64-0463-4D21-A137-DC23DDE3C5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00CC0-AA8F-4DE6-933C-73087488AD0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C99CBA-198D-4307-BB38-3B955B38734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5C720-7CB6-4C6D-93E2-58288F65000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25324A-9C0E-4F29-B815-EA5790A2ED8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53C621-B153-43F2-8FA4-4E56B2C725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EA8105-FEAF-46AE-8267-FFB5894C55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E3405B-9470-449A-A66C-ACC625039E7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820B1-A0A4-4D52-A905-725DA405529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2A86B6-122F-4E16-8086-A15B29D1714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64EDA-EF59-4A65-8557-3F33AE6ABE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12790-1AB9-48EA-B338-A3AA57C238A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7730B4-6AED-4189-B389-989A01D2F82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1815C-C7DB-42BA-BF9E-6A9508C38A3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CC5176-7510-4C8C-8AF3-BE56B97B467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B9688-564D-4869-9725-3538906E22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80479-6180-4DCB-A143-9FA91F121C1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472912-0190-4AEC-A741-0E2198C8EC6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87773-654A-41C3-A772-193710D624F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42F98-BCAA-4149-8740-61C2EC6B3B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51197B-7E5D-4C07-9E03-BECAF13B37E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4B83EE-361B-4030-A3DA-AB0D9F9D33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6715F-B0F4-487C-8763-40048E0AC8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831B7-3C0A-4975-BED1-F33A1F8C52D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E780F0-90CE-4B5C-BE04-C95C49356CC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551F8-6121-4E18-9463-51142B13E9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DC2EA-0ECF-41B5-AF0F-8DF2890D11A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F2B0DA-B873-4619-854A-EFE3B2280F9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8450E-C0CC-462A-8D9D-4087D9635F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42BAD2-A837-49A3-A777-60327953D0E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5D26B-1C4E-4D87-B78B-3D258B96DB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0C3EF6-3CCD-447A-8E76-C015B9110F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E4984-9742-4A43-B8E6-1D12CDF3B0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00B126-305B-438E-9927-B1AC5D57115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10285-7100-4782-A0E3-DDAC443BCB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AA4A53-7356-4385-A890-01C9E772A4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AE65B-8734-4209-914F-030A1281994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14D592-78B5-4889-9627-4A8A9266ECF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92FE3B-1F18-4E2B-B901-577FF2AD06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E6BA81-7AEC-4F3B-A78F-0D6445C6F23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DA4A7B-D0FB-4454-BF76-B734F218E3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D8BF9-DC4D-4800-BFC2-D8BA0A4F9B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70759-9084-4D04-88F1-12CFB62B89D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9841F5-037C-40D9-9D25-081A4D709EE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835A67-D9F1-45CB-A07E-D6C5F292DC3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15CB7-B623-4D18-BAB1-57A4D697B2E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41DFE-2065-4A66-A06E-F831D7987BD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217D1-7252-4B71-A100-BAA586ADA6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EC7B2-0BB1-4CCD-A01F-AEFB60000ED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BC563-DCEA-4D15-B04F-FFD832DBC8E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F906D-ACEB-46DB-B02C-19FE5FA160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0D503-6879-4F17-9656-31E64CCB6F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28065-10C4-4155-9952-12056A4A7AF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630D71-C70A-45C2-8C87-69121F80A35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DC4964-4315-4B1E-9F25-DAE4BEBAF90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A1E79-E3F4-463B-A94D-170F126C383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8D5575-F108-46E7-B633-726ABAA83F0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97674-9020-4319-85F4-100E8276DEF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02DAB-B123-4C49-865C-5905D3A65BE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5A04C-AAD6-4EF7-A6E8-39EE18A423A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8DB98F-CFED-4E82-B5FA-2CBD1BB390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B0315-3146-48F2-BB4F-E1E975E5E9A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BE779-810C-4372-931C-45442B80DB5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3A4FA-BA4C-4C32-85C9-FFEE353837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CF41C2-6A20-4978-85C3-EE029739D43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DA1549-E2B9-4372-A590-223769AC410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A00C23-F2A3-4B23-A965-B31FD54D650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487FB6-8711-4392-BB1E-CC365F0600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43BA35-24E3-4C4E-A4D0-B0EDFDA539E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DD7EAE-263C-44A4-A2C2-A0E917FE855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B18F7-0B1B-48C7-A6E3-7222843A609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AE366-2F8F-4030-ABFB-EE4DA77366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071839-4824-4F8A-B5C8-201D9EED3D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46647-1106-4214-BA1E-FF299B54E17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0A96B-EB9F-4175-A381-A6F702C3AA4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6BBF94-7FE4-4E63-AB19-02D32B4D12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421351-CE05-415F-BD6F-5EA65611191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C7650-1A31-498F-8243-7C95F58E94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E36D51-781B-4A49-83EF-AF2E8961C9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880EB-B66E-4EBB-B830-C9FE2ECFC6C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3C4D4F-438E-4F65-8B90-809181C1160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B26EDC-321F-477F-9B62-2AF90C90C0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6DE9F-D862-4856-9943-B92CFF6C736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9EA636-BFBE-428A-996A-61FBE246108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15541-C96C-4EEA-ABED-4D94E80475A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2AF89-40C1-445A-B8E4-376A41DD35F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636DD-3D19-4531-BB3D-D046F84601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93E2E-14AE-4144-B071-5E4C585B12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EFA15-958A-4B31-85C5-A823B0B80E7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FE2A6-5FD8-4838-8BB8-BFF7DBFA051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78E2C-C3F9-4F4C-ACC2-90FB01F5372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377569-59A8-40D6-969E-A519E67127B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97252-3C8E-462F-8059-A013C511064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190270-7A6E-4157-8A9B-CBF037C7F8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33A364-076B-40BF-82C8-0C6E5170E3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F8110-8ADE-4252-BF37-88101D8E6A9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0270CB-FB87-40DE-A8C9-61246668022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101C5E-ABE1-4DB0-846E-BF876EC4E0B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4E9BC-76E6-46D4-AC28-017E4A4605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AFE1F9-3B73-44F0-8C92-FBA84931000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4C9C0-7B56-47CB-B26E-BE3A88886C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F2B33-66E9-4877-A942-3BB1B2CCED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F38E35-5589-4A56-AC17-8BD38539334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522E7-8942-4B14-B07E-9447386365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62A79-F66E-49FF-A383-7DAA13DE248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0FBB1-4BB3-4B0D-BBA6-33A7DAD3370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661712-7A46-4DCA-A4F3-37B35D3EF8C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C343EB-0735-424B-8547-0C18917EFF6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5AC7E-92E2-4C38-AAD5-8F1EE53CE3D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49DE37-C6E0-477C-A1F1-6E76A596AC7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7BAC91-D739-4DB8-B8E6-9A0E4020AB7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70FD1C-CEF5-4845-A7AE-49D0BA71521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A790B-2AEC-481A-B233-BE0C6382795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0E82EB-A0C8-463B-8E88-8292D60FF07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2C69F-3456-423B-B8A2-45FE3CF23A1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2057C-46B6-4DE5-860D-D668E39FC1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2462C-A5EF-474A-8D5C-60EDBEDEE3A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5D4A2-75B9-48B4-8E91-7B8E7FA7BB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BDB0D9-1368-4456-B19A-8A6B6DF8E23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FD21C-F77B-44AC-ADDA-C4942154871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0956F-A2CA-4D05-AA6F-7D8686BB973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B1BFF0-4CAA-458E-95CB-6AD59816D95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0375DE-A275-4D47-BC40-00E8FD58257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1D8D1C-9BFB-49AE-9CFF-AED25DE2AE6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D289BF-557F-4ED7-8E1C-DAFCF293E2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E33D36-7CE2-4415-BD25-BE98F0323A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B7A99-2117-49DB-9D6D-61FE5A7C30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CD34B-7091-4723-831C-DE8211ACEF8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B7E4CC-9E83-475B-95D2-5FD4B5268FE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55AC9B-5B96-4878-90C8-D20D24FAC6D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08A914-E442-4531-95B9-7D17FB2E045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41B833-979B-41EB-8AEE-1ABF8592431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8E9AA-75C7-4A77-A0DD-3FDF88ED8B1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7DBF74-7BE1-4874-A83D-28A964AC469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FFC2D-591A-47A1-A583-3A2402F2B82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5E80DE-942E-4860-8A08-7208CA973A0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E26A9-C1CB-4AB5-95C7-85F1E1048A8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736A62-78EA-44B6-8A79-FAA03920285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EB771B-89CA-4F9F-990C-7E521C08D7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0ED2A2-A27D-4B8B-A6FF-9866BAE4645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D64DF-6C76-4A97-BB72-C648CFA4799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3B934-DD8A-400D-8CAC-7EF54CA3745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DE4238-F353-4C4F-975A-D4234E4BEE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374BBB-B689-471B-B46C-1931229E056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8483F5-2DD1-429B-AD7B-3A5B0158F53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C392C-2A7B-46EE-85E6-23911DB6A29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C2A50-8694-45EF-BD05-61A1E019F0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58ABE8-2005-4EFF-92EA-CFD91514363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8B219E-21B2-4704-B7B9-2577C21A35D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F3540F-54DB-4136-8F8D-FEEAADC2F3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7AC13-BB91-4D1E-AC1A-1115FE83C6E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C40D5-ADE3-4B72-97FF-073D3ED1B59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AF29AF-3A88-4482-9907-6F8CFE440E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58DD6-D578-4481-9B7C-4C788D47546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C66EE-4467-450E-8F78-907466BE2E2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48DB15-C653-4750-B7DB-3809AE9237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73009-3A82-43FC-AD6F-1CCFAE543B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DFF213-3442-4416-B4FD-3FF1B39A66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BCD2F-B4FB-4328-B682-3E60509023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4291F6-4BDE-456A-B189-4C04C9DBDF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6FD818-0B85-4420-86CD-F0C89711E21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0CBD9-7273-4B32-8C9B-C64532194F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60DF3F-8040-4D64-A385-55E17E038FB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00A44F-263C-4617-BF9B-E42A70DCCE9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50851-95F6-489A-ADA6-D156B976104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0399F2-26B4-4DD3-BC67-5317EBF2FEC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C1F89D-ECEC-479A-A11E-DA44F28C22D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39238-1F03-4855-B20A-4A3BE3B4D8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38A4C-141F-4230-98EF-87A87A4B93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D26D51-0761-46C2-A42C-5D4D5ACAFB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1DE78-A8B4-460D-80D8-DB1FF15CA01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FAC18-BBBE-4225-BCCD-2D485C73A7A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4C5C37-D30E-4D38-9D46-E5E5DC40B43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CE985-6008-4CB9-BA23-9E632F96790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CA956-57A5-48E1-9713-E0EBDAE4175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31C7BB-B31C-48AB-B96F-C5508A81841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B27C6E-4821-487D-968B-EF5D98E98B6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A8BDA-FD72-4B95-B5B1-C15096926F5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5B886-6F08-4B33-B837-E557565EB68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EBFF1-8542-4DCD-A786-85BB4A76BAC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DC2676-B8DD-4D89-9DC8-D1694F90393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C93A4-1859-4722-97B5-9F9A66DFCF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302C8-BCD8-4853-AD93-8424B205F41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91B26-08E1-45DC-BD44-B7C34974F9A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D60BDB-3606-4027-BCFD-C9C17E39775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347481-E898-4D4A-99E4-DE9A1BE4976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4160E-C5D8-407C-AEAA-CE748A604F2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45EDB-ECC2-4751-9DFB-9A1B0E8D7D6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1F074-4894-4984-92CA-9FE8E37BCF1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34284-E7E2-466D-819E-3B5AE02E272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C0CF6-26B5-4E47-8F9E-20E5E491284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260959-5ED9-4891-A57D-791251E4DC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63271-5E82-4716-807E-515ACB34F93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A7010-9977-4739-B18A-778112D860A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5A2B75-7E6D-496E-88D2-7DDB9CE101A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2F11D-0BC5-43E2-8BDD-ED3FA5AE689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2F1C42-28D9-4995-BF6B-34195D74BD6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23DCD-A928-4748-9B5D-E22C56BE24D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34922-F824-4B11-A060-655ED56A86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9F2349-8796-450C-A657-3C85C9D824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3313A-E5FB-40CC-B0FA-40C3F2974C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D3442-45AB-4112-ABC7-C6FD12A5F9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6C796E-2A6E-4EB9-8A3C-8061A054EED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E4E73-A083-4808-966F-FCC6F54AC8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F167BA-4D73-43F5-A7B4-B47E1CE47D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A96D9-0EBC-458A-A466-823E6077DA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89914-63A1-4949-8AE9-350264638E2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79A946-59EB-42F4-801C-A0DA626A006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642724-E4B0-4B7D-8170-908EAE6B84D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102215-26C1-4234-9E73-4FEE595E85C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AF95E-EC5C-497C-AAC7-AECFBEAF675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8C3C0-3DF6-4F06-967E-712DC66F5AF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8EEBE9-ABD6-4601-B7D3-7C6B0CCB714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2D601-09B8-4861-B397-1611EC2F36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C23D8-C9C2-4AC5-9589-1F42CE3973D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D4990-2891-463D-8741-1EE823A4ED3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3904B-00B6-446E-81F8-3D9DEB80DB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F71E4-418E-4E44-BF05-F030D482FEF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82132-A4B2-4B25-B81E-097F67DFAC1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F20EF-91EC-4974-B8A5-E607B58248A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C6CAC-E9DC-47F7-A844-6D11BA273A4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FAC4BD-CAE4-41DC-8A9C-C2EEA445282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5A5B0-F914-4832-BF3E-96DF03A72EE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46CC5-7B95-48CB-BF66-BCB7BB05164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B2BA95-036B-42F8-856B-349D483D1C8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EA2E0-C49A-4FA7-B04F-0D75972DD2C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48DFE-0598-44FC-9E76-8927260279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C6D7A7-036F-48F1-B829-C75B4C14B1F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75BC9-5CE0-48A9-87EA-45B9F8B0150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C73F8-5FBC-4CC6-84C1-60C15A63738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4943DD-8520-41B5-98FF-5136E6B8E9A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B82BAE-911F-481A-BBDB-706C14B964B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3F6D3-2BD2-42F1-93B8-95BE140A338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44A501-07E9-425B-8357-92994A847B8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CA8365-B378-42CF-A1C0-273BF6B22FE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723723-E8EB-49D0-ADC2-8B4DF2718F7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3EC7FA-A58B-4378-8ADC-9D1783FBD35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C362C-14D4-4894-879E-5FA9C18DCD7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A4644-ADD2-4497-970A-98A4200E4F0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2A8903-225E-4404-9491-C7D78B9CF6F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10A08-7D8C-4975-A15B-5D127BD476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06999E-AF33-4332-8C2A-DC301768945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989D2-637D-439B-A7CA-D3A1AB4F18E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A59B1-AEBE-4806-BF34-505470E4727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3F2BA-BAF7-418C-922E-9EBD950C5D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97020-B203-4D17-A21E-5D33DC5ADAB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07A031-7B78-4C68-959A-CC38CCD668E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7499F-EFAB-4CC3-AE0B-B9D26F1F315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58BC4-A56E-4BB8-962A-762455E4799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2A439-C581-453E-8338-69F111F4C85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7CE85-6566-4C6C-AA07-D3D06234B3A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46D85-B1A9-4D2B-83D6-191EDC6F298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B64D4-9E72-4F88-B782-F3BD179B0BC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7F1D74-C5D7-4C51-80DF-C6DB221D22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BF7BB-B5C5-4BBD-9732-CE5560C4970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FB39B-8F4B-479E-9420-8F0DAD29EA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199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A0E97-36D0-4999-8F82-BDCBFA917D5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FB73B-603F-420B-8DC4-A2E340FDDF8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36944-C5C5-45E1-ABEE-3C33F2391F9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966CC-0FA9-4D16-9858-B6C86A1A63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81B7B-D0AA-4ACE-89BE-5E282693CA8A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EF8DAC-41D2-423E-B559-F3D5BFF185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D9BDE-5A13-43A3-9C16-A54CB15E329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81FC3-0F74-4985-A57F-051D82E29A0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604140-26EB-46F5-8586-FDEDDCDEA06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3F3F5-F0E1-46EB-9BBE-8CEB45F9AD1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B82F5-0E8D-4598-ABBB-8F348F4A604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E540D-2EE4-47F5-92BB-50D84DF597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4FA6AA-0C58-4E17-98B4-AF76CE7F53F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10D48-97F8-4825-862F-E250D49358C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0142E-E757-4472-9695-0C793D98D3E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C4DB0-3E6B-47AE-904F-EE31217B0B2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B2B04-6D0E-4F03-B2BF-07E2583F0AF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F2D56A-9D29-4A24-93DF-1054A44B155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A0279E-855B-4B34-9C5F-3F2738BC1D3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B05BF-4D8B-4E15-B9E8-FA4B168573C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B6B6E8-1486-4E03-92B1-9C33E69287C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AC563-CD54-432E-B416-F1C2DD848FB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27381-F312-49B1-B892-23B3ED34892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45BBD-0116-4E8F-9A81-272811879DE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E964A9-842E-47A5-B345-870013C958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EF3FEB-F571-40AD-BBBC-47A38071294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92D7A-749B-49C5-B779-C489B726EE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D9D95-5C40-405F-9D51-7844106B543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AD71DE-B026-4309-8847-A6C7EECA888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D8706-DD15-4941-9FDF-9B4D0D135A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6D39FB-D755-4D41-8098-0D53ADC0EAF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D33F03-56BB-4B82-A004-38735CA7214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F3339-9F6F-4A02-A792-AA9BA38796F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CA84F5-3D54-439B-8CE9-97BFF88DE77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3C60E1-A628-46A9-B9A7-4AAC8D7018D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072789-B404-4ADD-B37C-4AF8C557650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783A9-0035-48EF-94F0-F47D2D2DC189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600B5-FEE2-48D5-9651-E162C7ED4D4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C4A08-E399-435F-8D7B-62638B64026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612A1-6CB8-4CE0-A611-4B319BF30255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BCEE53-8B22-4FE2-B362-9C40117FDD1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A5C86-5843-405D-9AAD-0105CD51D4F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44AD22-2CA8-4D14-BF46-5EB13D5A6C1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5D3DEF-18EB-48A0-8AE0-31DA9AA28CD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EF3D32-4814-4624-A12F-ABD0021C9EE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208A0-A5ED-4209-BBEC-4F3419F5570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014375-2F20-4B4D-B5BA-D18926E41E0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24CBD-EFFE-423F-8653-79C4A3F0E23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EFCE7-5228-4979-91E1-D8899C0D363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066B4-0362-4BD0-B19F-A2BB5B23DB0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419A7-FC91-4ACB-8A0D-90D8CB9598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45B78-AF59-4DB2-9C19-A6394F6495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75330F-BFDC-4608-9B0E-596ED3DF618D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0F3583-79AA-4C87-B7C6-C93EA5709B8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FECE8-1E6A-4F97-AB2D-249F20B4348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83C96-03B9-462F-8E3E-BC3CD940E862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FCC242-9DE5-45D5-9D20-4420F6C59F58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3E5FF1-19B3-41A2-BA27-E62AA11DBDE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582F43-29B3-435D-A4AA-1D5914574C8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A3172-4B07-48C4-AE96-E522F7C7ED1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3A9FB-2625-4EC3-A9FA-C679D587B1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9E067-0FC5-4CF4-9AF2-D3595A55AAE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CAD03-4639-4D02-86DB-4D7BCCA7B7F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5554D-C9B1-4CB3-A5B9-D339D3AB730C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4F497-9C66-4213-B4A1-E4E0DD9D36B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39187-5696-4842-A6D2-7FE4072BE91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D29F6-CB77-4012-907A-BD027CD3D54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3B927B-033F-434B-99C8-8085AA3ED17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989723-0AE5-460B-90B1-5F2EA8107EBF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552CE-FA19-4118-8A86-85EE5DB6D9AE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0ED28-DEDE-4401-A9F5-908971EE3BF7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729A6-B1ED-4F1A-AB0E-D3005B3813E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DC28D-3A30-4600-9DDA-372644B67FE4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5B4458-0357-4ACB-96C2-0FE1BA3E314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7ADFF-8498-4039-AAA1-DE9FD22C859B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05C8F-9216-4E14-8939-C14788C4D3A3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D1039-0070-4132-A430-819F0EC8C28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3E6732-2FEF-4032-94C0-03A4E4D2E160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F56E01-9721-4F8A-A8F4-2EF5950E8CA1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F3544F-2AD4-4E95-9AAB-696C248FF976}"/>
            </a:ext>
          </a:extLst>
        </xdr:cNvPr>
        <xdr:cNvSpPr>
          <a:spLocks noChangeAspect="1" noChangeArrowheads="1"/>
        </xdr:cNvSpPr>
      </xdr:nvSpPr>
      <xdr:spPr bwMode="auto">
        <a:xfrm>
          <a:off x="1974532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B24C6-FAAD-43CA-8F71-E35CF2C8D984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F7556-AE01-41C4-8D48-EE243585BB1D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31D4FA-E240-42AE-A0FF-ABFA59525B98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AE4D52-7ADC-4304-8D4E-BFDA37BB9049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2543D-3F5F-45BF-A730-CA39D6ED425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5C1AB-6546-4342-B33F-802608F9DDE7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B97FB3-F286-4610-9672-B3B4CE5C35D3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8AF61-E034-4DCE-AFBB-588AC200622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2BD7A-5537-4225-BBFB-AA760899690A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2B127-CDB4-494E-9CBE-782597D6903A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C26066-5631-441E-A8B2-3EF44CE8A7ED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DB824-444E-4C26-92BC-4EFC691FB398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C5F2EB-EED5-4125-92A0-8293AB323272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84A99-3F83-4F6A-808B-7487CB15E0B3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BF677-685B-4DA4-9E55-6B71827BFD91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1847D-ABD9-409A-9D6E-0A23BCC819B3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54415-9311-4C2E-906D-4FCAB571D0D2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71BAE-01DB-490A-BD5C-82F8F046F0D8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35A1B6-02AE-4A0E-B423-44A546E74F93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07ED85-266D-471E-8724-8212428B94FD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A7C80E-1655-47B9-AA45-293286B90CA6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578B48-5F48-4870-815E-CEA2A5A7A6DE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7B2D6-D6F8-487E-B288-9487C698F93F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F85F62-F6DA-444E-A78E-24491306EA26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5BCDB-8D33-4760-B1CE-192814F3AECD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36098-C3B5-4C36-BDCD-9510D37C0DB1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3B3E6-AC06-4496-BAAA-857D911A1AD4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47FF61-4F06-4E9F-B84E-26685AD5B8EF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3FAAA-4AE9-492C-BD2E-82F641A509ED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067BD-94CC-4FA6-9693-214728286441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E4D01-09F1-4A6C-99B0-FEF159FDDEB7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6AD850-2AE9-4125-8AC3-93E658941431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47F3B-0A77-41E7-BBB4-3C5E0266B062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6D10B-FC34-4F37-A6F5-119840A24149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82840-5357-4788-A0CB-15265933D735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EB3C0A-9919-4080-9AF6-A2C8FF0F105F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7B6D7-E6F9-46FD-94EB-E9D2500261A6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90BEFA-C0F1-4FA7-AFB4-8A2CE2D6556C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408545-54E0-407A-8013-CD3B82FCCA7D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2D3CA6-0857-447F-927A-1D4C66A95A37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9A785-EDF2-4953-8398-2DFEBBBDDBAD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23C29-EADD-441F-97A0-531A837B0D28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DC8425-01F6-4C27-A066-AF53059A0EB7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B05F4-0B61-4CAE-9A4A-E098411446FD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87AEFD-BA73-4B6B-8B70-6E3199608062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7E006-E282-4D78-91A1-E21C0DEF8256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D7D55-412C-4EBC-985F-9BF52CDA2714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7E7AEC-86FA-4C21-9DEB-821008EE666C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042A90-B822-4A97-8A6B-16D40E896251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A5D8E-6632-4217-A6C5-7BDFE52F77F3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EDFC2-8D67-4791-A11C-3D46DB2E78C1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E98CC-5434-4C76-966F-AA3ADCBFC301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E6C83-77E3-44DE-BE80-4C1A74672A05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2D453-78C3-427D-9F4F-D6F5F3C52B8D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E8D657-ACBC-4788-8ACD-A414BF031EF2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9D8915-9953-4915-9F41-FC2B07172EF5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5CAB4-620D-42D3-AF13-90E19DF48067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FCA15-FF91-4FB2-8FE8-D79E0CE9E672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602D7-517D-4B49-B48F-5F7CF9526448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3EDF4-C64F-4176-9957-C87BB9E043FB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F26FD7-89E8-4483-A1FE-1C670FACF4FA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95C91-061D-4E73-A1ED-6BC05E6AEBBC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25825-BB98-4938-8927-DDCA9FA0783A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9149C-A8EC-49C6-A2A6-9FAB54508DDA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9306A-609C-412B-9B9A-EFEF8997A3DD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60E587-241A-40A6-9CB4-F6775952C1E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47DF3-8085-4E77-87F2-8B8639525AAC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C0766-D71B-4390-AB1C-93F469EA7DEB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E4AD8-E1E6-47D6-9484-182132BAA8E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E4764-293F-4FA8-A768-5045D66D59D4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C2034-2D4E-4823-A08B-0B52BC92E80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6A2B9-7E68-4A5C-9315-4D35A59DF052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C306C-60ED-4204-A2FD-268F774D0E74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6EA9C-6152-46FA-B92F-7632D5C8F862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B14FA7-6E69-44E4-9396-87791CA18162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E5C6FB-024F-4E4B-A618-95C70E2F1CED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DF0460-A2F2-4D12-918C-9EF179E01CEA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D11F8-EA9E-4FB4-AE55-C7D1024CBA98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BFA84-CF39-4B43-973F-0CF26E8FBECA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DF95CE-7630-4D08-BF18-11067109C0DD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4DC22-BF10-4A41-9561-846C7E4CE10C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5CBF8-F637-4410-872D-2115AFABB001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5E75A9-BE0A-41B4-9B08-624693893A18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476F0-7A96-4C06-B99E-212D8361C52D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8E60C-276A-4DDF-9C67-584E2901676A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DE46C8-8C8A-46F7-906C-8EAA94BD844A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B14442-A93F-49EC-A074-A4895AFA882F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C81B88-4F5F-413B-92A5-6A30354D8096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4102B-ED28-4D68-80CA-F15AF175226F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FF264-1725-4160-AE00-D4F90377D9EA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BF6EF-8E2B-474F-8426-8DF8271C0517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A4725-B8DB-47BE-B1CA-3059522FED0A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A3665E-8FD8-4F3F-BC72-A326AAF3D251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9B95C-8C7F-4646-BE34-F9F60AA4BAAB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2CDF48-BF83-403A-B451-4672732C456A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D110E-D5C5-41E0-B144-030C16113003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55EB6-BE6B-4BB3-A122-A2D0F51554A7}"/>
            </a:ext>
          </a:extLst>
        </xdr:cNvPr>
        <xdr:cNvSpPr>
          <a:spLocks noChangeAspect="1" noChangeArrowheads="1"/>
        </xdr:cNvSpPr>
      </xdr:nvSpPr>
      <xdr:spPr bwMode="auto">
        <a:xfrm>
          <a:off x="458152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5A672-4968-4C5B-8AA8-C6CEA0DAE052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4899B-BC28-4CC2-AC31-2C4F8FB47885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C12F1B-E369-4AED-93BE-AF7FE47EB1BE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EB5B6E-EFF6-42E4-A7E8-0A0CAB54ACA0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30738F-807A-455C-A719-C35860DB7E5C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42FA3-8270-494A-B2B6-1BFB389B8FC2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2FD922-E3CB-448B-B639-5B295F96FD3D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BAE2AC-910E-4A26-8A78-ADFD25B5477F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69883-C164-4973-B2CE-F61A9DA7A10B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C9AAE-431F-41F2-8222-4B5287378CF7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B6F37-5323-457D-BA6E-2F268FBDE090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DB925C-0CC0-4693-BCC8-189E5A1B82C9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CB7CC-B4F4-4C0B-9946-D14817A20631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C4098-F6AE-4E8B-811F-1A22282C7F01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19507-E840-4FA9-9BF5-BFCF06EB2432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FF0BC-4AF2-43BF-894F-99A49E59C375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70973-6A77-4449-895B-39E041544BE9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5E2C20-CA47-44B9-BAE3-AAB3AA1704D4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77F34-D2A2-40C1-93BD-8AF486F9FFE1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D0C96-B26B-494F-9371-B20785A13980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B1512-E232-4B0F-97D8-C05B20B7BAD2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3A5E9-D953-44BC-9B15-B82A6B1D4DF9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B08DF-34D0-4745-87F3-80A33B0FBCA6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B8ABB-4342-439E-9B96-8F1142758A4C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E3E49-43AF-46D6-950C-D246DB547DFB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8B228-3559-45E2-B712-F42468FB4B75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14EBF-6317-4AAF-A36F-F10BA049F37D}"/>
            </a:ext>
          </a:extLst>
        </xdr:cNvPr>
        <xdr:cNvSpPr>
          <a:spLocks noChangeAspect="1" noChangeArrowheads="1"/>
        </xdr:cNvSpPr>
      </xdr:nvSpPr>
      <xdr:spPr bwMode="auto">
        <a:xfrm>
          <a:off x="5505450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EFE9E-D098-40A3-BEBA-3229B0FBD333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5619E-2849-41D6-BEB3-8EAD9F2A33FA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529164-E304-4FDD-92EA-0E5E4D4AA037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69B5B-0EDA-40DD-A984-BAAC6AD38237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121945-4CFD-48F5-9FB9-0957B2533DE9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93EA1-9271-49E5-84E6-0968DBB3E589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56C5A-B29A-49A9-AC75-A30928028643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CDA7D-90D4-48FB-B52F-9F51DB41A15C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9FB2D-E1CA-4ECC-AFBD-783AB4492E8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038FB-AE32-41CD-9D42-87894F65D7C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7768E-D2E1-47FF-894B-BB944FB40862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88155-AC7E-42AE-A6A1-D6F74F27FDF7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525CF-A047-489B-A845-AF5FC83485E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0B7EE-E702-448D-8111-41ED9372BB12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187E1-1E12-43E7-9EC7-C9B0E3ABA158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21591-17C0-45B3-BA14-C324315024E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E293D-6BB7-4BAB-871F-7F5040A390DA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C97B8-EDA9-4FC8-ABEF-D15B3ADA5ABC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7F010-4146-4519-84E1-6EE4AB0EEF45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B4115-0D37-4980-AEEF-CE93D4B17099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BEC96-7891-446C-B3E7-0E7612F191FD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EDCE6D-13B4-4A8B-8AD2-DC5B98CF3B34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BA526D-A49F-47D7-B3A1-6C2DA54E6CBB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5E62A-8D24-41CA-BA50-B8BA4F76835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DCBC5B-039E-4732-8A54-E37B6695B162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115530-7B40-42DC-BBA2-8E360D027CA8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C60B5-B44A-4749-BBCA-742FBDF3F9B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96BA0-3674-4604-B45C-30BF7AF5D69B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8F40B-B0A5-4207-A280-D3F76B45008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44C8F-8660-4BAE-8DAD-68EFA619A05B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79FDE-562D-47F0-B9ED-70E8D419966D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211C39-0F42-4E1F-823C-C3D0040B8D65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3373ED-8127-4C75-9551-EA890C8D2D2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39ECDF-34D3-4BAC-ABE1-B5514B580E9B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1CEF97-4BCE-4C98-8EE1-B77CD7385C1D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F60D0-1567-4FEA-8537-734B520ECA3E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0BCEB0-3AF6-447F-A8D8-EF465583E325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7CBF8-C048-498B-B6A0-71CCFEA75E7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42562-D763-4768-8D82-E926872AD7B1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F5FF61-3F69-4C13-9B1A-33B345014B6A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0133E-66FE-4A46-A03E-FBAB5E428F12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1EFF1-026B-46E0-BA2A-FDE72A7D40E8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33265-DAB9-4E75-99F5-FD83CDFDAD93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882AC-D790-48EC-A7B0-A8217B1D139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344DA-8DA0-4FA1-BF48-6A835F19610E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508FB-87E1-4A50-B55E-95F14FEC2223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5D49E-067C-4547-A23A-146A80427BF5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C162A-615C-48B5-AD04-9383818980AC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72C180-C957-4D45-A83D-FD0DD2EC25F2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F9C594-B6A4-432C-A705-FCBBCB662A31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C4ED9-B6BC-4E62-9511-58B6504E2218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070E61-E747-4973-806D-9A07829C394A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03F59-7004-4D95-BA45-10486D4F1DAD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D5F18-5723-46BF-8E12-645E3EF8EBDA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6101B-5B1A-498B-87AE-4C2A92E51A63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4C0F3-9FE8-4352-A648-94C20172B849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E5F58-D602-4DBF-A70B-5A2B1D000CED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6B9A1D-D51E-4B45-8732-A18AFB72763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6B6A3C-FADC-4C08-BCE2-BE6BB13AD3B2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2116BB-4B1C-43BF-9933-61889F53BDC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C76C95-6599-458D-8A4C-7413F2D5BE6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52A75-FE93-4DEE-8854-D6973BBC48F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32C52A-DFFE-43AA-BDA4-E9DE5A358F6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0BFAB1-084D-464D-9CF5-9B51C045F517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1F81E-061B-47E8-B1D7-DF1E8CFA5BF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26567-83B9-4F4E-85E9-F5C63939AE1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507F6F-6BF9-4589-BE4A-42C2624E29F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02C33-AA08-4FEC-AAE5-2AC74ED3C022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EF0983-3FC3-41C4-8596-FD1B4BE7D3C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5CF22-C71F-435C-9724-57DED62BCCF5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B5B2A-20E9-47DE-8EAD-36F41F49CEB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20C8B-7395-41D7-828E-B9FFBA03468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6D2E1-47FA-4BED-8A78-11F896B172B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F8566-434E-4831-AD72-EFA000C777F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5CC426-BF76-42AE-AD3F-6328E719CBC2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C7103-5656-4188-B955-A94E3ED0B5FB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64842-12D7-4D41-A9CB-F4C2CF2C4F6D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020B9-A6E7-4DED-B932-91EC7992812C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1201C-89C8-45DD-88B3-4CB4AAEED970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4DB48-7205-4B89-8EC1-DCC59EC51DD3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FBB38-0718-423A-82A9-3ACF10EFAEEB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4CB39-B8D1-43B0-B4B8-24A42C623138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0B3FC-970F-46AE-8487-B5EE301C48CF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C3606-AFA5-48CB-B70C-04326524D516}"/>
            </a:ext>
          </a:extLst>
        </xdr:cNvPr>
        <xdr:cNvSpPr>
          <a:spLocks noChangeAspect="1" noChangeArrowheads="1"/>
        </xdr:cNvSpPr>
      </xdr:nvSpPr>
      <xdr:spPr bwMode="auto">
        <a:xfrm>
          <a:off x="5743575" y="14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2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CEDDE-0057-48AF-A789-BD81FB14755E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1CE702-1D15-498F-83B9-F168273DF4DD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C7ACDC-6CA2-4400-ABDE-10B5CA64DCD7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438989-188D-46A8-85CD-50002D7B4473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DE991-1616-4D41-A759-A936B044AA2E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442221-5944-4D8A-B55D-8B0EE9BF5613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2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F9E7A-B158-48C2-85A9-032562D728AC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2168FB-3272-4C42-A863-4CC1B3D47513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4D2D2-6B6B-44E0-8535-0B1E643CEAEE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962FF-529C-4715-B4B5-6631255A43AC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F6CA42-0FA6-449C-9D10-717BD3362D47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A35BD-4C12-4F36-89D8-399E6A04E7EC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E56A8-40B5-4364-B2C3-9D0A1734BF30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16267-EBCD-4E6E-ADA0-1866423E497B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A93DC-C912-4E82-9795-7032E3974E74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A04D8-8B72-480D-A699-5D2119FC8823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1452E-7635-4DC0-9A56-3DD234089DE0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3712F-4E2D-450B-A240-1AC754E1E14B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52778-0F58-4A4D-A353-F01CD3C3FDE8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A70B5-C32A-4D98-84A3-B39AB2E48E5B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E9064-BFEB-4612-A7BE-14750E36784B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8E9B2-2DBC-442E-9E95-BE91E14A76DF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75DE8C-3A4B-4668-AFB7-2B7251802472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3DB62-8BBD-4BCE-8338-470CBF739414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546721-0A40-4E4F-84EA-C12CF59B2882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6CFAD-FDE7-482A-9EF6-39EF865EA33C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60F8A-0E6E-47C5-AD95-026D2AB5A47B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2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FD752-B277-4D16-81CF-9EE059AE7CD2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CBDE78-176C-4B23-931B-7ACF86C0E9DB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2311F-ED26-4F1A-9684-B40BF170872F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D0539-69EE-4359-B89E-383462E7FD68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C6A6EB-A49E-4F90-AD64-253CFCF80527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E2CD0-BB11-4D09-B0D5-8FB839416E3B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2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22928-6783-4248-B512-0B085B79E6B4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F914F-5179-46F8-948F-AD590A50F369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6CFB45-2F7A-4518-BB39-5547F79D3EC4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45A208-00D8-4FDF-B610-AF12D424561C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980BC-1677-4534-B5EE-DCBA6248CA36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4D849-26B6-4DE4-A332-0ADCBD70FF06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D6830-78FB-4F38-9C8F-7C9E92B3FAB5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39329-2839-4F43-8229-3E8F244F7279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F3861-65B5-4EE1-B336-6F52BBEB150D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A521A-F0B8-4EC7-8E7E-2835C07B07C8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7B2B57-3857-4763-9623-9224D4290553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C8945-4A60-4D76-9CB9-794177627200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7DBDA-C53B-4C26-BE02-B8F8D0EEAB6E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C0300-A104-4C61-80F1-8D81DF1D27E2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F7F6EC-9121-4A97-B569-889EFEF7427A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6A6CC4-3780-4595-88CA-CB41CF5D38B9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8AE58-883B-45F3-AB02-FBEDEAF1806D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3362B-9E3B-43DC-A9D8-27B2E43D8F45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5C0E8-7756-44D8-BAEE-8D7839BAB14F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F82201-CDC8-43F1-987F-BFFB1F61EE86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564B3-4FE8-49A9-BAC5-C11A4BA40348}"/>
            </a:ext>
          </a:extLst>
        </xdr:cNvPr>
        <xdr:cNvSpPr>
          <a:spLocks noChangeAspect="1" noChangeArrowheads="1"/>
        </xdr:cNvSpPr>
      </xdr:nvSpPr>
      <xdr:spPr bwMode="auto">
        <a:xfrm>
          <a:off x="151542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21DDD-337D-4C4D-9B13-2772941EAEA2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BF4A4-AA78-4A4C-92D1-4D5F031543AF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55702A-71CF-4E94-8FA4-86C48A6B4951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90E46-F978-4E2F-8B78-480508384BE8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E6E058-B748-4D6E-8C0D-D0E1CB224F39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04373-0756-4A91-93AB-6DA6D436591B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71846-6260-4A3F-BA05-75B6AC2BA4F0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E852B-8C42-4E73-B83E-E946827E5863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EFF67C-48C6-4686-A11A-293915290A42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6E9D2-358F-4776-B65B-D15678557501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9D40B-D684-4611-AB53-BD961DAB826E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26CF9-1E92-4AE4-9350-B252C38A389D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3264E-B3DE-4227-B3FA-B7C2BE744AE7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8B1E09-DDAE-4383-8005-5D21F5C2815E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45608-96CC-4707-8FAF-21DBFD2D22F7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540440-D577-48C4-A4B3-EEFD310F768B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BAED28-C684-4854-A644-D75F92728707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3D2C6F-5471-4685-8277-BDE67059958A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BECAC-BDAA-43EA-BD00-B4200F091ED5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387EA-AEC9-4130-9DBF-734336478CB9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414B3A-ADE0-48F7-B7CF-3546F2FB7984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072E9-5A10-422A-992C-C146A804E25E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4E3D8D-8C70-401B-BF61-ED43877DDB9D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22882D-8DFB-4BA5-8E09-725709E2E657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33C08-861D-451A-B55D-26FE472232F3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D3EFF-FD9C-410B-87E8-2F71F3CA55F9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3F8D4-8C90-485F-8DE3-376188D46974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AB0DA4-1685-4E51-91B9-D87259B87D08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21377-01DD-4E21-B8FD-E92C883F556D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F5F8DF-FC46-4251-A22B-ABF8D5F3C782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010E2-C237-4ED4-9CB5-0D998BEE1F68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E1F461-3179-441C-9FCE-FFA981409F9B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65AB7-62E9-41DF-92AA-3B7B11C4A778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F60D7A-0586-4060-8519-838ED861C9FD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B3045-7EA1-4825-B722-ECC3B2478271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B93A0-817B-4B74-8AA6-81342EAC541E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D8D11-FEE3-49A2-87E9-FBAFE78FC9D5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2E2039-D51E-4033-B442-5A3DC53748E4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1C45B-066F-410B-A1F2-FCCA14FA08CA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2C2B7-4577-41A4-BF63-D2C36A66AF65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1EB4C-A96B-423F-9206-FC0B2824D786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87BC4-4CE1-4884-B516-9A48D97E9EDB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74323-80E5-46F3-A0A4-5ED944BB9FA2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D4AAA-0EE9-46EB-9998-DEC13F159342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93E6E-EDF9-4AC1-9576-43714BA43C73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BD5A2-F88B-4D5A-A9DD-64AC4BA3BADE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156BF-0C18-4301-B2AD-5ADEF12897EC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B70E62-3AA9-4A8A-A8E7-D4A59ACB8307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F211C-2860-4836-93E2-6748BA75D23F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43871D-72BD-4DB5-BA29-22FAEBEF9D41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BE0DF-1041-4DB3-8486-0F0055CD0352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9A102-B2F9-4197-8179-FDE828811AF1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B17A4-37BF-4CCF-9983-C083550A79AB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EF5AA-3BA6-4DD1-909A-536F57852CC8}"/>
            </a:ext>
          </a:extLst>
        </xdr:cNvPr>
        <xdr:cNvSpPr>
          <a:spLocks noChangeAspect="1" noChangeArrowheads="1"/>
        </xdr:cNvSpPr>
      </xdr:nvSpPr>
      <xdr:spPr bwMode="auto">
        <a:xfrm>
          <a:off x="79426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A7987-AFE3-478E-A4D8-5DB4894C963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0953D-D434-45F4-BD3A-3D57407E178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6DB90B-07D3-4AFE-8216-A2BBADBBECA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2EDF4-950E-42C9-9C18-67BF5E7A482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E8D53-A9DE-4DB3-9E71-92A79DB3364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A90E1-B1AC-41D8-9F1A-A71BF311409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D0A518-484D-4AF9-B09B-BD26902BD73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AE127A-C9D4-406C-AB71-2B093C2E077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8FD10-05F0-42F3-9D5B-F5946BD839C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8A82E-DF0A-4ED2-A96B-FA2B868EA19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E29739-88B9-4195-ABEC-F2D0F6D1008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90FE40-1353-4F92-A20B-2A2338F5D12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BAA135-9D78-47B9-B44B-81BD6E53BE9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9CFBB-5E47-408F-828B-CC483F1D8B5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87C8C-3F81-43D2-AECA-1A3EFA47800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B3C4D-5089-48A6-A56C-55880953310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88B832-8360-40A5-BD2A-56914DAC769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57E140-5989-44F4-A1EB-CF180B8FD7A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24726-5B0F-4F07-BB35-6A34DB1B0BD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5571D-00D2-479A-9C7D-880C80A17C5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DB5EE6-EDB3-4BC9-8210-D997D7AF123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D92D6-D53B-461D-B75D-6F7595472F6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34AEA0-710B-433B-A96C-F8E37B4FB0F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3E5C8-56F5-46B5-B8DF-14272B0DC74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99EF5-63FD-49E9-BCEC-78C17772DB9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A3C988-B664-4C53-B02B-D2109BE151D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5891F4-C860-4D9F-A286-09439EBB24E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79FF1-8E89-4D43-9229-C2CE5C12ECE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C351F-52B1-4404-B26A-3CBE93360B7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719C3-4950-44DE-871C-7F67ACA426B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A08D9-1704-480C-836B-E13EF777760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3C1A3C-3F33-4E0E-A126-DB4B2C205C3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08D89A-3EE3-4AC4-A559-5E8D378A62B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C18997-7783-471B-A3BA-F11063F275E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E1D55-BC20-42EE-9D80-B7FC2BDD90D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C5EA9-7341-4B71-86D5-1109D02B180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BAD13A-123E-4DD8-A146-F50690E6824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12851F-A2EB-4991-B3B7-A12CFC14F6C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D5527-9AD2-45D2-8446-F5687E95E66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DEEC9-5026-4ADF-8BF6-11A9CFCA71F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D4D0E-4DA0-442F-9426-7DAB6CC60862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50318-7F7F-41D8-B29C-6408481CFF7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7C5EA9-CD2F-42B7-8CB0-63CAF47CED6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D8666-B666-461F-8AB8-733D908BFD9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FE5316-5349-4FEC-8FA6-DCFCC162CEC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5921B4-03EA-4E43-8ABE-9658427AC93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14B189-DE7D-4FD6-9E6A-16371F8A507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78A19-5F94-4B01-97CD-EE7BCA42A1B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EA6D1-20C5-424D-B945-BA66273BF7E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F1F51-A538-42F4-8330-6C3CC8740BE5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A27CD7-1A9F-4034-8309-4CC97271F8C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2CCE2-5420-4340-BCC3-0EA09D5D9AB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CD6E4B-0DD4-47EB-8004-F7B70D0A853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97F7F-145F-4129-8EE7-C11670E72B3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67362-9029-4F79-A67D-E4A5281FF3C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ECEBBB-FCC3-47C7-8EF9-8C26AFE90EF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6A2AD7-0199-4C1B-9B19-61F57CCEE2B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4D118-3B94-45CE-B92B-68F1193B227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0DEAD-E543-4B4C-A84D-00EDC42A06B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23919-7DFE-488C-84B3-9177BBD867D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EFB38D-9DF2-4CFD-A0EF-A71AFA8E4EA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2573A-BDB0-4702-85EF-51F74E08C78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96C2B-1DF1-43D6-8FE9-B16BB6AA9D0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ACB0D-68CD-4A83-8627-B7B93805F3A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E834A-00C9-44BD-A015-E82283DDC5B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130DDD-B1B3-4075-A49B-DB20D9BC52D2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A14D14-D81D-4268-9211-54761C186AF5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FA57AC-4984-434D-AFD4-A0CECF9C72E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ECF4D-121C-4EDC-BD93-4730F29BDAB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7C19C-99F6-476C-90FB-984AA03F6E5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D8E09-C9F3-4FFA-8E9F-4F5C6CEB171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61EB28-493C-469A-8412-AB51D73A41D5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3AEE7-85EE-4EA1-B22F-D7372A6C2DF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5F5B2-F7E9-4035-8C04-B97CA62B6FE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5948BB-4782-407C-A139-226B8026FFF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026B3-4B8F-4F83-8884-0CBCE296682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F8F519-C10B-4D17-8B65-F405274AF04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8CA78-DA6D-4B93-B816-AC91ABB0560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39F33-0F18-4EF5-B587-20A7C96DD895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4F7E0-031A-4D7E-B538-55AEA0DFBF8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2FF6A-7644-4266-9494-D281A744BC8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161A88-FE3F-4187-A022-16748167308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994F23-FECF-49FD-BA28-C7397323D19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6BBE5-A359-4C9B-B905-3E0ECE94C02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C74A09-A745-4F56-9186-09096DAF728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7051B5-B8A7-45BC-B036-0544A5FFDFA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8DA645-27B5-4EAA-91FA-DF834E304CE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7D2C5-FFCA-451E-ABB5-0658FFF1C20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875322-1D55-486D-AE00-FB23A14BEE42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CA1E7-2873-4A53-ABD8-A4DF96E4AFA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DB2A2-191C-4367-B4C2-C51A228EB61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DDAB7-1A5B-4A63-B993-DE994443DEA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EF07AC-4132-4817-9CB1-CF02AD9D9D7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C5E4C5-FD60-4EFF-9C9E-878165C50B02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E4ABE-F3CB-4CDA-854E-385F4D5A630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FB0843-EE99-42A3-B8D8-3F4798B658D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6D9787-278B-457E-B9BE-A4D609A949D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A8BA3-70BD-41CC-A01C-226B9AD2C1D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10D63-4737-4454-8143-A42A7EFC978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14D24-4F3F-4CC0-A56A-C80CA611FE12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F2CEB-FCF9-4BB8-9632-A139BE2B889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B6925-DF9F-437D-9607-4080880B7D5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0AE73-DB4B-4544-BAC2-F0755196A51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FEF8CF-F124-4063-89B1-02689A76025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881262-F8AF-4C6A-A404-C46635E9C42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DB27E-88DF-4F64-AEB7-3EDA214BF7D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4EC67-629F-476D-9008-A99555FA1AF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182951-B0CC-417C-BD9B-AE7C7E49B54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45950-E0F4-4253-BBAD-713DF84EFD4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06429A-D1FC-41F0-888B-1B86602CCCC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1DF68-FCB2-4766-B7DC-77553CFF09C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24E0F-19F2-469E-98E1-1EEC3AB2477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7BABC-2550-4327-8412-371AFAB698E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4A51E-0107-48E1-8AF6-6CC8E0362DA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B3829C-1266-4C47-A7D8-E12841948E3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FB671-96AF-4BFA-A453-F9AD316577E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265F2-4E70-4E6F-8AAC-793164BE532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EC248-F396-49A0-A4FF-E67B098A98C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4CC3F-1CF2-4CFC-9789-7D022F2A14A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188F03-B5BE-48C7-9504-CC95F2DBB1A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64711B-1DFB-4B9D-B4C2-B5388A7320E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D3908-3688-48FA-B376-2857E1D2B98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93BA3-891D-4134-AA17-00C89A1AE97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4D52B5-4027-4F5C-A132-634E121473F2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8681A-C7E4-4918-88EC-3445A692C59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DAAAD-1301-424E-83BE-FEF640F3111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08F6B7-67C9-4183-857E-438588A7572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5C93A-DDD3-4051-9D71-08BB17CC41B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E911EC-6C34-4875-A36E-8741AF86BA5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F3427-E3BC-43AD-BB0D-6FCD8AFC7DA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D0327-B9E1-439A-821C-0036ABE040A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3F790-D24C-4396-A4B1-AB96B159F80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FF2C2-ADF4-4CFC-8CC8-8EF00F8A29F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B4308-ACF8-4282-95A4-B51A6D26006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874CE0-67C0-4F83-B4F0-45A04B1D8ED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4363C8-E790-4F1E-8807-37A83B0C116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7476AA-172A-4276-87A4-8BDD58B2176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B00262-9474-47E1-9E50-F63D17AF678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25D29-3956-4D91-8F44-AA2CABF2ABB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95AC4-C730-4E6C-81E2-51D137A6B03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57F919-D1CF-473B-BAC0-140417DAC71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00813-B910-4217-B8BB-EEE38B65C0F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26537A-78B9-42EE-8FE5-31A945F9087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5D8673-9363-46E8-89B0-6E15AA248E0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8AEEC-F6B6-4758-AA2B-3866D4B985E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EADE8-38E8-48C1-A122-070F6EB6468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BA384-1FEC-4813-B518-5081EB4B822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29F268-F79D-48BD-98C8-20C878E6512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F98BA-1900-4C72-9F54-656454DD956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BC780-CF3E-43F5-9255-B0A29E98FE1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76D17-F641-4FFE-9410-B6649FD8196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2858F-BF29-470B-AF39-4569D284A59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8EC039-53CF-406A-A4BF-375D8EE4F6B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EDE82-28AB-45E6-B6D6-9166EF85F51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17E27-008A-49AD-B572-911CB6D3EAA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8C0C5F-E63C-47DC-80DD-6710F50215B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59EE6-8978-4B69-8245-188BD43D7D0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95100-3658-4383-84CB-A5C66AB0448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68300A-C0E6-4582-912F-3B63A20E98B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7F5AE-148F-40A1-8BE7-A7F62168C54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A917EB-31E5-4D6A-9ED5-17F64B9148E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7D9346-9F3D-48D8-802A-BAA3603426A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EE1792-53FE-4206-BCFE-D68C6454BAC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E05E7-9F3D-4D6C-AE8B-3F6F5AEB571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7C3D0-3517-4A14-A59F-68545F8FC07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87470F-6803-4A22-923A-A531AF8CBA4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E4305-7D80-4C12-8F46-2296913CB9A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AF027-8B8F-45FA-8705-84B40175EB80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1BA53-E010-44E0-974B-AE5042F9A1A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F164C-8524-432E-9F64-11B046B1CEE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F275D1-4249-4EF2-83C1-4A50D639274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4B33C-14F5-4F7F-9E0A-1BC5608AB2E5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2C6A3-4391-4402-AAB7-93D07B9D398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C1EEAC-2374-4983-BF68-221B86C2D26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9D4BA2-CDCB-4E9E-B234-B67AF22C3BE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7B326F-FA2B-40BC-9FC6-826A0E56F9B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F6469-F38C-4F77-A013-0775237B062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DBC69-B1FD-41C8-A232-4CA688599C4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82551-ECC4-4473-87A8-959CEFC0495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1653A-779E-4EED-8084-1502AF880AA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7B7936-3CFC-4261-A906-FCB5999418D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B6652B-9D26-4FCA-9094-3B5BCD87676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C803F-9661-4523-918E-49402A33305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7F4CD-798B-4904-B26F-5241208374B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3E83F-FDEB-46D1-ACA0-CF94712C15E5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7F93F4-ECFA-4110-9D0C-6950E9AC93B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903B0-F672-455E-864C-280A27A2170C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E56F9-A35E-45AC-A3B4-B45018AE198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55CFB-5B1A-4194-9DC9-FC40D49C6C6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28231-E981-4758-8C0C-0A8FF9574789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E7DA1E-3132-4F1F-B38F-6D927E9972F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2621E-36CF-4355-96BE-0606F8B31C01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B38D3-7052-48E1-AF1B-C49A4D466F4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F4063-4C3C-4F1A-A000-C20C8D721DBD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4853A-7A3B-429B-A8A6-F673BB0BE40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2210EB-5AF4-4DF0-8B6D-86589A8ED70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1A2F6-670B-455B-B9C1-4EA721A3ECEB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6D72C-F967-468C-AED8-39BE628D5A43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E68A1-2BC6-4B8F-91C1-2860651D47C7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DA2FD-6CE0-4F3F-A060-0F5836358BF8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5AB5D-34CC-451B-BC0F-970D82E64712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615F38-741E-46F9-9680-99ED342D5095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E43F9D-4756-4CCE-8B74-33C9F11854C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6BC73-B890-4AD3-98C2-41510A18C30E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C5E613-7B9E-46F9-B9D4-ABE45681A3AA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8DAD6-719B-4383-982E-4D4B27F6E77F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DD6C4C-8DB6-4046-8A81-2CB22EA5B794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FC9CD1-5D37-49E0-82FC-9BD9044CF9E2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6031D-316D-4CF6-9401-5C7AF4F5B266}"/>
            </a:ext>
          </a:extLst>
        </xdr:cNvPr>
        <xdr:cNvSpPr>
          <a:spLocks noChangeAspect="1" noChangeArrowheads="1"/>
        </xdr:cNvSpPr>
      </xdr:nvSpPr>
      <xdr:spPr bwMode="auto">
        <a:xfrm>
          <a:off x="7704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A569B0-05C0-4CBD-920C-A71F8E8516A0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E0FF0-FA00-4F80-B353-56FDB175B1F8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981FD-AE22-4B84-BEA8-BC150ACBEA8D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34F862-D09C-4F27-83FF-5872A545BC51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CA6B9-0B75-4CDB-A33B-558712D51597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C2AEF-A62A-48DC-95B2-0E99819C34F8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7A4042-5D09-46AA-B3BE-C0106ED11B3C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4B1B66-A633-408B-9DA3-FF7A8368C1F0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9B279-3993-4553-B6FA-230F8A6F0C95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FC2290-9F12-4E1C-9633-871D737FC22C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484EE-15FE-4C29-BBE0-2A802DE33349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43751-80F7-469C-AA99-88E89F2BFE2A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2548E4-705C-4D9D-B9AB-DA66F0B8D761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54F9B-CC74-4616-8174-76124E30D7C2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FECE8C-A451-4FC7-BBCA-25DBEAA8700C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5E3D9B-066F-4338-B83E-59A1ADCAFE30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10B9B-4B3C-4C67-BBA7-9C497B781771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39EED-B1F3-4260-827A-F99F05599CFD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DF959-451A-4A67-9623-70B8EF23245C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F979D4-66AB-4373-99E4-09C7EBE2E7CA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02332-3A0E-4DF8-9C7A-1BAF70B0F409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4F2A5-BB23-4367-BFED-8FC8A1902748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2CA773-5A9B-4861-AAD0-3B9FF53A9C75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D5AE3-3A92-4C19-BEAB-E547DCA64501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55C16-B301-4B6D-BAB3-CCEF98E78698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9DE2A-97FB-4892-9D39-EF004D532A2A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0237C0-E4D5-4549-81EE-C263139184F2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8DBDE2-EEBB-4883-96A8-45AB9419ECC3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F7511-C831-4D2E-9BA1-F6B5FA52D3B6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D6226D-F2F4-439D-A895-DE2A44295150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60AB6C-BC7F-45B1-8D2A-C1B8E000FEFF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A8036-FA4B-4186-9E1F-2B1F3E934C19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260AD-BEEA-455E-8B73-4801C8802A7B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E30F5-2A4F-4736-962E-8D96D5194995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60067-85EC-4467-933E-728AD361E8C5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A7081A-FAAE-4D3E-B24C-88875B28A919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5C67E-F15F-4944-90A9-4C45B304F64F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D8F2C-225A-447A-87E2-45072A9D8A85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E4890F-6D10-48F1-B521-AE21A822662C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81C3D-6FE8-489A-A7AD-3094D557B2E7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9F176-EBF8-43BA-8421-064B906551F9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9B62E-2343-4BBE-A554-EBAEB023E6BD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6D304-9E45-46A5-8C5E-A902FF3770AB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74BF8-074E-4AF5-B517-91533ED8CDAE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7938E5-D8AD-4995-8342-94D898D9E5F6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C6F5D2-A48E-4B05-B85A-C371242A790D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A6711-5E2C-4769-AF9D-BF02B69448EC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250141-12B5-4FAF-B016-F7FB70D35440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D7523-8BE6-4FF9-8AAF-700354AE7B80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40126-E1AD-4601-AB09-EB2691684E1C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E5DA6-37AC-4A0F-A57F-C19B9609AF29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E905C2-DAA7-4D51-8E26-21681181D004}"/>
            </a:ext>
          </a:extLst>
        </xdr:cNvPr>
        <xdr:cNvSpPr>
          <a:spLocks noChangeAspect="1" noChangeArrowheads="1"/>
        </xdr:cNvSpPr>
      </xdr:nvSpPr>
      <xdr:spPr bwMode="auto">
        <a:xfrm>
          <a:off x="9133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9C0D5F-FCD4-42CE-9C71-C327EC45772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B4936-E3A2-4AA3-8514-F8C7A69B37D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1CA936-C52B-4907-BAD4-281F8A8BF49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0D293-031B-4243-AC46-6953B64752E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08177-00A0-416A-BD9F-20AEB5513C8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EE013-4403-4878-BD3E-A94A1E8B95F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126E6-9D5A-4CDB-9DF4-91E5BB5B80F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0C8FA-D3AA-4BBF-91F7-57F4EADF07F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3869D0-CC83-4EDC-9578-D184FFB63F7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B4323A-6A66-4873-A367-A171D3E0DC8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A45D44-3542-4E9E-AFC2-0F174A26274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F2B72-FD85-4D93-A699-3578AFCAF8C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4A13A-F868-4C53-B8D9-96167D87861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495A2-9926-4D36-A931-5C9A10555E52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7AAB40-71EF-4B57-A8D1-D442424C2E5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045B5E-319B-4048-BF38-9368DE0A91F2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72F92-0298-4E86-97EE-30ABA34A186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8FE13-CD06-427F-B86F-28CA28D4C02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C2676-623C-4190-BFF4-AD34557A956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5F48A-0100-43DC-B3A7-B4C1D9B4A5B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BD02F4-1235-4B03-BC39-8E3EA44159B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546940-97D2-4D2D-A489-098E93DDF12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3B0358-9A83-4E83-9E16-1F7D3980E0E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6106E-69E7-4DF8-9B53-F510B5073AF2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2BF072-8A00-4B79-BFAA-BBD748BAF14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A9C72-058B-43BA-A134-81A7A0C4E5D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60E62-CF9C-4BD7-837D-5C8047AD9C8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44D03-CE03-411A-ABC2-0949EB35CFD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A30EE3-8FAC-4FC3-9A02-96956739701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F8CFB-D64A-47C1-AA06-0429F6640CD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E4D67-C340-4416-BE37-9BD5D7451C0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2B6443-65A4-4124-985B-29E9F81B4C4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29722-3D74-4BD4-8B90-625A074F1B2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2E46D8-246D-443F-A818-486927C7892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6EC30-B4D5-40BC-91F1-81DAA4BB625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FE816-0BE5-4848-A770-56C2E3519386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0100AA-69EE-4CD6-A555-E20CC4949EE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370F5-5B1F-4699-91A3-2A02717425A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C110C-2B90-4A16-B2E4-979212D9EBF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45CCC-E3BD-424D-9296-62B54B81374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95CCA3-8A09-4AEC-BE4F-21F9DDDC1EF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47BFB-63EC-4104-8C3E-DE2EA87F0E7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91F64-92F6-42E0-944B-7A3E7016C49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F37B3-A4D1-4E29-B238-4EB0E963BEF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F295A-CB3E-4C86-94E1-07F63C74450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EEAF5E-8C2B-4A3D-BC22-D9E75131D08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B216A-E661-404B-8818-2C0085A6880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36FAE3-8FAD-43CF-B0B7-928E519BD77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0C964-6AA2-40D8-91E7-98CDBEA6BC5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77EB0-677E-4A13-A54A-C70139EF573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BBB8C3-1E86-4149-8036-979142EC555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50058-DF5A-44AC-9FDF-621D339789F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735E7-B71D-4435-9C93-B4FF6D86C40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EC11A1-8A51-492B-8E40-8A85627C5F3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D8F71-D1BB-434D-B513-E414B6953C2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D37CD-7BF6-4732-BF05-5A91C4C94C76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CC2B6-2865-4804-AC9D-8E845223CBD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D3FF99-A203-4039-A22C-6A7B5929ADE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FBA9F-0A80-4202-BFDB-7A138CD1E04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28E0C2-5035-4A81-8C44-8F505935861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A9461-5E67-4286-A32B-99B78D75856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78C870-13E9-4ED3-B2CE-23596EC88A76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F0B325-1E84-41E2-B9B2-FA7D1A97A2F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6F0DB-8CBE-4F4F-AF6F-C99BEBDE600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CD435-476E-43A8-984D-AD96FC5A69D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01C6F-C189-4D4D-99AE-40A1A5E8FEC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7EE6B-88B2-4D44-A98D-27A3A3D0722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B626EA-7D4E-44E4-9101-D0597CF00A5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DA6A11-0BB4-44CB-90B0-D8B1C6384F2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6677E-E689-4B3D-AAC4-C3DED94F7216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29C286-3938-4180-A4BA-E3F479A5FB26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F19AE-CD36-4B8E-B020-C2430D9DFD2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FFB9C9-5D1F-4929-9B82-38E9F008889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AE89C8-1D07-4D4C-BD24-6F40A1CA566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F01F7-36E2-4CDF-A9E4-C6E86B042A2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77523-822D-4D77-9A25-6DBA231E334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2D7AAD-F4A4-423C-A928-B6C4DF2C286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D73D0-EB79-4609-8EA5-3B99F56A104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5F4B2-CD45-4251-8686-2D912747E06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D2C4B-50A2-41BE-8478-DDBB3789E5E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F8CC6-BD72-46F5-9474-2FDFCC2CEC9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8EB41-7AE9-41B8-B4D2-2382F833F77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979531-A603-4670-9DC4-7E6DFCED393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3B1F0-EBAA-4A6F-9D44-3FAF5F26C91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3C88B-A7D1-4F65-ABA0-86C7BC65B56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3C588-DDAA-42FB-8AD5-96BA62615BE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F386EE-8912-4CFB-AA19-EEEC00DEDD2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F80D1-3AAA-4D0F-B1FC-2343C869D3D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44DC0-6377-4040-9D7E-D8858CBBD28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F4262-D246-49DC-82D6-2F6AEE3EAF3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1ABA5-0FBF-4B62-8017-CCDF5DE32D4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06B661-CE65-48FC-A003-6887D4495E7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E30AA-172E-4E2E-9C75-DE670C7EB85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8FD633-F4F6-4630-AD43-B4A69CBE012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D6865-B8BF-438C-BE9E-0C64CE87D06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2A87B-4888-4481-976F-9902F888BD9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41BF0-B716-41D6-96D8-04F80004A4D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528DF-BD45-458B-A487-9E7BDFFE8E3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C7BCB-D477-409C-B16C-8963AF800FB2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2101B-6FCA-4757-B1EE-2EC53D060DA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44E75-1016-4F86-990B-C80D1BE251B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40346D-2E96-4344-9705-0C598A06D40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8C07CB-5DD1-409A-A1E7-3FA8AE28DD5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197F8-163A-4B31-8BC6-47BBB2845226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87017-53C8-4A53-BB81-72992F5E9AC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CCA30-4FA8-41C5-96C7-56F867C11CF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8AD120-3B6E-4279-AD21-56B44B162FC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0F905-C448-402C-B3D6-5EE03807EA1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756C9-4FF1-437E-8680-1E5D932DFBF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2ACE8-0B5E-4B48-9BF4-40C572E1EA3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2200CD-F250-4E3B-A80C-7AF7200C86C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AAD95-D7C7-4A4E-BEEB-166635B583B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B463DD-26B8-413D-AC66-C0F7228F84D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1385F-C05D-4754-AD90-788CA4DE088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57C5A-CFB4-4B59-8B9A-9F00E4FAC9E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AAB4C-F98D-4396-A8B0-5931FF0CD8B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E6640-EDF1-4CBB-9213-4D4F8981417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F198E4-1413-4B8D-BAE1-964EEA88B82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51948-0EB6-4084-A650-F08CD359599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BA7DD-942B-4BEF-B51B-74E824C4488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990721-AC8D-4B2E-92E8-5D64993866E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2E713-56FF-485B-A9F1-1B825B03111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B836EE-98CA-438C-B6D0-C0A38C8C8E5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7D66B3-38FD-4907-9B55-F13495F2A9F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FE3AA1-78FE-45FD-BA97-BE122BD06CF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CB19D-F3A5-4DA8-B9C0-0D81E314F1D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5EA740-B01C-4D1F-85AD-78F4B28295F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E7A15-FF4C-4251-9CB4-7D8331EDEED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72CB3-786C-4FB1-802D-7046772E59C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6A384-CC8A-4F41-A9B2-DD3E1596F7E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6130B-AD47-4D2A-AB3E-C13EB01466E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26414-638D-4A1C-9F89-913EE5DB4606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58FAB-76C5-4B72-8784-06A7169636A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5F8F5-CF45-4F87-9A5A-60510F086A1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66453-4CCB-4BD0-9DB6-E3F73E7B1B7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91ECA3-960A-4394-A20C-31DF1184DD82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48322-C598-49D3-9ED3-42F4025735D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4732E-8814-41F3-83A7-F03632C3B4A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E5A5F1-9575-4ABC-967B-2580138DDA9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E4AE6-DF88-4EA2-864D-BF916A648AF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7C594-408C-488B-8005-ED605AB285C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E76FD8-69CA-4EF2-AA73-6E6E2863970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E931F-7A4C-4D78-B351-EE561FF5514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B26C0-26F9-4E76-8165-1BA49D0DA14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159AC-6F3B-41DA-93F3-FDFD1CC41A8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B5F74-E4A3-45B0-8FEB-8E37CC75BC3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E81F53-64B3-42E0-A266-BC3624B320C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EC1E9-89ED-42AB-909F-B9CD54597DE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2487C-CFC8-464A-A867-2B615614EF16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41CA1B-FFF0-4DFF-9369-99F984BD6A8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C34BB-2B4F-4FEC-B209-A32FD39BC3E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D6FA7-FAD0-46FA-929C-CBE641D3D41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BF7BCF-C40D-4F99-864D-7D7B44DE7A82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29D6D6-33F2-40E6-8A3A-07D0C087F4B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1AA73-B2EA-4633-9345-9F6C2311740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2436B-7639-455E-B501-EF19704BC5C6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9AB6F-9737-45E5-9C5F-F84D84B1019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BA17A0-E9BC-490F-9A11-BAC0644A50F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880DA-A1EC-4CF5-8185-CBB06D57411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75857-D2AB-4242-9379-366689FA3FC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66929-CFAD-4706-B313-F40E753EC90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C3ED2-8008-42FF-9865-717830BCB5D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C39F23-95C7-4A9B-9714-644EE7D0B91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57F89-783D-4799-A03C-6F88451E2AA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FF63C-AF2E-4D24-AC4D-522921D60D9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5DE86-AD40-4147-BC82-DB64A67FDF8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49A3DC-21F0-44D6-8C9B-2CF2323B5B5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0956A6-42C0-4C26-9AA3-B4F96AF970A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7E1B2-C1A9-47CC-BA3F-A35CA11B572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E3C94-956B-4573-B3E2-60F6BB954CA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E3E81-C4ED-43E1-B238-8FC94AB28C2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7F380-2FE7-42F3-A89A-954CCA18A73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0AE1E-38FD-462D-9DAB-490F70A12FB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D32A60-6B59-4942-B2EC-5DDF5B4BA5D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B09E1-F83E-4613-A36C-1E080C13F33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0C4878-7B04-49E7-BCF4-3CD29F4ED20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5AE66-F2C7-48EF-9E02-BC6F4DC3C12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810AB-9E45-408F-8743-58343E8ADC0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66A63F-07AE-406B-BFAE-C18DA47ADED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E2D68-2CCF-4E12-8BFD-54A12CFBCD3A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ED2F56-BB11-40CC-88C4-818EFD995ACB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227A3-4391-4B10-B020-17983251C882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65ECA-76FF-45B2-93FF-F4C9EC44C0E9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BA8EF-ABB8-4437-8CCA-A4993320606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54339-F035-48DD-B18C-7827C4440A4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5B28FC-63FD-45D2-A9E8-6142D468550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E268C-9814-4390-8622-76360C2FE0B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21F8E-8DBB-40E0-BDD2-DF41CEE184E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EBB2D-EBC0-418A-BF62-5C6BE58E431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C7C676-0C42-4A38-ADA4-A3AF24D5C70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38636-E636-4A1A-99E9-5E3D4BC9DEA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5BA0B-6B35-4078-BD91-DC44492C5BD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AAE897-245D-495D-A0E7-6FD2124D873C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4C8F5-6D09-43A6-9111-9499ADFACA5D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EA79F-BF26-480F-80D8-2834436F55C3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717069-4189-475D-8905-C4C4E425CA9E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9C23E7-99A2-4F85-895A-E38FEB8EE3E7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3AAE8-3BFF-4177-85C5-C08E324E39E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92850-56BA-4D66-AE2C-EC5D2E7159CF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65CE8-97AF-4F25-9978-914084772088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60192-2681-4C5F-8C70-DA7B6D829E32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5371D5-A932-4552-A202-D61CE6162981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30302-7102-4FF4-A47B-0D2F71F466B5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9DA1E-A100-4C4B-922E-2BB3182EE5E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68A60-6AD9-4ECB-80E9-C32081FB0F04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9582E3-4F56-41E3-BCF1-F54678D3AD9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43F863-5D68-4402-BF31-16559A53A650}"/>
            </a:ext>
          </a:extLst>
        </xdr:cNvPr>
        <xdr:cNvSpPr>
          <a:spLocks noChangeAspect="1" noChangeArrowheads="1"/>
        </xdr:cNvSpPr>
      </xdr:nvSpPr>
      <xdr:spPr bwMode="auto">
        <a:xfrm>
          <a:off x="8895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3105A-D258-4467-8C5F-16D1ED2EC02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3D33A7-992E-4636-A1DC-155AF9125B2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B488F-B20C-416E-BDC7-9AD5973EA88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474A5-03F8-46DB-AF90-0B4316FD079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91E81-EEFE-4D41-AE48-F055D46656B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C06E6F-2859-448B-8BE8-A759C2D76AD3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1858A-BE64-45CF-88FA-5F33EFC73FF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E01FEB-E52F-43CA-B96C-3A7EFEB9E06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33F83C-EF59-442D-961D-44585E92763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C0DD35-89BE-49E4-9452-81D673AC2F9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6BA50-0168-4894-8323-4BE14ECE728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01575B-5642-4057-A164-7E2B520D93FC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14173-FA2E-4413-93F0-1B2EA829B9F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59A2A-A9F7-44B3-87B2-E0BE061041E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6464A2-510F-4E3C-8535-9D4DA3BD436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A25159-0128-40AC-B23C-26A026BBA9E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A475C-B746-4EBB-869C-76593CB079D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EAB65-D5B0-424B-B982-AE3E7A2410C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9908F-5F4A-4DD5-8D6B-646A7904E51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F1DBB2-0A17-4AFD-AD18-1C85D0EB5DE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49B79D-2698-4740-9DBA-F77676506F3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044DD8-D6A1-482C-A5F1-1A952078579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662EE3-1192-4083-9181-627E3121BE4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68417E-BB1E-45F9-8FD5-39314166FBE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08D44A-290E-46F5-82B3-99B31CE86E0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BAA47-33E5-4074-A29C-81A34B987DB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0E4465-F7B8-4653-93C3-FAFF7761F6A3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E2AF0-8A96-403E-AB3E-AC76ACBB4E8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96FAB-E90E-4BBF-A3D2-2D0B27C2AD3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679377-CB28-4942-9AFE-0D384C96D03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C5BA95-2125-452B-B8A8-BA5810513F6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F4D6F-01CE-4A9D-9C91-9788194F05F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916FB-3389-42E9-8A7E-820315733B9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4141E-F3F9-4D68-94E5-BD85A6FDB2A1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1F962-D2EC-46D9-B25D-16C0D33A57F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4F28D-3FB2-4303-ACCB-75DE404C3D3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B61FC-874B-4BE2-BEF9-12B7555BA7B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3BA2CA-939E-4439-AEA8-FDD3997BBE3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9B956-1D18-474C-96A8-3A24FF9D627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E8C36-BE0A-44F2-8C97-9811D0B1348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7CE6A0-B8F0-455D-84EE-7693A73B32B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5D67A-F1A4-4A68-9027-F45174F19D3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0F6BE-0915-4F1B-B72A-C9682D296333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75D8E4-AE56-4352-A9B4-B6BFCA660D5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49A2A-DFC8-4B5F-B62B-12075B75A79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937ADC-FCF9-4272-9085-1A782064327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0B75CF-E066-4975-A462-CA91CBE2D20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C3F8F1-FB50-45C4-9288-F169162492A3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F7DBFB-F2AE-4503-A5E3-330CA7D839B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EE645-C103-44FE-B0AD-023998D2D60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C3350E-C08A-42A8-9E25-21D7E4B29C2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48A09-7FD8-4FD5-B4C9-4AEAF27418F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0FC9D-097A-437D-9A75-44B56D05A57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CB8058-ECF1-4FFD-BC43-28A674465C0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81908-23F4-4B52-B620-7451FAD7339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7DA858-94EF-4B2B-B0AA-ED7E6AD0EBD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D56F2-2E7C-4C24-B786-9681B813546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E18DB1-6874-4B7E-98D1-DB756B1CD0D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74516-8D39-46CC-A7EC-2D63D32FC03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8C4A14-CE76-4249-8E92-5F1646A9940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141E85-BB4E-403B-AE32-7D8572916ED3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50DFA-7140-4921-A7F9-4F0D88BF65B1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5CCCB-5F4A-4C0D-984B-6D86F13641E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46240-E60F-400F-B064-96DB98A188C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3E2000-63B2-4727-AC6B-4C772C7BF15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27505-5B9D-4DB2-BECD-33C740E9F14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18A8E-01B6-4D8B-BC9A-0434CBA194FC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DE6AF4-1EF9-4670-AE88-C5ED2704D26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CE40D-3407-484F-9696-2C22BA2CC36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01D14-22BD-406C-843A-217B0C74537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E90AB-7333-48D7-AD36-F379CBA8ABE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86922-DBA5-44F1-96CD-A5AB0DBC4FB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888BE-4228-4857-AC85-64E0057286B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43182E-0756-4B16-9937-C0CA3212B7AB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44BC3-BFC4-4ABE-B3CA-B9BAD1DDCA1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530559-D502-4676-A5F9-AC79D3673DCB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31871-91E8-4C8B-920D-76930F395FE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E51DF-63B6-4D64-A2E4-040294F2B9D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9EAC7E-8D4B-4DBC-A12F-B446CDEBF98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A7D1C-E637-40BF-88BD-C424E8D7108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189C8-74EF-4AF9-9337-7481B3D9D88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0CEAA-6CCA-4272-80A7-52BC37A92AC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93556-A4B8-4CC2-99CF-3DEDC387F00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9348A-C578-4E31-923B-7291F6766E3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52396-5CD4-4814-85B4-E90551067D9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2FF54-010B-4982-B49F-7463ED8A3D0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AB016E-7D34-498E-86AD-58CA90B352E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3462D-FF18-41AC-9349-F43984F1839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7DADE-AD15-4A32-A597-FCBE7F30168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F8D108-9999-4357-9E09-B9FEEBCA8B4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72BE7-B374-426E-9C61-455C76B6F38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9E7693-A151-46C1-B88F-BAC232457B1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7784C-FEDC-4273-8711-3330F6A173A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04196-EADD-4E91-A05D-16E27025334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6A226E-5944-4790-B574-8EF9970288F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2CE5D-612F-4690-BF0E-16F2C6D1B85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D0C66-A8EC-4B37-AFB8-DA328F52694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5F682-BCF8-4ACF-A4A2-902DB68EA50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21793E-EECD-498B-985A-DA55F06D3283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30B84-D88A-4935-92CF-25C09823693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32F61-EFAB-4D35-B737-2BDD80E569E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58939-7B0C-4586-86FB-95B13633FA8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81755-DA4E-40A5-A58E-D690BED6377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1246E-FEFF-4CC3-9741-C54F92D03E3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C46B1-4818-4F4F-BCA0-042523B7CFFC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6CEFDB-E248-466B-B090-3E2964F5734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C948A-3854-4465-92BC-FF2385145691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C37BD1-F83A-462F-9BE6-931045FBBFDC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FBB6AD-BA17-41E0-9921-862B8F8CCE1B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48E5E6-D5EA-48E4-A32B-F2B09471712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6C2821-4BB9-4B62-B032-1F9C93E24E71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AC0DA-4C50-4FB9-872F-3F1F2551B7E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ACF38-B4E5-4924-889A-F228197FE73C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43714F-49FB-47E9-AAD9-5F2E304DEF1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D67E1-EDCF-4741-A50C-BDDF61DA78A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1FD15-7181-44AB-9948-F9A3AC3EA03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D4C44-03E3-4CC2-B28E-DCFDAD1E63EB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C02D5E-FEA6-4AE3-9014-8AB9E4AADB5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A83539-E607-475F-A4E1-F8587AEE2CA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01067B-9C5E-4E86-A5D3-89B308861BFC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5D6802-DC2E-43B7-A135-4F22FD8C7A1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73DAB3-A1A0-42F0-86BA-FCA5AC30A0D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9F532-0816-43FD-8A49-5D610AFAB1F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03BD64-4EA0-42DE-99E8-21184F84CBC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45434D-215C-4E92-B670-FEC299D4019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E24030-4EFB-4B6B-9B7C-B467A27DADD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97B07-A941-4780-8C88-D9549439F45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3A78B-3C1F-4E9D-BD81-29795304E78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F62CEB-5203-40D6-9623-87F7FEFBF933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54FB8-F603-42D2-AC49-EF7DDAFBA7F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0A4E5-7ACB-41F4-B2C4-0759BC782B1C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F6896B-B24A-477E-86F6-631BDCFB04E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13041-A0F7-4A4D-84FC-4183C4B1C87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D7D76D-989B-4123-92D2-5499D480791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CAAA6-9BE9-4E3C-934E-09017CE3D94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9AB4FE-6CFD-4FD9-B635-075F1D7C28C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729F8-F888-4E6C-BDC7-AFFA71BE8C9B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A7F21-42E2-44FF-97BC-6180EE3C5E5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680FE3-89DC-40D6-8257-04C60EEAE9B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583428-114D-406F-A4B0-4EB6D0867AF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BE7391-C136-44EE-9C60-FA6186F90A5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D6145-6D7A-4E72-8C76-4AC4166F54C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2B201-B1DC-4DB3-8A1C-E841FA4BE5A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C65C5-03FE-4D6D-B551-67364B14DCC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A39AC8-26B5-4BE7-AEAA-CD3617426CA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BD322D-A7CD-4A54-B829-06CA87AC759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88CB7-BA85-4DF2-BA68-B8F626B49EF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5E5426-B98A-4F91-9528-69F591CFF28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44DEE-FE03-4CC4-8575-8192D4AFF3C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1B293-660F-4C4C-9BAD-E06E19FAEF3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41520-EAC3-4D06-95C4-E14FA4BBB86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45606-DA5F-48EC-AD2D-EC1CC9B7DF9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C6B86-8246-435E-A986-85B85114653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15FDCA-4F79-4F64-B557-3E20B498B9C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38EA9-EFE1-4520-B5A9-C254D484991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B6BAA-1307-4435-A94E-A823DE1449BB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27B94-C505-4FAD-A5B6-5646C761DAD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C1C8B0-789D-492B-B3E7-4F9F8B00161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8ACF6B-7C21-43ED-B7AD-77D6CACB98BB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E9265-621D-4F39-A857-BC9053627C11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F3CF6-AC01-4DC4-A42E-929D220EFAE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D4138F-74DC-4891-AEAA-BC1C2FCE89E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4E28D-931D-4C79-963A-040F3C2372E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98F62-A717-4FBC-87B0-87D91B5BFC5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6ADD64-7E75-4645-86F4-F65DAC85F1F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DB51E-A568-44DF-9A92-9F3092C0DC1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CB3F7-DA6C-48C5-85F5-D6F4E25F49F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BEABB5-1AAE-4312-A006-AE428B96F41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3DB12-BEE9-441B-A72F-EAA332D8D13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B7476-A8E3-4F99-8F3A-0C8AA497BFE7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F491D6-1EBE-4B81-AC59-709A673DD3D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32681-0CB8-4A38-A041-B778DD6F1BF0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93353-9A19-48BC-8D44-F92878FAFFB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76E4A4-047A-4B92-A834-C0091EDB89FB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8E092-AF30-42F5-8605-EE9F57F3623D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6507E8-637C-451D-A2D4-2C8E577683B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30BBB1-3673-495B-9C5A-27F961E7999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F72617-8BCA-4784-9945-620CAFBFEA7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92A00-629F-46CA-A5FF-CD1D4CF1D96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DA893-C725-47DB-8D4F-EDD403D02BF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54E06-16B3-4F82-96FB-9B1BA77F90A1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07F8B5-A3D4-40A4-9562-7B1CA5780203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AC910-3F3F-448D-B4C1-65026835FBB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70EF73-F78D-442F-AEFF-809C326762F8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2D83A-8487-4C2D-B1E6-21842AF54D1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15C68-7370-42F8-A14F-45EEFA7C68EA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6095E-6B99-459C-AB20-4128C3E738FC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8D669-5979-4DCF-AA23-D241C041AC1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27FE57-C2CE-48EF-AB3E-B1EFBF055EF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7AEEB-9F39-462D-9A6A-B82BBD20CA19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B5E00-DC87-4EA3-8492-14BF070291C2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4A132-995F-4826-8A57-53EE835A825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304B4-3674-4D42-A266-365FD7512F3E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ADE25-0131-4233-B20F-B8C6F7C8E64F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B8E98-38C8-4067-A53B-7DF1C49A3366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07535C-F79A-42EB-964F-6F40C0D45F4B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944574-5E32-4EA6-B335-402F3F7F2C34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B2BC18-5EFE-4A02-BBCD-DD7A88667455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F3E98-4A30-48A4-BD72-307F4A59049C}"/>
            </a:ext>
          </a:extLst>
        </xdr:cNvPr>
        <xdr:cNvSpPr>
          <a:spLocks noChangeAspect="1" noChangeArrowheads="1"/>
        </xdr:cNvSpPr>
      </xdr:nvSpPr>
      <xdr:spPr bwMode="auto">
        <a:xfrm>
          <a:off x="10085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884AB-A165-4271-9231-3E674ECFF36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D9A88-099D-4028-BEAD-96C1C772A68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CCBBD-4833-48BF-9CAD-E8AFCE0774C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54444-896D-4981-9B62-5BB83C601F2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E6891B-6A2E-43AF-959D-997A122E64A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C1D6C-FDDA-4D8C-A39C-DFB2A18B759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06369-E10B-473B-9D47-19D1BF53C28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CC10E3-E891-4F9D-890C-64C544D9D13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CA01CF-30B0-4681-BBBA-1819952EA9C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6B23C-86CB-40E1-B685-B7353314CBC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AE965-1F9A-40C9-A90A-DB2F2F6E8EA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1426C-2D57-4EB4-81EE-67A0780DBDD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D40ED1-EAD8-457D-98DB-53EA6876101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62C55-B723-49A9-975E-FC67F986568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3F1B93-407C-4ACD-A2E2-903AF243F36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49669-ED3C-4EB8-B72F-2E41745D6BB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E2EBDC-0EA3-4B7E-9814-7FC85158D00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F79FC9-871B-4D62-AC7F-7ADDF6198E0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CD0C1-45CB-4046-9A72-4D5A6F42E21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5872F-D4E6-4383-9FA7-25F81EBBA1A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21C99-426B-414A-AB4A-4887BEAB8E8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5DC900-F178-4F39-9519-F5177C4D156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8A3B61-D44D-4514-BBF9-419330B6054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3E11A2-BB7E-4124-B1CF-740A9A15429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86CE9-A450-40D8-A91B-F35AA1DB74F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EB69E-0459-4083-9D90-C1AC7A3B041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832F4-FD32-4A3F-BF42-1BBF74182FB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BD8EF-1E84-4B43-9BBC-702256181B9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BC3B9-0054-4596-8B8A-612F860BF4B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AFEF2B-C2D7-4460-811E-5DF884F45B6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0BDBD-CC60-4CCF-A60D-ED581096540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D0F3A-983F-439A-B24D-9EAA43AFB2B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161BFA-2E91-4250-B70D-5E22730D6C1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4DDB42-FE48-4C71-B971-10471F1CD61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24D23-563F-41E4-8B32-30395517C0F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04731-08A8-4166-8647-3366B81270C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3E9EF-CC80-4AFA-B96D-1E466817139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556C4-F15E-405A-890C-F30AA90D6A2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E87B36-FD4F-4688-AC00-511FCD0B8D2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E96973-12BE-4D52-BD8D-A25DF3ECB8F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E4881-05DC-4253-9389-B5F6568AEAC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B1B48-5841-4491-B169-52D65B5E173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6CB6D-B6D3-4845-B574-90945CC8EB7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3B6C8-5953-4D91-8F8D-D11373FA137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CD443-DD01-4CBD-85DF-8521187AF9A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1808E-5A55-4083-994D-1462A330884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649A5-6964-47CC-A487-18C59154C1C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A28D3E-951C-4B56-8EA4-BD0E78D599A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8398D5-94E6-412D-93EF-2030F14172C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83AA39-C895-49F8-A1D8-2DEED3A82A4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6B638E-9280-4241-8B3D-4CCEBE54FDD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1B0405-1D53-4015-BC39-DF32354191E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9B6A2-3E98-46FF-A834-344752EA106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7263C-6AA1-47C0-A07E-1FB3AEC2B4D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DA9849-8A6A-47BB-AE3D-BD3C84D39E2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AC2D85-F3A8-4A1D-842F-7195868FB28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5AD6E1-C78F-493B-9898-DBAE822F2B3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F63FA-A937-44FD-98F6-516E73F538A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BE68FE-CF66-461D-8AA3-6DC990783EB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E3180-CD15-41ED-8D19-669D9895A61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73B56A-C9A9-4E1A-B1B2-946ACBFB638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547DD-3866-4D50-85C5-128D8EAADAB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0E4313-4D75-429B-BDDC-1CE1EEB2EE8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91CEDA-D1FF-4B7A-A54D-EEC7A68FD8F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410C6-4758-4443-A81D-638B1815273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CCDD3-CD83-478F-B741-E30CF7A72F6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48A77F-8C3F-48DB-9797-3B7E1D0DDB9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79C8FE-BF1F-4CFB-B23F-A7882EE557B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A466B-C5A9-4407-8DCF-AF596B0D8F5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3A6749-9EAF-4089-A178-E45C0CD64B6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F43EF-BB7F-4A89-8B0A-89C3A77E29E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996FE-6B09-4A4C-A119-2A666E15B7A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456EE-B22F-4718-BB05-9D4882C8237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4D868-6F28-43F4-B63B-271C75BD829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34146-18A8-4C27-AEF8-60499D32C3B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0141F-AE15-494D-B053-B88FEE16030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1FF14F-0D68-45C5-9452-EF396474AC0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5264B-C5D9-40FC-92EF-73B10235CFB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C5FB5-5AEA-4614-A202-5E208371412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EEAFE0-5EDA-40A8-B32A-55C40CB1280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96C03-5807-4B0A-8D2E-24037E1A005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CD7FD3-29A8-44A7-92A7-2C1CE49E351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3DAD43-FDAE-4A1C-A873-3BFBC6E1274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3FBB62-5AF8-4983-A534-71A713E5F0C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91C0D3-B2DB-4EC0-8A0C-037B6A5BD8B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B3619-01A2-4654-BC9D-D0F2179EB0F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CFFD1-EA47-4CCA-B5C5-F02CAA49A41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AD1E6-D640-43D9-BAB7-05F985AA530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D1A837-2106-4720-9B6A-17A36FA77A8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A1677-2F93-4855-9917-142C3B09464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1607B-5E16-4EF3-9270-6752AAD527F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0351A-ECDD-45CD-80B1-8564FE7F841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D0E54-C025-4E75-A948-1BFA7F72EA6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62B84-3B39-4584-884E-289BB14EFB7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08775-0CC6-438E-9E87-F9198C1564E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08ED5-5710-4F65-85A5-AF2D96489FA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EE988-2726-464D-BF2D-A391613C79A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282FF-2E49-4A6D-B634-EFD858DD591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AE97A-9CFF-413F-A37E-07DD8222A4B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8029AF-8484-4231-A2F1-133B7A433F9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BB596B-9898-4A7E-A545-F5E669C1298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92706-4614-41B0-9726-F7F6686B798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4D76E-CDD3-4297-B3FA-C00050604F8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CEA982-31B2-406E-A6CD-0393C6F7CE3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564D2D-2CB0-4AD8-9870-9B9BBC4246A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95203-AAEF-4077-8092-C6782668465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27E83-DC7A-40DA-ACB5-635BC29AC33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12173-91D2-4A7A-A62C-FFB4D29B2FB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0A511-C24D-49C3-90AF-72CBE37D485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3E5ACB-47D7-4649-A060-D92BEA294D7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B75AC-5324-40A5-B15D-1C1341366B9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D9ED13-BB2C-40F9-82CC-4BF32514555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9F329A-8BB8-4DCD-A936-DCA6115FEFC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14FD8-C765-436C-BB74-0E9B498407F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3BEF9-11E8-4A2F-BA1C-8896208E87C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68FF18-8848-471B-BE0A-72DAAD9710D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BABA93-BC0F-466F-AAD4-730DFCEC720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5F8F7-DF57-486F-93EA-9739D64DE93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C900E3-C15C-4E57-AB16-22E699C35EF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CE73EF-6E9B-41E7-ABCD-0BE696CE15D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C6816-6059-4B9E-8644-0FCAE0BBD81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31D8A9-84A6-4EA6-BF44-BE1F6C33070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C4AB9A-6DF4-4324-B90D-AB81FD4934E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D7F15-1060-416D-9C98-A09949FDE50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3A8CE-8915-44F4-BBB9-AA7FA512937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9E8C2-B088-424E-A20C-D971DCCB231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F8DB7-5EE3-42FE-97B0-72CE3868ABD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EA712-8A4C-4490-A9EC-F9D5461B908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97AC38-7D9A-49C7-93ED-5C78DF3BAA1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D9F0D-DA9D-48CF-9DEC-EEBEDF1F7CD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C3A4B-5D27-4AFE-A7D2-B170303F942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EEB52-19A2-469F-AAAF-03028B195B5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DC263-2E8A-494B-B108-D7EE5D560BC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3121E0-1D35-4AEA-8935-1CA95A25E26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F8E28-2112-46D8-8652-3DC2DF42EF7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8C416-03E9-43B9-B6C2-8AB3F85F9DF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F9381-D4DF-445A-A6D8-E7FA4045B6B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906EC-6028-4594-A663-EB9471C7339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68B91-2B03-4696-A401-7D75142EB32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EB06EF-8E98-4B8C-8B91-FD46A9142D9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600DA9-3475-4693-BE15-69F24D0EB53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73CFB-03CC-4047-A784-20B300F4371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763ED-1759-478E-BC5E-03962E60298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80E63-9FE6-4C32-A641-7C6BB265163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70C453-96B8-4241-AFBD-3126F7606C0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F660D-6498-4078-98BF-9813764A426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B8198-4766-40F0-B9D2-E887B9D1930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45A63-CFC5-463D-B4FE-8EBC02363FA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F1823-8768-437A-A25F-53C3E4CE977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449D8-1FA5-424C-A08E-909EC346483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5E0E7-98FE-4724-ABBA-4BEA24AFA2D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BCA2F-8552-4671-9683-DD03A8756BF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89EF60-B163-484A-9C0E-313A086B74B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771F2-DF1F-4C9B-9A84-6C55FE32CD8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3F7C4E-9EF5-44F7-A4AF-45D8E5BA911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16428-3E0B-40E4-B91B-044891EE08F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6F412-631A-487C-9534-7C2D857B0C3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2F298-BD4C-4811-B3FA-E72B87E9E35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3CF48-76DF-455F-AAE7-44AB22251F4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2CD4C6-8A4E-43CE-A0BE-1A33B5252AD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76F4E-5F3C-4B8A-9E37-7B2DD78A50E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71CE5-D836-489A-8E58-E4C6773518D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A5A7F-AC19-4EFC-8B46-42D755DE678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C1882-11D4-4129-AB72-DFDA2DD7A2E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7557A-79D7-4F74-BFB6-DC147AF8E06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881ACB-83C0-4BB1-94E0-EFFA9469307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C4D0A4-31F2-4D06-AB7E-BC8B10D1495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CE1B02-FE90-45FF-8C26-0FC7278BE97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AB829-4992-4A04-A692-B4B1EE18E3F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F9226-7632-4A3E-9A3C-B07DBAF7AEE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B89C38-6C85-4AE3-9C19-E33A2F84A06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47F29-4230-4CD3-9E5C-8BAE351A3B0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D0C15-D45D-4F8D-8B8A-219B4843BD2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38E5C3-D566-4CAB-BC66-4321415BEDC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C95DA7-A26E-4C59-8D6A-09BB54BBEC3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6F2A7-646A-4F70-AE68-E148F964E09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46BAB-CAD6-490C-9772-302D59D7134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F5040-F390-4212-A269-BCBE217F7E2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A6AEB-C8FD-4ADB-BD1E-68D7C86792E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6DD5C6-FB01-4E42-ACEA-FCF959B0BFB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03F90-2407-4B41-A6E3-04B651CC9DE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6159F8-BCC2-4D37-8073-88A84F8D835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3A50E-9277-41AA-BB1D-F774049AF0E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C1C10D-8825-490C-900A-32FE7CD5ED3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F550CB-3843-48EB-89F0-C749838DF45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F0C14-730C-45A8-9FAC-74F946532A5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084F56-9BFA-4892-95D8-D3CF7710CC0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89EE30-ED52-4F99-8631-57BE0A2B0CC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C1EF0-0324-4276-B9A4-CE368FF7298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74ECE0-4087-46BD-A665-57CBB0DCBE6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BD9F75-21CE-4FDC-889F-D93B473DFB4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92307E-6091-4520-A798-1D47C7CA78B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E59C3-79F9-44EE-A38B-0C07D8B3860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9F632-267A-413E-A1A0-CC9231BCC06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C4DEE-704F-423B-98D3-019AC60201E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05953A-1FC9-424E-A372-A2DCCC2DD50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0894E-73FB-4E48-A265-D1AA7BC5B45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7F3B6-6E1B-4661-839C-D942259D392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EBB0D3-3D68-4F4E-BDB1-CF8B37CFFFD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6E168-3FD6-4EE4-94B4-E571F0C2A2E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9CCA11-8944-4D74-867A-F802C04A6F4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E04C4-CF6F-47D9-A54F-7F44B12C7CF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311910-7DFF-449D-AC56-017291E28ED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118CBD-7028-4B81-9B8B-FB50C320E3D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80C88-5E16-405C-85AC-CC7A1927FFB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3BEE3-7C25-4472-9D1D-0FEE54E3574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1203D8-1D77-4A62-90F0-13ECB2941DC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CA1AA-B8B0-422A-9FF0-DF5C72AF975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5CCEC-B565-4608-8A37-DE864549678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ABE806-684F-4A6C-A820-C425A70DCB7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553D2-0893-4424-B416-594969137DE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EE4B89-B99E-4100-B273-C9F8EB6463C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5014B-009A-4AD6-A260-00CCF2DCFD1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2E0EFB-9C92-4779-8DF1-2852C14E980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3FC21-DF8C-4E64-98C0-9DEFC19F1CB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C2C56-811A-4380-9A4E-EC4FDD78D4F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8D85B-EEAE-4888-B7AD-6BA2ECFA6C4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71972-8459-4402-97FC-EFF6D2218F8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04525-C468-4BC9-A00F-6D790D0C97A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AB9AD3-8E01-4E52-9256-783080D9050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0B26B8-DCC2-4878-89E1-EA3EEF6EBB9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11D6ED-D6A5-4525-9654-F0A57BB61FD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F69B45-AD5A-4B63-94B8-9E66FB388A0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3A3A6-7412-4DB3-9BE2-70D063B6F7D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683ED-E2B9-456D-B278-4EDC37AA622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851E92-DCA6-4F2D-B542-2133945C570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46D9B-545F-4EBB-8E0D-6AF73C5EA9A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36AE7-A5D1-4720-B73F-9ECC348250B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0B806-47B0-4DA9-A723-0CE140909B6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C074C-9B32-48CF-8CC0-181DF08071F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C8E80-90D1-4847-83D0-037DCEBFAD0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DFF5A5-8FFE-476C-82BA-B5F536DD23D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68E69F-21D1-4725-801E-6054692FD3B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66BA98-76B6-488F-968B-34ECD2D7B51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83A420-8FC8-452E-8F17-E4F6BD82029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24314B-B7A0-4B3D-B566-9D34731D33C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1E59E-4E2C-4BDB-B7AE-85A6F9B3936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9EDB9-11F0-4F33-93EB-A9A2B3CBFAF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411B7-5613-46F9-973F-82AA05AC4A7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F5A967-EFB6-4F60-A9ED-ADD375F226C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13395-C169-432F-8FB4-AA76BCD752B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18708-2E88-4BE0-BCA8-51C19A6917E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54360-FD97-42B1-9564-AE5E0341FF4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BFD75-1E52-44A2-8B95-0108E2A356B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59EE3-8996-4F98-82DC-4257D3CB1B0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976B6-B2DE-486C-8008-1480F7F7B11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956DA-AE3A-4A2B-94F3-D19AF5204FC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9396C-7A8D-4498-AFA2-254990DFC49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FB4D6-2FD8-4D40-9024-410F0319A83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E7A48-595B-4DC1-BB7A-1582FC4D1F4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64824C-8E64-41BC-8CF2-FAD0050AE5B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6AD23-3F5F-4B3F-B586-3E9944A0C40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9B8363-E54E-4D73-88C8-7806DCE6B7E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0EA6A-EA50-47E3-9DB6-8F4D9803E3D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89D9BD-E441-4654-8D23-E890522EF22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1D908-1669-4CA3-B888-8C21F4DF81B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C9E7CA-B8F7-4EEB-A4C9-10DCCE3F342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2117E3-9C31-46D4-BFA4-18763CF46C6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8F8C8-0988-4DDA-91EB-1D102191061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13577-4912-48DB-9537-24AF43E3E1D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31C5BB-3744-460D-BB9D-3B87A875597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30CBA-A8D2-4111-B332-F6087305A41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C12F6-E8C7-404D-8D76-3B72336DC5B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7162A-B5A3-47F2-AC87-851776207E1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AAE1A-25CB-41EE-92C1-DB72FF76E5D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C248B-0F9D-4ED0-827F-12F5865709E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7EE1A-EE09-4966-BC78-A5CFC591B94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91378-7C33-4C72-9EA1-BF50D5375D0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96442-1984-4BA7-935E-08C3BAE48F4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7719F-0370-4EA8-BAFC-DECB4E9CC42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17EF97-F0E6-421A-898F-73BBAD93697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CCEAA-8CEC-4F7B-B042-E1DA79B3760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FB0DC9-2F39-4308-B4E2-9868F212A71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99769-AE5E-4730-AE43-5FF3F214103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860286-4E4D-4EF4-95EB-4D0316BE76B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6090A-0FFB-429F-8512-DC2AD77BCB5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35165-9178-42EA-81B5-556BF90A9B7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789E81-3542-4786-A240-ECC5B4D11A2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6356A-CBB7-4F77-BE26-36D63F588D2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9A384-8CD6-4C57-8FF2-A53371E39CB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A5C5E-4E93-4580-AE4C-EFA65286F55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E1D19-5E50-43FF-A837-305430372AF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E06074-CD92-4F60-B5D0-7994B0E70E2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A4E86E-423F-44C2-ADD9-59400BAC2CA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AC96BD-B880-4BB5-89BD-81022C31BE6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C2B8B-3EEF-4320-8B58-777E099F8CF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6A9ABC-AC51-4FA6-BF91-B3FF9728935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059BB2-7BFD-4A45-8362-00EF4B24222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83A7E-B083-4FD7-97E8-A723C11CA72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4090D2-CEBD-478E-A589-BE601442A77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636CEB-EAE2-48C0-9AB1-78565AE32AA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D6022-E19D-42FF-B9DB-D1093D14CBB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A1409-504E-46E1-BC86-61392FC3148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EA828-92AC-483B-B7E3-6C5EE649319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59AAE2-491F-4F17-8907-B4DFA4F6486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CD900-A686-42D8-88EC-565B0E45959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050A5-BD9C-464C-8E13-9EE128923CE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7F0CD-4B1C-4410-9CB0-EB9F9832919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F0791-D5D3-4B63-A76B-0EC0CA7AF46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E6EA7-2F3F-45B7-AAE6-472EE2E2C23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D62B0-A073-4505-B5ED-5BC5F247A7E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E2C65E-2F6D-45B6-9922-585BB3F132F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2E5E0-ABB0-4741-A21E-D123B919F21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53563-247D-4530-86C3-4FEDD85EEF0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846C5F-94DD-438D-9A45-4B0ED3F2BBE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2E123-93FF-4C4A-A0FD-EAB0F24687B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46D1A-82CA-48B4-9643-8C672C7477B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F10409-639A-405B-B573-10ECD6DEF35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E4C4F-1752-43A5-961D-281843135F8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76145A-B488-4F0E-9AB5-27A585FF07D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CF479-902C-4A7F-ADC6-69FB9078843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EA31D-49E6-4A39-BB37-F61A247FFF2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DCDA48-758B-4AA6-944C-1738BB703AD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B2D9D-C722-4E9D-8D08-2D90CC578A2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ADC403-268D-4127-95E0-48B3DCAEAD4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2452B2-815A-467F-B28A-2472270C535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EBF5D4-95DE-4CEB-B01E-30AFBBC1EF9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60066F-2452-435F-A1F0-3375C3D0F43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681DA-256D-4185-A960-D41B4F4DBAA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96414-0F0C-48A9-8155-A16C854232D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83801-9CCA-4A91-9011-18BC039B893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B05AD5-3AEC-495A-913A-22D2FDA6CCF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64279-755D-4AD0-B014-BDA2F4455DD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1CE88-BF83-4F54-A371-F08571FBF98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0AFD75-A45B-43FA-B983-CB2BFF32B5A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A38D9-75AF-437F-9C35-FB8E85CAE81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D78EE8-076F-4732-A6E6-C8DF533B409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68DC3-E916-4739-B56C-3090F39FFF0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14E86-7EA4-49AF-9BE0-BE4074DEEED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7D2163-0C54-4BDD-841F-7B08DE25F8D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7D0890-F069-4C20-9EBD-7255DB64C93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8CFEF1-47EC-4171-AF42-6D6AA3CDD71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6CB2ED-63A9-4570-84BB-DFC23F9E4DD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F3FE9-714B-4663-A60B-1A40EC0638C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3A8A1-E55B-4C03-9A67-4E0E940B1C4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49502C-0154-4E0A-9FB1-314826928B9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82671-ED21-4C06-9621-CAEA373039D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16A72-338F-41AE-ACB0-0A5FC96F2CB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194FE-3E16-4FBF-BB89-B69AC627724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B9BE9-C11A-4EE6-839F-EA7FA9C1245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032F82-CE98-4522-841B-8B9CB74B35B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F48F74-809D-4040-8CDD-8BDA304123A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3C16D-3329-4B9C-AF8D-B3338CA792F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DFC254-F7D9-4385-936A-9E57DD23CD5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D79633-691B-4878-9901-172002204E6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3CDA0B-ED72-4867-8897-98C051DBB64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E4B65-457D-4123-B1F4-8244C9DBA22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6938F7-45A5-4EA9-98DA-D9449420006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FDFD7-E035-45C1-8103-2E6A1AA9301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F28E62-1AD2-4592-BE55-08DA639ED32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49F1A-9519-4F5E-B2FA-E2904D21056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8E341C-5C4A-454A-BACC-A02988DBD96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284B8-F004-449A-A31E-01FF94AF73D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8EA34-6004-4C29-A8D3-A7EEDD33A4A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1ACB23-5963-4FC3-B7E7-303950511C7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C907C5-39CA-4C8C-87C5-4F669FD442A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01E07-782A-459C-BAF5-2BEABF2F679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9176D-7EF8-49CC-A118-6185C534D16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D502FB-EA7A-44C9-85FF-F08BCFFEE1D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B3B6D-60BE-443B-8D83-C6E9342745B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23937-3A88-4286-9653-74B8A8A611D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323BD-C645-45E3-B54A-D5A1E4DD2E2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8FCB2-2CE0-4559-A30D-503C59A5FD54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43BA89-C32F-4241-B4E5-1F0C6079C04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B14C0-1207-4DE4-9022-9E948F20B09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1FE56-1458-4E3B-9351-1C02109176E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7D3A1-F784-42FE-B0AD-0BBD7C00DB1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3799F-1531-42F1-8B4A-3F9AC875917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2014C5-24D8-4B10-920B-90401B408D4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C9F269-E9A4-4800-BFB1-6A975FC17B8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7E1F7-6E4F-4F98-8930-BC9C873A7CE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F94CE-FD82-437B-A4CE-7CDF02A1A18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94549-8C0E-409E-9B81-A0833A9B6236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AC3ABA-20A8-4CCE-90FB-7574357DE42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A91E8-B5AE-4343-BBE7-6AF4C931AB27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AFC975-2E6A-4ADA-BB6D-A708998C71A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17DAE8-C632-4E18-A04E-8915F363E06A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3A258B-177A-46E6-843C-6BD34C430B9C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F6218-70BB-41CA-85FA-F2923518F1E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C987E3-B79E-408A-8A5A-3BB6638AB2F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EFE26-A7B8-42DA-9EF7-E15769EB19A3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AAEF3-374C-4369-A952-5D73905E4C8B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FB900-CE35-44BA-8866-F81E9FD1AEA9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1BD87-0CF9-42E2-A2E4-517BC216E2F0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D4A5F-1157-42D8-B5C6-C8A1325C074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25568A-CBA8-4874-A13B-AA798C92153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528628-8D74-4AEE-963E-AE7AF0494D0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60FD3-E35D-4012-8448-6B1E0B7FB02D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DF86F8-453B-41C5-8CFD-039BC472879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300E8-2784-4074-BDA8-48E8462EEB32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452D0-F4CE-4447-8893-CE0ED453A5C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C0754-5633-442E-8222-748670653F6F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77808-2ADB-4601-B7BE-D61A30966B11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1FB4E-C9F4-49EF-9D0A-8A4BE1AC5905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A0EC0-992A-470E-9251-F187E4D2AB3E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01101-3E4B-42B5-9419-E7CC8797C318}"/>
            </a:ext>
          </a:extLst>
        </xdr:cNvPr>
        <xdr:cNvSpPr>
          <a:spLocks noChangeAspect="1" noChangeArrowheads="1"/>
        </xdr:cNvSpPr>
      </xdr:nvSpPr>
      <xdr:spPr bwMode="auto">
        <a:xfrm>
          <a:off x="96094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7A0475-4331-4BEC-B1BB-9CF3F2AA881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B1A26-7C8B-41E2-B0F3-03F8F7AB382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4FD35-2085-45AA-A7B8-706A0AA227A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66AC3-C331-4F2B-8D3F-1E7AE4D5E22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9F6649-F374-4691-B06A-767E5F731DA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4FCCA-9739-4C3F-B045-6881F3A570B8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5D9FC-3102-455C-92A8-F357B41480F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E89A4-BD4B-4E14-A90B-411E1436B23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417738-1589-4926-92C4-975EBD9AFA43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B99F9-F4A4-49F1-9210-085036DA72C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C716FC-82A3-4195-94C9-CDEAA8E952E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E8336-8D0F-46B6-A459-1D36F44F694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927B05-A76F-4B80-BC39-F32D2AA737E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9FB5D-308E-407F-B362-C958573C6AC3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D1735F-1DC5-4186-BFC4-66E8DA460FC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28618F-4FDB-471A-8865-E05863D8256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65124-DE49-44B7-8AE8-A5BB018AD5A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17BEE-E975-4A2C-B587-05CCBD3FAA22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1C68C-EAE6-4C9A-83EB-73CE7D736D8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C3B3A9-95FA-4765-B0D8-0F43DFC0080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A85DE-A4ED-43F6-ABB9-241B8EDB4972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2BA6F-B5F3-4C33-A8E0-1F051CCC918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0EE18-9079-4CFB-992B-EB558F55F31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CDD9E-DC63-432C-8565-93F5C6FE7F63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8CE99-FD36-461B-ABCE-2CED4F9DA18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326DF-733D-4A7C-9A99-A046434B321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05761-DB5B-4AA4-B6EF-50DD14DF51E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9EFEE-2C66-43A6-AF59-07403597BFB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B87DF-C65E-485B-A596-9917DC489612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E1BD73-AC0E-41B4-8B4C-BDC215A9991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0C3CF4-2F88-4C5E-A91F-937E72840758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5107DD-C51F-4BD4-A357-9FCFC218BE1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7179B-5C07-4EC5-BE93-0903C3E735D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3E32B-3CF8-4728-A94E-173EB8F11F8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60A90-51EE-403B-9D49-F611E6056C2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E39B0A-DEE7-4727-851B-1475017A4F28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026AB-7C72-4E9C-851A-8C3B49EFE9B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420F0-2F22-4039-8E4D-7A2CF789D23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65E63A-E0F0-498C-A1A1-C8C99003FBA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33401-0D9E-4258-9C54-8DDB0BE0A43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78200-D163-4D1C-9171-2BFF08D34B6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1D57D-8430-4F8C-AA3E-FC0F5460311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4A575-B447-4E76-81AE-5BD6CE19966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24556-A52F-45E2-8D8E-9B4ADFF7480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E4FC3-D851-4170-8A55-A22144E48F1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1776A8-78E0-4B67-92B5-CCDD0F41929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58130-A68B-45AE-B5A9-212393BFD6B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FD46DF-7011-4297-B827-C03714EB6AD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8E91E-8E17-4257-80FD-789D2AC58AE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9E656-8EDD-49B6-9F99-BD212611E50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C19F81-0B15-44B9-A506-8D32E7E6C75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C9C129-4ED1-4613-BC7C-713B26351757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0F937-8373-4DB5-94F5-3C3A152C38D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FC30B-B25D-4A19-90ED-0D10C7A3B6E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EDA55-7474-4004-BBA4-8FFD0F4269D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FC52A-CF84-46BB-AD10-8A8196CF48A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394E03-C8B4-45E9-965C-C9B4380C36B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76246-6882-4563-91E4-4938A3AC750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81CC91-C974-449D-ABDE-A5C7FE5B2B6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FC337-8EE4-403F-A845-77C50C02CF7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A2CCC7-D965-47B2-A234-0EEF5128000D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52DBFA-1767-4BFB-8AE6-D11ABD09941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3A7AF3-9838-420B-9C21-1CAEE49C05D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CDA05-2E23-40AC-8FFD-21D173DB7F7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38481-F72B-40C9-AE28-AA5761B8472D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11C26E-87B4-4DB3-B29C-C374A2AF6697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31E2E-BBCD-4F1E-AA34-ECDA3968C09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AA092-CEA3-44D7-98B7-02D9BB9F928D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AC622-0C3A-4E97-AE4A-FF1E3D42145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73DEF6-E825-4750-B1FD-9C6A34B5262D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F1CB4-EFF2-48CA-B086-0584D3C6222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A2A2C-CB57-4A81-B2DC-292866536CA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F9467-B235-469B-890E-B5E6688535E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11280-EE73-4916-9DFD-1F38324685B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531AE-29D9-4480-B142-39EB1D34EAD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6C378-7A96-423C-AE52-B6BB8778B07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946C50-8484-41DD-B78C-81CA778B145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72A11-4FE1-4F55-8DED-70FA942B00F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28AAC-B1F9-4109-8A08-8146115FEF3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EA485-B3D2-4C90-96DE-627244AED4F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C6EC17-DBF5-4BE8-A42D-E592DE1A3C4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3E6E36-2E97-4318-8197-C386C01AC96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24E18-EEF8-40A6-8814-29A917EB297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5593A-FD54-42AD-9AA5-C31BE6A8468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D8CA37-BB8C-447E-9AA1-8A80AC2FEA8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71B75-405F-4658-86E1-A71B66EBFDC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EC342-680D-4E8D-A751-581E9FE0A878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8B3C64-D6BE-4710-96DD-6EC6FCE65128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F364D5-3BEF-49B8-AF3D-3AED76C3611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39CBC-CD96-4688-BA2B-2E6D9E881C0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A1B59-03EF-4C44-9B72-CADD689DE6E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1487AD-2446-4CFA-94A1-0B6E7BB6E5D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86C911-7485-41FA-B4BA-9BBAFDD2A18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DE00A-E3FF-4A61-AC56-51A9D773318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3E652-C794-466F-8082-2ED4A08848D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C8B4B-21EF-4DB8-A591-3298689A7EC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9B7F1-2F5B-4DD0-B586-5C5BC7B2B8B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2BB80-4982-4362-A79B-737DC302CB3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C688D-FC19-4E35-B840-B42753A23B2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37CC59-1230-4D7A-801C-65FBEF77602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EED7F4-FC8D-48FE-88D4-6F1B5554629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3DE417-8DD4-4497-A35A-4B2CEF270FC8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30066-FEA9-4300-9537-8D6FAE7F37D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C96CD-3ED5-445A-8A0D-FFF890AE714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6585CC-7A2D-436F-8603-18D860540F4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E57C9A-5561-4B6F-937A-B5B5C9396AD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CD63B-DF71-4303-B5B4-BA13C4AF5B8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91BDA-C75D-4652-A5A3-BD6BBAC913C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8C64C-BAE7-41C6-816B-12D55AB893D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4FF05F-3318-4CC8-A922-421DE6A07AB3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6FBC9-43CC-485E-9887-C41B6C37CE9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096C6-3CCF-4748-94A4-6657330A91A3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BCAB69-05D3-4249-A32B-7259B6B8F49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1B8EE-8ABE-4B5F-9082-BCA071CC89B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03FFB0-8F2D-4B63-B906-8196EBD94E9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78D0F-E347-43E0-A7A0-51D58B2ABC1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490FF1-D88F-4D95-96D2-40CE1D674607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9C65E-6ACA-4C1F-AFC4-7D2F9D954A4D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FAB590-7DE7-4814-BB01-B7300C3924D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7397A-0652-4778-9794-C693718B21D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8489E-CD7E-48FC-A4B9-CDC1EFF490A8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93D52-25EF-4DAE-B96C-8C50B726602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8D7157-40A5-4A22-BAB9-1845E3F32F0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D7C55-2189-4990-AEAA-0230BB9810C7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E89BD9-1053-404D-A632-70C087D57A0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341EF-2C9D-4DCE-B0A6-B874A96EBC9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F5B8C-800C-4C4D-BC10-3E72BA7996D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0E316-9793-4689-849F-D040D4CA85F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CD527E-5463-4F5A-BF70-E1C1F59DF69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93D3B-7FB1-4CC6-9984-B8E50062F78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963E3B-75C6-4EA5-9815-F769E399D75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81990-015D-42B2-A693-82ED17774B2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79D08-6064-4CD8-B173-C458AD9D740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51386-145A-4274-962A-8DB878F9F64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8DDDD-7952-4DED-8294-5935DB94297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6ABF59-2873-450A-B234-96617D312D8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D516F-E3EA-42DD-9309-165271226552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BAF16-60A0-4C55-8FB1-7D413807BE62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3DD79-AF00-4CE2-839D-BBFC04388C1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A0767-C51C-4A4A-8019-51CF338879D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3D1443-6298-43A5-B108-045886DC66B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08669E-980F-400A-B0B3-2760E17A0C2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88DD7-6652-4D56-A2FA-52D2ED6118E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8B5C6-CA25-4D53-98BD-73FC41071A3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153A9-7FEE-4278-9FB7-C08F62D0A5E8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E9B9E-42E5-473D-99B8-335DB866BA0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517CB-D77B-4602-863E-BFAEC045815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572B2-C65B-49FB-AAE5-5BBC399940A8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9410C-EB30-40E0-89B0-41D2B6667AC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81A106-89F7-47A9-8945-4764A5A1253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180A3-7E59-437A-B71B-537F729C40B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AA30D-DECD-4B95-993F-FCA50DCFD94D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F8135C-F7DE-40B6-B04B-0B177F914827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529AC9-7B90-44F1-A911-7F2663C3863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6F6082-64B8-4A40-8273-677108CD434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77D3C-316C-4EB2-9304-EF3571C3F86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3452D-97E7-4920-BCBC-D4830CCB339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20BD6C-E998-469C-8F11-FAF6C70269B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669AC7-AB11-489D-A764-4BB401D447A7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B6F24-F03B-421E-9D94-31F2BB7E08E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3C2B7F-23D4-4482-BC7A-202850D443D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63B0B-D8E8-4507-A615-F1B03261E26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8F4CDF-621B-4B0F-BA42-A7B747A84BB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162A6-0BF4-44B9-B397-B39808DBE96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10306-D813-477D-A958-7EFFF75E4F3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D3830-8ABF-4AFD-8CFB-7100FA619E6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BD456-FF41-4889-BBFC-E0E61C6D5D7C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43DA8E-2DE5-45F9-A1FB-1F47E2477BF4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80C68-F304-490A-8965-C9596D5D81A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F40A58-2B26-431F-AC60-34BD69C84232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BCDE2-4E74-47B4-9878-294C987884A0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86F4F-4EA4-4498-97B1-43F362BF7C31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58AC5-AF8D-4170-9365-703F94774B7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CB105-1819-4D7B-92CD-C131648D90B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57917-7692-48C7-BDF2-AC7E2CAF3415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094BD6-81C3-448B-AE37-0E18D141CA0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28C6D-0BA9-4F99-BFB9-0B3EEA9576AA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6FEDC-5213-4D26-BDF2-B2B254680AB3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18189-3B31-400F-9ADC-640AC4084D0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94A65-9D87-4402-A93C-652A68D4C032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CD1221-42BD-4C4A-B19C-A7BBD72503D2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98D7B-0F03-4118-882A-81417685058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6EB2E5-F792-4EDF-B02A-42B82DFC389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64A8A-579F-4AA2-95E4-F1CB1B38A39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18223-9185-452C-AA1D-BF8E93AC0F1F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30857C-68D7-49BB-B252-738FD2073143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39B96-5CAD-445B-9836-8C178229826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5C539E-4E6B-4D24-91A4-124AC5EBB2E7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1EBCC3-BB7B-4AA8-AAF0-1F4BBFD6A1E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5C45C-0C82-4B27-85EA-A22935C99F73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B488C5-CA76-4169-8FF5-A954B71F427D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F9D96-1292-42B9-B53F-440FD4E13FE6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4B5805-D33B-4944-ADD4-4E97859B52F9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5CCC9F-A7C7-4B59-A752-05CD81BD0B8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378CA-0A1D-47BA-B282-409CFF012EDD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F35665-CEDC-4A59-9A56-A34847CC7EC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B864A-2824-47A7-9F82-4F1BD3079FD2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2F328-235A-4643-A2CF-148F73AD958E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F9DC8C-6A84-4E9F-AB2A-5D23C92C09FB}"/>
            </a:ext>
          </a:extLst>
        </xdr:cNvPr>
        <xdr:cNvSpPr>
          <a:spLocks noChangeAspect="1" noChangeArrowheads="1"/>
        </xdr:cNvSpPr>
      </xdr:nvSpPr>
      <xdr:spPr bwMode="auto">
        <a:xfrm>
          <a:off x="112763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375864-29C1-4C1C-A244-852D9764D7B5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C03C1-5665-4B9C-898F-E28ABCEF471F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D5307A-C0DF-4400-A57A-8CFA68AD02DF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3741A-276B-470F-AC13-B987D9529481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EE3F6-DC20-4E47-B7B6-572EF84D289A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19BB9-E552-4B82-954A-3C630DF7888A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AF06A9-70F0-4F9B-9851-2BA540743D6B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46159D-AF69-49F5-AA48-8017D7C996CA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AFEEBE-F3F5-4378-8DFA-50853702ECD6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7638D4-C6F1-4B37-82D7-062CAF4BA623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C30DF-5CEE-4CA3-81CF-D30F2F031E29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71DBA-A1EF-4A7F-AD9A-AE764B8B4AB5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A9F4C4-1230-42B6-BC9C-13140D9EDF8E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B1E62-2DC5-46E7-92DF-5217FB2523B8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3FBC3-C806-415B-9890-01E93347CD62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746E27-740A-44B8-A898-C90DF353012F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4A06C-FF80-4249-B2AA-DE712A9ED3B2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9F7386-F1BB-4EC1-8A97-679E9FE1A0B2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1BD2B-4699-4906-AFF2-7AB1859E5B29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A6A81-7814-44A7-A42A-E9D5C1B54808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92470-9272-4F41-BBE5-C1D0D7F11584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D94D9-5EF4-4B70-A828-188BF36EEC32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AA814-E967-42EE-ABBD-30722A3B610A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2F52D-8183-4B2F-8BD8-BD130E1A7FF9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DA387-8B92-4ADF-A80B-8C9CE4B9B5A9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39391-ABE4-4853-A43D-873E16AB696D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997E5-F640-4678-9B5C-14C64768DACB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AE835B-1A9C-4985-B9AB-B5E748EBDEFD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C5C028-2833-4956-807B-C656E47D934E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39BAD-90B0-42DD-841A-A90664BE84A1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70252-0AD1-4944-872E-4059173BFE2E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1FB49-4E2B-47A0-AE48-5BEDD304E0ED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7BD02-7869-47BC-BCF6-FAE40CF99C2C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D8843-8F06-4D69-A7E1-3AEE6226027C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5F208-019F-42AB-8ADB-55F2B9B9AAB6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A69F35-C7B0-4F69-A0BB-C9B40DE2BE25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5682A-5A10-4CB3-8F73-9D0074574F6F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CEED0D-650F-4C92-AA67-69509965A6FB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53EDC-9BF3-45B7-9EFA-6A7F7ECB75C9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18C6E-43AF-4D20-A092-4244A276BBE0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A54FA-1CC8-4D6F-A96A-86268BFD9163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82FDF-90E3-405B-A7FA-1BB48EE724C5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225CB6-9BB2-465F-9C57-A887732FEE0A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20D3D-63F8-44B3-9E90-B0041707D611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C010B9-8F51-45F3-B2CA-53EC45B95B6E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E935E-0A7F-4D09-A45F-DA1F9498126F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B73B6-9F5D-4F7E-8B1A-9F7BC0CFCD03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29F561-7CF6-4391-89FD-40F95D415926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6C78C-F527-4330-BE29-8E632F880006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7F439-04EE-41EE-8664-6803D6C11FE9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023B76-EF79-4384-8ACC-34659587F42A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3C97B-B1F1-40E7-8E96-F085AF8FA7D7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3C77F-5499-4517-84C3-60A68553EF13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20823-6795-42FD-A098-7D87C7A8233C}"/>
            </a:ext>
          </a:extLst>
        </xdr:cNvPr>
        <xdr:cNvSpPr>
          <a:spLocks noChangeAspect="1" noChangeArrowheads="1"/>
        </xdr:cNvSpPr>
      </xdr:nvSpPr>
      <xdr:spPr bwMode="auto">
        <a:xfrm>
          <a:off x="110382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8C34A-2BF9-4706-B19A-7C57B33E5BE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A6945-330F-4337-87EF-857EEC411B4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2457D-B37C-4158-999E-EFD0B2DA53A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BD95E-8C4C-4FEF-AC80-DCA4E253AC23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DC803-4B65-4660-B65C-8AA4949FC3A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5494D-AC88-468D-8BDB-B438B8876CC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2545E-8421-4080-BACC-7782AA3EB12D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583BF-16FE-4DC9-B750-FE2FF7CB090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20DDC-CF9C-4E4B-A31B-DE5D1BB3A51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1DDB7C-2807-4CD2-A7AE-4DAAB17A1D6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3E5DA-7AB4-4359-8B18-5381833AFF4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B8157-2762-43B1-8F08-4C133E3F3D4D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7C4CAE-1335-4D44-8E7B-48D6747B671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23720-804E-46E0-B330-B85B215013B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93691-EC83-4302-9B71-CE727047A67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742FAE-866C-4293-9D6D-8FF27E68129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D4BC2-1711-4457-85E5-FC97AB6448CD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D0DFC-458A-4866-A81D-7A11E41882C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CBCBF-3685-484C-9C86-F298CE61DC5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EA969-EEC5-4696-A9B0-42CE7C91610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B0D518-3996-41EA-930C-99456977A0D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A37F5-3F10-4D4D-BF3A-4FCBDC3DB0F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9C16D-CECD-48EB-9FB0-C51F5B24F61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A3699-C7F6-48C3-9B90-71A316A23C8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E9FFB-D5FA-4C98-ABC0-B663104E506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5AB0B-8E92-4C9F-9176-14E9C48354D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732807-0565-45AE-B44E-C0BC8A49B33C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69DE06-9D51-4202-A2E6-9F18CE64F49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0AEA0-B9D7-4B4C-92EB-B540028A11B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CFB25-76A2-4F26-B9A1-E809091BE87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F1B51-E06D-486C-B0F8-1571F57F00B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5AB68-3AFD-4D48-A3B3-2B60DE0CD493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A482EF-F88F-4337-9DCA-03449117417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AADC6-DAB0-4787-8D9F-3DAE3370F51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F6723-D905-4900-B9C3-A45FE14CD5E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5F9C3-C66C-49C9-915E-5074B84BB253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AE59BD-3BDE-4A7D-A1B9-9E689E63D7D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7535A2-4F1E-4175-93BD-4FED5E08CC7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3DFAB-5116-452F-9E31-255852E884E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C0721F-7D5D-42F1-8E12-23B2B7BC71A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E6F0A8-3B9F-41CC-891D-9F64FC2B374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13C08F-B941-4544-A29D-266BE5269FF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C81D0A-70C8-4B80-A6B3-92A5503ADD4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5B008-5995-467D-9C5E-94C1FD6CD00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8CEE0-546A-413B-ADAB-7E17395010E1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25915-932E-4976-AC5B-C4C01030F59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84AF40-C58C-4DAB-ADAF-FA696CD0D37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79E64-FA66-4DFD-89E7-16C9EC2B4C9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9FB01-8014-43FC-9E14-039FD64A8BF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C7A5BB-5235-48D5-BC84-48D40233F567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E3E812-1F26-45A8-A0C7-757FD1A0CA0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EEC1D-B0A4-4662-940E-A5FF133851C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AEB955-BAA2-4A74-B028-07D234EDA4B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DC5EC1-20B8-42EB-B493-302F75F32A7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9D7CC-F048-473E-93E2-BFD0B7A4612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824F1-437B-4B5D-8EBE-D6BF9C7D613C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21F9BD-87B0-4626-8CF9-D20A920029E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CFA39-00AA-44BB-8905-F7CA9552148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6EF2BF-3B65-4CC1-9A8B-685B67E8351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C932B2-DCD3-4789-9761-9721EBBF68E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469B0-7364-46BF-9B28-009650E8974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DF091-C34A-4FC6-BF08-0F8B1744EE7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84749-C2FE-46F6-98D8-23ADB5693DE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A3634-52BC-4C31-93B5-D89EC5A62B0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07AAB-8781-4272-86D3-21BD5AC6901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69258E-7340-4FF2-9DCB-7052015E185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022C8A-E072-4161-96FB-29B6A46E9E01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D91E5-D231-4DE7-B1EC-5B14C80F6DD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A60A0-21F0-4119-8430-A86B4F7D2F7C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21F28-2F31-406D-8626-E54ED4E03BA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5BBBC-AD56-44FD-9C9B-ACBE3CB73CC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AD238-77D5-4B6E-9E55-E245D0AD231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E1405-C163-4528-BE44-E1F0BA939673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C7411-A39E-4B63-A7FC-1DE1DEEF21B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B88D4-59FA-4DD7-9A96-7D47960FF72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22028-214A-4935-BDCA-D83EB8ECC0E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C155D-C789-40B6-80EF-B2A7170BB08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BD9658-9E20-4C32-811E-7FB575523B13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D15FB-55FA-4577-8D35-25DDE2420CE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16CD8-F4A4-4F2F-877C-B21D219A81F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2893C-6E5A-4711-BF2A-605890E4543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B3BD9-9E4D-4B17-93B9-C20B2B5D036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163E6-5DEA-4558-B12E-5FEAE45E59B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23C66-6C8E-4730-B1D7-73DD3538C0E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2273E-C02F-46F4-A9D1-7586945F9B1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763C0-DF1E-4745-988A-E7AE6C2FD90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1981B-D337-4546-9F16-6A8664A2FF1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13F7B-E984-4C03-903E-B7B0B8DA1AB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9E7E7-662B-4EBF-996E-E08588FBBBF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9E537-552A-4B38-A338-7EC702D9357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3C318-A17C-414E-8AB2-1812A166CDE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26C3DB-57DB-4817-B9DD-4F0DFEE3113D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74A3B1-6352-4F09-AC5C-273C3443935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717A1-833C-438F-81EF-6969EC970A07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44138F-E626-4FAF-939D-FD0C37CE869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3B01CF-32A7-4FE8-B807-F77572C53D6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39027-3B64-48A2-BB18-D2A5C944334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69EC87-2AE1-485D-8321-2478F089247C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4F91A7-4282-4A30-B6D2-730AA64C2FB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76419D-4BEA-4318-9AE0-011D1C9600C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0F803-6E17-4378-84B2-707C127B969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ED952A-E583-4E86-B57E-3954C578515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3A0CCE-8F0C-49D4-AAD7-A4B0A33CD6A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199E4-5B68-422F-B073-A0BD412972CC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2FC2B-D7FA-41F1-A9D2-657898FE349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8077F-E1A5-481A-9CA8-FDBAC41BA6AD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16ABE-2561-47CA-9A8F-1DD18A7B8F7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6B4EC5-5387-4F7C-949A-5278C909D1D7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7EE487-3A89-402C-AC00-B3776E4D790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CB40D8-3F6A-485E-8A48-52EF10E5D951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CB74E-15A8-4E5E-95ED-C25756BF2D7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7D0F9-CCC8-44BE-B333-935B2A4901CC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06FE4-2701-45CB-B568-3FB4CE1692B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8AC31C-44C5-495F-B368-2C6784463EC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ED4BF-696A-4A31-B271-8DE326B50C6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BBDC3D-5BB3-44FD-85ED-2477FFE2A5C7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28FC0-B9D7-46F1-9A62-A70A0F72F1A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E09AB-6AF8-4B1E-9270-61CA251ED181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63B87-2DCF-4DE1-8B3D-E17F4402E90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89C35-2233-474D-8FE3-C7847852E5A3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A235B-3179-4A28-A341-884B522CF13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13AAF-6D5B-4B7B-9DB4-15E6530F551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F64F8-F34B-49F1-AB5C-1A1ACA79765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99E102-9985-4DE4-A8C8-8CE098A724F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43593C-67F7-4373-BA0D-631B630C084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52398A-60E7-486E-ADDA-EE646D53EAF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C5F1F-3619-4381-9FCE-4396E698D7E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9744F-7DE4-4B59-926C-7DC163DFF77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00810-A785-4F17-8EBF-3686AF815553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B468E-6647-4CF3-A0CE-CD7474A12E6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4F4920-C732-4D54-89FE-C5735C18978D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98814-685A-4E17-8DE6-86E7E3A58ED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5126B3-F8BA-41D7-A3C0-A65876A72B0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BEC73-E91D-4A43-B87D-151B4DEF5DE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30EF7-CE47-4392-95BA-B810FCC3069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594ED-F78D-45AE-87E2-37AE12C6AE67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C823D9-6AC4-497F-9DA9-8B45BDB4544D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35627-5691-4B34-B510-2129519A49E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35E99-D1DD-4F1D-AA14-4457DA15F60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78ED2-1A44-4081-B796-8E760AFA468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EC8F6A-9084-4812-B600-8E715C010FE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A4318-586C-4731-B9E0-6A4FE4B91AD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264192-750E-4EB5-A447-643F1DDC425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56D68-91D9-4BF9-AFAB-016F5875BBE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2A9BC-BC15-41A0-9706-67B8A29E468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91AEB-581A-4D86-A03A-0F24104FFD9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F3946-4D8E-47BD-8902-32D94C795C0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B069C-3E36-4704-BCBB-9AEE63F56B6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56413-9F9B-45C0-B90F-8DBD10086F3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0DA83-DDF0-45F7-A516-C909A07767A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AFEE9-BC30-4DD8-8C2C-6318E450DC83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8CEA0-A5F4-4A12-9EBD-3D429AAB03E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6764A-A9F9-4086-9B50-C62CD4728A9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6B6B5-62E9-4522-81C1-C2F17CD9D5F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95503-BE29-443C-B2AE-50717B1748E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5061A-DC05-40BC-9404-49767562476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47359-481D-442C-BD47-3AA8DF2161E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A2BD0-A08F-4CC3-9319-32F0DA38356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CC5F3-B195-4FE9-9532-DD8CDCD20B7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FA126-2AEA-40AB-B5ED-F291DCF9754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DA3EC-86B0-4835-994B-D5F0FFB8A1B7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74D41-EB69-4CF4-B37E-5E1667F8B54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289D4-4F6E-44FB-A576-574CED894F3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5103B9-E90F-46FC-9E17-705DFB0277D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C88A3-3156-42BD-9C39-A89EEB04635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B3353-88D3-49EA-BC26-3E6955D6F51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5694C5-E08A-4A84-B7BD-AED0E2D6D21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6ECA7-6EE4-4C12-B715-FDFAACD9CDC8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6CD73-4E7A-4CDE-AFA8-3E968714D12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80B30-FD31-41A5-8A1B-EB07B0B8B23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6C9D4D-184E-4692-9F70-58BB9AA58F1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43079C-DFE6-4C3C-95A6-11BA49D0E39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F150EB-429D-4275-BED2-0911688B3A8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66CE8-15D9-49FE-91C8-ECDC1E4C896D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D32BD-2436-43B7-9CE1-35846F8E43DC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86047-CC3D-4578-AFD8-0B7392461AE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1D587B-0329-4DB2-8F85-561C744BC83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438088-ECC3-4303-8E8C-2D8CAAC9403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09C085-4FF9-464F-B3E7-B727C9B5AE7A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209607-AE0F-485C-8ABB-5DB9EEE7D84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BAFCEB-E2DC-42A3-B70C-7CC7451D683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D08C12-2983-4F8A-859D-9ECD4295DA9B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D6E0B-3EC7-4FCC-A598-AABD30C68F1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B9C16C-7B60-4D64-BB5F-862B822200B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7472EE-7F7B-4954-BADD-3D4C5304F68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29B23-8A80-471E-8DE4-28049656D68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BBD50-9863-4974-9F26-340FAE51B019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C4EC6-79E0-4663-85E6-04841725AFB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EC615-94C0-4888-B46F-4FA5F717C01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0832C-2AD3-42AC-BAD1-BDE543B8DD3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ADFDF-1B90-4BAE-AF94-511898FFC064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578E0A-7599-4BA7-AA90-A21D2441E68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C9791F-02E5-4816-A95E-C9643A467A0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6992F-2B72-4352-824D-AF3243783360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58D09-B625-49EA-9B04-FEB2DB120571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3B8EC8-3454-4BEC-A0C2-3AEA4AE83483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1BE5E-6DB0-4AD0-91CB-DD1A1E61007C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5C0C1-133C-4ADE-9B82-0EE1F7EBC9E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F67EF-50BF-43A0-BE1E-5B19567C7A7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2A1A5-2241-4CD8-8785-26918C700D6F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43444-7AB1-4A10-8CE4-D3886402A58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11B952-A57D-4AA9-9D7E-3537075ACEEE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656741-E58B-4BD5-9817-5E1A47264E62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49CCA-9F02-482F-87B1-AEAE51049BF6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96FE1E-01B3-4186-8A5A-385DABF4C4E5}"/>
            </a:ext>
          </a:extLst>
        </xdr:cNvPr>
        <xdr:cNvSpPr>
          <a:spLocks noChangeAspect="1" noChangeArrowheads="1"/>
        </xdr:cNvSpPr>
      </xdr:nvSpPr>
      <xdr:spPr bwMode="auto">
        <a:xfrm>
          <a:off x="1080012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7DD73-88F7-43D3-8413-23D00E7CDD8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0FFAF-B66C-402C-AABE-4DD45A594E3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45DFA-E53F-4D0E-81C1-D5C26B848FF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3616A3-26E0-477F-AC63-22B81FB6513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04A4C6-43EB-4481-B0D7-710B16C3B1E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337B5-7430-44E6-A5DA-688FBA00B43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578E3-387D-4E64-BE0C-97710C4F859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178A52-9E35-42B7-BCA3-4D97CF76E88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FA849-FAA0-48BF-A77E-F13EEF80580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9A337B-C1EB-4F06-8FD9-9A7996E0A1A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605FD-EACA-4880-AD00-E007B8B3E97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CB789-774B-472F-BA90-D35671E0E7E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9BF97-AEA1-4214-840F-F5344C4C85E6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8E156-78EB-4C5F-9C6C-9F107271318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437B07-3858-465B-8E09-5CDFBAB0897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63577F-2B04-4F36-AD86-16CFEAA4ACE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B92675-EE6F-40B2-A48D-9B0B0B91E7A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CA81D5-8075-449E-B864-8C006ABCBB56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93C74-2304-4E23-A1CD-AE3E6ADBD50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1B89F-29CA-44E1-A71F-884E288F683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37B7B-C413-493C-81BD-308CECCB7CC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FCA6F2-A208-4D80-8967-DA3D875B86C2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EE28A-3013-4067-AE2D-2636CED33E7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00D27-8F7A-4FE8-A453-9EFC0D3FA71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4159E-DB8E-44E0-9908-EBA0C1B09A3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D86EB-B5AF-42F2-85F7-BC90AE145F6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2C4DD0-09CA-4FC5-B8F3-9AD0BB4742C2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D8C2C1-3D46-411B-A6A8-53AB9C46F98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F9B652-50CC-4BC6-B82E-E97D8780AE7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275F94-DEE4-4C8C-A148-FF430EDB6B0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2CD305-6BA2-41FE-9948-A439775B789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4268A7-0FAE-43BA-B8A8-CDD1A4C0C28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416F1-B57D-47F0-81AE-4194CC532046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87A3E-BBF7-49EA-9E18-B43BE160B5E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9A170-204B-40EE-A683-2C4B5A1378F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1CCA3-4157-4E4C-A8D8-7C7CA240368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ABF0B3-1471-40F7-918C-3082D0D4508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B781A-45A2-459B-8930-9C076C55B5B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75B66-300E-461D-8299-87CB5D7BC55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4406C-5D77-48C9-9EB2-43337C74CE1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F1785-C1D7-437F-BC3E-FBA4D60AAA0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C72A2-0184-4452-A1E0-F4FF582D1AE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A434F3-593F-4397-AE3A-23CFC4C0CCB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BED01-1D63-4ADE-B31F-1EB3BBD863D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6F9BD-8BDD-4968-BED8-9DF21024BA8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AF37D-AA89-41B4-A574-5E13B35D263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F7E79-EFDE-4BCF-A478-DBE11C84096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377AA9-4162-4D88-B59A-E26E2E61B87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EDE6C-F6FF-40C4-9517-B86F7E358FE2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68619-ADB4-4586-B0DC-8569A8A1951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B68FC-55F8-4A16-833E-A68F9844544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75B53-7835-41DB-B209-62FCCDB669A0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32A93F-86F9-49AE-ADCB-3B9F8E4F5B2C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5127E4-49CF-4C0D-9FA5-7FD257F1D46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FE1BC7-71BA-44D1-9FA7-87DF94F86B6C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E34A5-C52C-4C05-9783-40B3D2E87B1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A793A-EC10-4FBE-B691-D9855308CCC2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3DB14D-425A-41CE-9B44-E92A07CDEE0C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53F08-3623-44A3-B7E5-9A12D3A8390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85A83-BF38-45DF-AABB-9E344ED41622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B7A53-E813-472A-82D8-B03EB7A4905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E7EA02-6A83-4323-8A7F-C5B0EBC83E5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DCE56-AE99-4228-9BDF-BACD9D8E08BC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3BA23-203A-41BE-AA0A-4161844A202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023D1E-0D85-457E-8F09-8EDF96C1CE3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AE218C-1709-450E-980F-A0248D3C684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1F5EF-089B-425B-9516-9D12FD5419D0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BB63E-C092-4111-A53E-5D4C4BF30C5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CC9B29-2BA7-4DB4-B0A5-3EBF01810DF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BAB47-D40C-4188-90CD-39643940572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819DB-562F-49E8-BE7E-E80CF74E4AA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034738-8B74-4FB6-9A9F-834E90357D0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FA251-8B30-47CE-8482-68AD939D44D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6B79A0-EE61-4B29-AB62-9135BA803BE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A5FAC0-97F7-49E6-AE2A-23BFFA38E852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C63397-FE25-4CC0-AFF0-64E9721554B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BCBCBF-CDDA-4F70-9622-C1D8D259355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C11E6-840F-4F2F-951A-D8B873116A2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543F5-6776-45C0-9E87-1EC83D8E22E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B7341E-504B-4C51-ABBD-3F56F97C3AB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AE00B-7988-44B0-8ACB-91B92BAA1D1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25C4B-788E-421D-B8E3-DD9B27008B66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472B4-00ED-4D27-A7A9-C113E772237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245F5D-9B40-4D98-ACF9-666C9C1B1CA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F49DE-AB13-4233-9579-2E754C680D7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E5874-9075-423D-BBF6-0248B3C7FD7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DE99A-E37F-43D3-BCCB-DB85DD45BC2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1AF78-49D8-4770-B03D-E7DF0EB59B7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C0231-9EB5-425C-BC51-39BE49F3DD3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D5491-0FEE-41D8-824C-AAEBED82562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C76A4-E36C-457D-BD1D-C8936FE100B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DDB3C-32D5-497F-A167-1ED58469ED2C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55500-4223-4248-8A99-765CEAE577D6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2ECB3D-DA4B-4481-AF7D-090BE1AF300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D3BAD1-1873-43AC-A7ED-095DB9F24F5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FC29D0-0A82-4D27-B110-E34F75F8E68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9E9500-6CFD-4C97-AB69-B870B96A3BD0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59FC6-5650-42A9-9704-FB865F4EE1C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406256-B571-4ADD-ACAE-180D8BBE7A6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EB8A1-67B3-4C59-89DF-B4B2DDEFEA22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6733E-03F4-4F96-8FB6-97532EFA6D6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D436D9-7FEB-4B25-AD1B-EE82B8755DC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59BE6-B586-4BA9-945A-CD51DFBC510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BFBC7-E1D8-4DB2-AC99-98704CBDB456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46DE5-E28D-45F7-AF39-917CD66846A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BAACE-14A7-4057-A033-43B05D61568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63627-C3A4-49A4-8338-ED94120ADC00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81D87A-141D-48FA-B5D6-6B053823940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6DA90-22BF-4C36-AA12-0CE7C6B6B3B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6C9DD0-F6CE-4BCF-AF67-609022B5B3F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9FE37B-E92C-4171-9255-0D1E5A66818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E9A5E7-BF24-4D2A-9BE8-8DFDECE22C8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DCDB6-451F-4A9E-8AF7-91A0024B7D0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213B7-6C94-4EF0-89FD-9DD9BD54863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04DF7-A037-4EF8-9665-4405B2F0894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13F08E-EE96-41F9-BE5E-0EA090C0F7C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5F4B9-DB12-4531-BD99-FC0561031EE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AC1C5-57F7-4E32-9281-1122DCF88F7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137F5D-1802-46ED-9AC9-D0E0591F737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09273-D573-4388-ADF2-5A02F9B6DAC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1EFDF-C0FE-498A-82E0-DF196A456E9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CF3128-7058-48AD-9937-1038071D04F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28A82-1F8B-4779-A2D0-EF7EA8062FB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ABAF2E-7E79-4C0B-BD4C-60665FBDBF10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0901D-EF0C-48FB-AF2B-00AD4037A2E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3FBD32-2E7B-4108-9299-5F0240FDBFF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40D47-E78A-4222-BC7D-3F1156841DE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093ED-DAED-4042-A10E-F77186B751E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ED2AF-3691-45F4-843D-1BE2ABD5338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F5E30B-D7B7-4E01-9999-7335F8E4338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BFB24-AF7E-4DBE-AA54-8421AD5B0A4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C62A7D-920B-4179-AEDF-C8AB233DA9F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E0DF7-D97A-4A8B-AB1C-4DBF9D15CBC0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E7CC7-4F14-43CD-85DA-5A87F952A6E6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4FF5CA-5034-4613-ADFC-D53BBE9105B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0FEE55-8B60-4639-AEDE-5489AADDAC6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9D4AA0-641B-4FD2-B351-EDDE5A16EF0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A64BF3-DBCB-4A8B-952B-7F280CDCA50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6B4C9-1685-42DE-9372-A87A6C434CC2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47E91-129F-49AA-A155-49FA97A07240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0D635F-50BF-4C60-A2EA-A5649BA38B2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5A75B-93E0-46F6-983A-EEA35B02161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8E00D-16DA-48F6-8A6C-BB609A642A40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ABD65-DD8E-454F-A204-B3028FD44EE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FDC783-FDFC-4DC0-8E3A-F034705FBE7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FCDEE-462D-4DF7-B608-F96D3C8D270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BE033-6CCE-42A8-8A34-2DBD36204FF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A8746-2A72-43ED-B448-A0EC55A36BC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45EF8-3298-47C4-B404-55B8C6B24D7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26019D-1490-4964-8996-3C42C830C5E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97557-217F-4240-ABB2-1AAC20982EE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0FB6F-522E-4089-A622-AC2C60FC78C6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5540E-FF9F-4FE8-A324-33396F986D4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178E5-497E-4DDB-A2D0-C34556BB8C5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4060F1-4ADE-49AD-899A-8D726D94CD9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AFB32-9AA8-4FDE-B220-8969E479D27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56F77-73C6-45E7-B85E-7E83F3E2195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2AA1BE-BB44-4085-A0AD-78C46EED2D95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7050AF-6635-4A1D-A787-8EEA61DE424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15F81-FCBE-4A1B-9F92-08719FAEB55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ED8317-DDC7-42FC-86B7-3A32FD8B279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42CB0-0E9D-429C-9325-4E4CFE10FEE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C624CD-B905-414F-8E54-F055ACBA621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51474-3F5F-48AD-80A3-E6BE6BAA0BE1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B91B55-E071-4BD8-9857-60ED01836EB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A449F7-D316-42BA-9CB1-688E98E8C2B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9D24D-173C-4BA4-99C9-7F8D32C3BEF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8050DB-94C5-428B-8D86-D800A651ABD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A2DF72-8E73-4425-A210-8DE179D4D170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34EB9-D658-419D-BA3A-819ED052733C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D9840A-AE85-4C4B-85DB-6E976AE9475C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C3FB89-45B8-45D9-9E26-56246283390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049DE4-8DB9-4242-8205-302B00782FD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22CEA8-1AEA-4AF2-9123-5F55682F5E22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F4F654-991A-4FAC-A416-C8941437F7C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B77BCB-3AC7-4984-B311-56B568101B3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9B101-764B-4DB3-B97C-C3783EFE711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53DD1-4243-4F4A-AFC8-CA68AE084E6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FB4E17-31BF-4924-9680-9C2D545AF29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10C005-6197-4C53-8954-82509D97A47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F5CB48-9D8A-4F89-B00E-403645181E76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276CC8-C574-4424-9930-BF6E9C9EDA0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26517D-A248-47C3-8BAF-1DB5F7CDC2F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CB651-F813-41CB-89E6-60899E9D4FC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9139F-D4A7-4B4E-84BE-F9DFB91B366B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E0C981-6755-4D3B-86BA-5FBAD45D92E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82E40-0425-4EE6-AC5E-3DA78DB7AE3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1A40E-7D93-4304-8171-D7A43D5AD02D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E9F3C-E8D8-498A-8BC3-20A6DA402A8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12BDE-79AE-4DEC-AA94-B988F1A2A50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D83554-85F2-4F87-BFFD-F053B02A54A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0D35B1-B2E5-4BFD-8D88-D08C326D1037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AED4D-CF4C-45B0-9A22-7DDF79E94F0E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56B6C-ACDB-495D-96BD-ACE70C62C218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399BC6-3EA0-4B28-8466-53538468E444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06526-5F4C-47F2-AB40-B842C7F6516A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ED5230-9DE6-4EBE-9725-CE7D3BD1D993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13687D-F30A-4342-922C-A28AB07036FF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BBC9C2-5F75-45EF-A5E5-F0DD17145D09}"/>
            </a:ext>
          </a:extLst>
        </xdr:cNvPr>
        <xdr:cNvSpPr>
          <a:spLocks noChangeAspect="1" noChangeArrowheads="1"/>
        </xdr:cNvSpPr>
      </xdr:nvSpPr>
      <xdr:spPr bwMode="auto">
        <a:xfrm>
          <a:off x="1246699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D3997-3595-4A8D-BDD3-A75997D78FA3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1EE97-3E8D-4FBD-9F5D-46B72DB139C1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238E1-913D-49E2-A903-4A8BE962E156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547519-5BD0-4148-AA90-9241E61316FF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3CC04-DEE9-417F-A098-A34AC4F73F38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613BE-F71D-48A0-A3D3-493BDE7CE353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87BA23-3F08-402D-BDEE-66CEF3B8F618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F5AE9-C71E-49EC-B050-6744EF1FFFD4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582058-2018-47D8-909D-91E5364DCEE9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4E42D-20D4-4AFD-AF95-033BA4F33342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A4F14-36AE-4B63-9CD5-213E8162318E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43DA6-A986-43E3-8928-BB8801625886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BEF08F-78FF-456A-8ED2-DF7EEAE37476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B7E16-27DE-4B61-8732-D4BEB3FFB573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FEF4B0-70FD-4E5F-955B-D7BD9C746427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84091-CC01-4249-A9FB-22809BB5004F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4390A7-3BC9-4D61-AFE1-915DCD207618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05BC2-0E43-4948-97D0-7B9F967FFDE5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9CF57-ED94-4C16-961B-03FDC9A57B37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5B4A0-0F15-40AD-A270-98E286F4CF44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6AEEB-4801-4E03-B354-0808933A005B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A7ACE-366A-4754-8460-35F7ED142500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20163-0D41-42B2-8085-5C3023D7C06F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D2DBD2-8A2D-42B5-BCD8-838F2425FF06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C9492D-6F44-4936-AC19-AF7D790AC803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ED3F1-D890-4917-8A13-0FF0DC595CE4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3B7AB-7A50-4AE8-8E29-C024CA155808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5F069-FD9E-4323-9EF0-9945EF224AE9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20669-005B-4C04-A3B9-1E395B613D16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EDFCE-1108-4F8B-AB8F-7DDF48CDD674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12B68-C005-486C-B8C6-05074411405B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2FEA12-9610-4C06-B902-8584C4E531C9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8717BF-9855-487D-9BE8-5C61647FF6BC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D6D96-FC38-4A91-AA61-D07ED4CE7F05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C6683-307D-4D26-9D23-5C2C18E1D9F7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1F7F79-53DD-4D2A-A35C-4F2EBA686E4C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6AB6A-1F56-4271-849D-6A778F516BDD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30062-69AA-4A24-872F-5B37976FB32E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862EA-F9CE-4B77-8FFF-E3BEB1268A0E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0CDA7A-6D37-4A76-9811-E35B17FFAA9B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C62158-F07C-4F24-A0D8-285ABF25C966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AEB3E3-56A1-478F-8B71-021A7FF267E1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BF932-9318-49C0-AEC1-21B734A6E5E8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3E365-A81B-4A82-8A22-F191A649F6E0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D76C2-ED61-461E-9A8D-9DE297F76874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45BC4-37A0-49C0-9F03-5002FC5C3EF7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B6F25-8DD7-4575-B0C3-8394A780ACC0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3A58F-CF67-4780-99F8-19DBADCB07B7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A6A4E-832B-4C68-9554-95DCB93BD0C9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28D4B-CF1E-47CB-A76B-7309024D5D87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FCDC8-DE33-4B7D-B6BF-4D753281F0B6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48813-F341-4D41-B3B2-3A55CF3C6FC6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683E03-BC8F-443D-B0AA-F59795D5FB0F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3F192-442B-4672-B0D8-7A4FE163308D}"/>
            </a:ext>
          </a:extLst>
        </xdr:cNvPr>
        <xdr:cNvSpPr>
          <a:spLocks noChangeAspect="1" noChangeArrowheads="1"/>
        </xdr:cNvSpPr>
      </xdr:nvSpPr>
      <xdr:spPr bwMode="auto">
        <a:xfrm>
          <a:off x="12228871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E3F71-7E8B-4FBE-8C3F-4C5E75DEA538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3D4CE-1783-4F32-BAA0-E3CB63CCDFD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16238F-17E5-4E63-91D0-4C0ADDC0F03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8FE708-82F0-4BED-A735-D52D1E141C6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F656D8-6DB7-4A55-BDBA-3527437AC5C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BBB6D4-2CCC-45A6-AF55-7698E45BF9A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DE5DF-3487-4A6C-A7FA-DD16E6F2A432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5DC5D-8D4E-4BCF-B5CA-BD59C1DD272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2D52D-147C-4C9B-B1EA-74D337E6BAB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17E995-3B33-4035-8804-AB276EB0762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1D111-38C8-4187-8A60-29836E19527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D6FC5-9D68-4F28-848D-CFEE16A825B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115A3-7A02-4504-9822-39267039242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FE73B-C08E-4CD7-8859-0558C4CFD4A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0EE53F-4635-4EF7-BB17-FFC0F1E10E9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83624C-8393-4FE2-8F5A-B0F885FB05D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55F12-8BE4-4F42-AC04-CE880F8ADC8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5DFC6-87E1-432F-84E1-1A86BDAE1CF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452AE-0CFB-4669-859C-E7BE566F864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190BF0-6C33-45E5-9C8B-D1E6B7E3AC9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EC0DB-A7E0-4F4C-BA64-C20337955EA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289564-5AFE-4334-8A4F-14F83AD6310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E64FB-B6B7-4FC1-A482-971307E452E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F0421-5A6B-4270-A3CC-D3E8DDA2D00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2C21F0-DCFA-47C4-9FBE-2394107ECB2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AEA38-961F-4B48-A3AB-3B3AE0D9C23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5C569D-F40C-4B1E-954F-FA0EFE65AA02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986907-E9C3-48E6-BB5A-08AFED51129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44E43A-C87E-4D0D-9A61-DD47A611C07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26BA7-694E-48B2-936E-A4FA318914E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4F5FE-9136-47AC-852B-DC7F21699B0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4663A-8A2F-4B2D-AE73-7E0819946B58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22864-02B9-4A1D-9BD2-D7936119468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A1A6DF-3123-463A-93E8-935974C2BB7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575EB-A7C2-4DEE-AEC4-C2909B68CC3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4141E-946F-4028-8DE5-31E6F6FB7F7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00573-6178-43C4-823D-318BCDD8E15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5D3A1-2926-437A-BEF6-83E4C5D8CBE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2F8A79-1AAE-464A-8DAE-11B30531CF78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A990A-EB05-44A8-91EA-DE77A8C5BF5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322C5-3FC4-4749-8DD1-162E3D72DBB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A27C9-0C91-44CD-8453-839349F3BEC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5BB4F0-D6A0-40C6-8999-A820F26CEEF8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F2EBD1-922A-4E4C-9946-916D527297E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D052D9-35A0-4E96-81A8-AFF3F3B0FBA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AC3A0-CC95-4D5D-859B-36C9B499C15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16FEF-DE92-439B-A4A1-C2082967C3C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1BEDC-AFA8-4A9F-B13B-43F62D23949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31727-FB12-457B-A9F8-07CBF09EAC6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AC6A2-2626-40DD-95C6-B5D9CD5CE4E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9F92A-D8CF-466D-BCA7-B16BB632584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DAD5B9-F0DE-4599-88D4-161FFBF7306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AE551-8389-4277-9E0F-82B862BDB9C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BA9598-3337-4BFB-9F5E-B5F296AFC0B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002CB-14C3-47F1-81B3-9B943CFF317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C3772-C78E-4570-99E8-EB9340693548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00218-3D14-4046-AAA9-8F289F04775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BB81D-A909-4E5B-835D-C9382D77755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03A56A-9B66-4FFD-B283-F43CABB8AF4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4D4E3-7B9C-4DE4-AD83-FB17CAE4A5F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EAF5F-B12A-4841-8CCF-28C59514769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FED4B7-3950-4148-8D57-0506C559956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1D274-64B2-4815-AE8F-6722AF13340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46AD1-FBEA-408A-BA0C-56CC3C0694E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DE941-A38A-4164-A659-44C253B3FD3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3B5951-F0DA-41F2-93E8-58BA7DFB7E5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378C88-6AF1-436A-8ABA-0990C52D0BF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59C6E1-9296-4F81-8CE8-0CDCEA13740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CBC5A-E9FF-4ABF-B055-928B12B9289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5C36C0-B0C5-44AE-91E7-05634069DDF2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55F14-B893-447A-99DB-1D3F9285820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37E77-7C9F-4D05-974C-603D43C7929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E057EF-3930-499F-89FB-5578867EC61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683A0-7998-4BC2-B738-4A288953150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4A1C2E-0C29-4A4E-84B5-E064FB033C4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1C757-30E5-4B27-853B-E9BDCFA4740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B06D3-EDEA-42E2-A662-7BD2B9459B1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3D17C-B2E5-403B-9ACE-FEEDE64A3DF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C781DB-9867-4733-95FE-999FE1E3432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09D81B-5AF9-480B-9E1F-72CA75A1F21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3823F-BA4D-4329-9908-42F05616276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8559D-05A5-48D8-9723-936A1B98D69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9245BE-1278-47BF-BA87-0EFF11C9242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D086BA-28FC-4D9C-AA86-654FCF808FE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8BE557-AE87-4CB2-A2CE-69EEB02562B8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9FD726-7A88-420E-BFB7-9D4D25BA3F6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35164-BE10-42DB-9145-52E1BFB59AD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84DB1-3066-4D0B-8867-A6E2D2D65B1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F9FC9B-4BCE-4D96-A81E-66B0BF15CA2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1DFF61-8D9D-4FC4-AF21-EC6885FDBAC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F0044-C0A3-442D-A34C-BC2EE8FCF06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10E3D-42AB-4F96-B741-C294849C2EA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8076B6-A86C-47AC-924F-77035E22F8C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5F9C1A-7CDC-4ACA-8994-71935A99586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0BB15-5617-43BE-AB80-73A26A4E532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ED94C-079B-4743-823C-288F9F01DAB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7E5BD-7EB2-4ED4-82E4-7A5E0801A41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F7E4FB-2224-4FB9-B832-B7A3E078EB8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B9AC40-FF1A-4B7C-B2CD-32D134D03D9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76DFB-FDED-4DF5-B423-F3C46CFD40C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4E5394-897D-44C1-84A0-1312097ACFC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04E43-4915-41B5-A5D1-9393E49D917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E565C-E6EF-4856-8136-15C5E076DB7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CFF34-7A54-46AC-8010-461951AA7F0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46632-5735-4C5C-9964-3A43B6289E1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CFE1E-9E3F-422D-8032-E11744CC91B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7D7AA-4F9E-47B3-90C3-446D20DE025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98B245-7AB8-4178-AED7-5EEF243D124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B9B454-FF4A-4887-AC22-8302DB03B882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5D03F-A67F-47E2-9144-193FD0DADF8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8BB21-D882-4955-9B63-462FFB9D1EE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8D196B-4761-483F-93B4-6554C68D203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DE6915-E37A-403A-9470-076F6AFEF8C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2AA9E0-656A-4C80-87CB-51FF4E8B9CC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30BD1D-F0B6-43AC-A93E-CE61632CA68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DB8F2-A626-47C7-9132-5C7F13BFD0A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0C6E25-ABF6-4765-B589-2DF91DA3721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41D846-8277-40FC-B2DD-83DAC673E90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3F554-F2AB-4C07-B4B1-B2629FD89F7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CE573-C8AF-486D-9BD6-2993C611729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63ACF-0E97-4B4A-87B2-E2287153D83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3C854-AD84-4E7B-B6B8-383F8343B2A2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CDB382-956E-4F8C-80E9-05402E5139AC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05B7B-AB3E-4A6B-8BB5-669786E6941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019492-40DD-4377-BB22-9D5D4100CEA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CFFE18-7718-4089-BE4E-CC5BE5C541C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F7C84F-6163-455D-8E9C-2E92C2ECB122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70B04E-2FF5-4EFB-A3AC-47ACC19CC42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61675-E56A-4D1A-AA50-0A791CADA3F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CF68F-105E-499C-A4F8-98583BD9CB8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38EE65-F4A1-4129-A4AB-54160EC2717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6B0CF-FF67-4E9A-9046-8709045A40A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99DA56-CD28-4332-9096-37FC9B160EE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07742-06C1-4F6C-A1DD-C3093F1FD3C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BB063-215D-4843-99E4-0B240BAB32C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11C27-B3FD-48D4-8657-7D981DBBD88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504ADC-12DB-41E0-A248-395ED143868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2A350-0C47-4BDB-A122-F28EB7A1A5C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F81171-0AE7-4EC0-A3B9-F04FF15EAE7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F71B0-C9A0-40BF-B229-580C1FC2971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BEA3B1-2199-4D84-9F6F-E2FE9998AAC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00933-D06B-45C0-8A6B-9F6139CAA9B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3C9939-62DC-41FF-A535-3F8E8A77E62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F41F0-67A2-49C7-A561-BB6596C027A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1D6C6-F77D-4EC1-9CA5-884DF91AA78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152347-BB61-4D9E-A9DB-A3DDA77533E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7A3D0A-57D4-4431-A9B7-21981D3FDA8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0E355-4726-4678-9599-1224866D8C2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5DFAE-3010-4D5C-9DDF-CA87CFC03948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32B3C1-93AF-4F48-B259-2F9DE699ECC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29BD6-75DD-4211-89F5-A13590BAA33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B30F8F-52CA-42EC-8034-1DA573FE6A1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A235D-FF07-4034-B9D0-DD52B628DB0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9986B-73C0-447A-AFE4-5E8329FE3FE2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FE9F5-01E8-470C-84E8-59FCDE91B2A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DB780D-9B12-46BD-8583-2D1AC4F2BF9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CE928-FFCF-419A-A887-F2ACB8F6F3E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D3F8D-344C-47D6-8B4A-F0A1829C530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1884CF-8C6D-4BCD-B285-1E1BB1FE5D93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394761-BD77-42BC-A65D-3C46F551545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30A55-9BC1-47A7-96DA-4969F5D11BA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B3019-C5B7-4FCF-8A2D-1A14465FCAC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1ED2BF-8EE2-4A35-AFF9-2E5327DF8DF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69683-D454-4B13-A50B-9AC373109D9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0E8FB-AD96-405B-BA27-8351BE8F7C6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6F85C-1B0C-4BB5-996A-3E6C4219FA42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3F587-EE8C-4FE6-8987-738C138ADFD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9D6A43-4406-49BE-9387-4EE52ADAE51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C59B7-FFA2-4356-8818-44B44462E4B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BC7E98-6C58-4715-80C9-C7A41F83EDC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9C215-2C1D-4AAC-9334-8D08435BA90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2C2D82-48F0-4DCA-83EC-23E597DAF71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26FDE9-DF0E-4D31-B6C4-9E4F4907272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E87FB-A683-415F-B1E5-26E46BCFCE2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8CF6E9-3606-4B2B-8D0A-FD6C5B41B79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FAD4D-29B5-4FF1-845B-497F5F00B4A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311D72-3658-44BD-A871-5570C410F37B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F0306-3D47-4D02-A9EA-05A9802BB2C7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CD787D-3BEB-4BC9-A238-5566C51AC2F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14FB1B-73A2-4A85-8B9C-82B49D74A33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52F82-5039-43EE-BC11-68D92A1C5AC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DCBA23-334F-420F-976F-7EB20F27E7B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53685-D71C-47D4-B9D4-FB09E75009F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402180-10A1-4914-9374-8CDD032A39A8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428A97-B00E-4A8C-9465-65DBA4914DA8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044C28-E59A-4A0D-885B-54698709F37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B46C84-9BDA-4D33-83DA-0728E3E5750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769DB-4C8E-4DD9-94EF-15DB51E3E30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382F1-0FE1-46BD-B3B5-BCBC6E3A0EC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CE2D67-90E4-404C-9F38-C097F90562E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A8C57-4C47-41B5-ADE9-D300CD065020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0776B-308F-4DD2-AD82-C8BE3824CF6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047B2-A9FB-40C3-8724-BD3D549FCE96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A25B1-7E7B-4AB1-988E-93844E203BC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39666D-50A1-4452-B2DC-65E86DBC0B1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E06EE-E4B7-48AA-AE68-175596A0000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50064E-A4A3-41EB-A5D9-5EC2262029A5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A8D1B-7D67-4A6A-8A1A-CB55EF1EA302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4970D7-5AA8-4BBC-8009-3A907A7FDDD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B376F6-A761-4E5D-82A3-AE396956942A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3906A-3C65-4710-87C6-AD0A19762A41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885D2-4068-4D09-880F-EB7944EDB8F4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85A6B-487F-4E90-A02C-0F1DE37F2BDD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E28CC6-7170-4E33-9875-82FEEE865E3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81B237-B44E-411E-B561-3049F103BBAF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4012E-7CAB-4431-A462-E46AF706A71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711034-1A42-4AC3-B4B6-4EF15AE9E7F9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80727D-4E9B-4ECA-B6D0-1C26A98676AE}"/>
            </a:ext>
          </a:extLst>
        </xdr:cNvPr>
        <xdr:cNvSpPr>
          <a:spLocks noChangeAspect="1" noChangeArrowheads="1"/>
        </xdr:cNvSpPr>
      </xdr:nvSpPr>
      <xdr:spPr bwMode="auto">
        <a:xfrm>
          <a:off x="11990746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B3A9F-13B2-4F9E-B23E-93FA87DF21B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EF40C-C661-42D6-BBE2-C4BC1B34B4D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25573-9231-4F54-AE0C-86FD09F45E6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5DFDC-95A5-4D49-B4B5-0FD2DC04478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FB9A45-352F-4742-A16C-AE968F4C844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F2C20-016A-4819-8DB0-DD306309804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22FCC-FB85-4883-87C7-D12FAB4B590D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CBC6D-0425-4425-92E4-16329F886BE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1D4D41-FE2B-401C-818A-072D51722ACD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34280-2E92-4EE7-A447-3F9847108C3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F179C1-8182-432F-9D9F-FA76B6B4216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ABB73-8019-4131-A4CB-4B4266E08D5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87367-9384-4430-8587-0BFC5D42C46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F4624-7E12-47D4-B0E9-EDA97CF14BC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E693C5-85CE-4BF9-861F-899BAB60BF0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7014D-2D4F-4180-BAE3-5F3D68E1A87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DBE74-9349-4E56-A737-CC976AA7DC5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333BE-7316-43B1-86D7-C02A1D7953D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0D6AB9-E7EC-47D3-AB8F-6BF2A25BDE1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86738-A827-409B-BAF9-C1E91BA9DF8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176E82-8DA7-477A-8E47-6FF08DF781D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B0CB6C-D220-4440-81C5-AF93DC5161A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6BDCA-A52C-4E35-887B-0280EE2E223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0A883-8562-4EB7-B7DD-D25E90B015E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524E2-2427-4FA4-A82A-456910B73DB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53D4FA-8982-47C2-B4F9-406FB678B1B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F0D828-6C23-49D4-A560-77C3D65C91F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DC8A3-21EC-45B6-BB64-E505AED5216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46E46F-0680-45D8-A3EE-3D889E7F1F1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AA103D-31B6-495D-8FE4-01877AD17A4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EF5D4-4270-4A36-9C3D-2ED7599A312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E9E20E-2FD8-47E3-A10D-4013636251B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B5D6B-B7F7-4760-B1B8-5560F90A110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3B176E-6923-428B-938D-094838C84A5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4C76D-180F-4BD9-94A2-C681596791F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0D6515-1C13-4413-AF5D-37C3B4BC773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087ACD-5C5E-48AE-9B0C-1B0FC9D1712D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30F743-67AE-48B1-BCF6-38D86A5B87D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A006C5-9A19-4613-9D53-B26152778A3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DBF10A-E456-4F10-B528-5F6B09513CDD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77241D-5AC9-49B1-A1FA-2D5EABB200BD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F32D0-4F07-481A-AE41-7C3EAD786F9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7A787-AA8D-41EC-9F96-7AB6662CA0E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067BC-2C11-4E28-84EE-C355A2CFB51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F53AA-9C98-4F45-AE76-D954A60B882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F867D7-386F-4A10-B836-1891A138207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C7A657-81F3-4894-9E2D-417088D4554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FE17DC-038A-4100-A7DC-E7E04D78B27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2FDCCC-593A-4816-B57D-F6643AEAC72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B0B8A-8F3A-4E78-B923-E7D470484E4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378A54-6223-4FC9-AF1F-59473B1D918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D54234-71B8-4542-A480-FE5F0A90B7F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6E5FC-B68E-42F2-B132-2BC92F70869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F532C4-E9F4-4657-9613-EC0FC4FD423D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6409BF-36DE-4929-ADD0-3FAC0715BB9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B67683-4B4C-4E37-9DDE-823B88848FB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22E928-EBEA-4294-A70E-2067F29741B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FAB5C2-A7DE-44D2-9776-829C09312E2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22217-D5E1-4CA8-8D0C-032B4391683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11B13-D9F9-40DD-BDC3-C736AD47F4D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217D4-C095-4A40-99FE-734B20A6EC3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7A78C-DD61-47FA-AFA2-DCE8F9C8644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A238EA-FC06-4CBB-B851-DA9422A2384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11B4DD-DE38-4578-B212-381E37056EC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33CEA3-97EA-42C3-8965-322FC3BDDF5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F622F6-BFCC-43A1-BBD8-DC8DE7E200D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BB4CA9-3A32-42D0-AFB9-F7A7457A116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7A242D-F43D-4C53-9250-0D48770DD04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2FFA5-5FC4-42D6-8E18-49349F87EF5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66FC76-2470-479D-BB6B-38253FFD6CA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1629D-36DB-490F-8444-5A42FB1BC8A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7D9B96-6174-47EB-AE34-BFB8960C138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72A1D-C27F-4068-B41F-552832B6CEB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B9D16B-051F-40BE-8DBF-E371D0E6400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89FAF-6461-4162-B56D-0F03956B4C0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F7A3E-30E2-4BCA-B4B0-654CB117E0A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3B293-B75C-412D-8D62-57EFA6B031B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A8A735-CDDF-468A-9AF7-361B5EC92A8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62576-CCE0-48B0-AB86-3317F92D9F3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1EB76-1077-4E87-BF89-A8AED1333A6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14D40-A038-4F95-92F7-64599C10E82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5E2FA6-F7FD-4774-975F-9A73F2299DF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7B7AAA-EC7B-40C1-9C26-725C7E8E481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CEC64-F175-463C-BAD9-55787B7662F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D0BA7-89D0-4052-A0B4-AF9DF2EECE2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44899A-D6ED-4A16-B664-8710F8BAF0B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18A48-787C-4BBE-B983-254B2922349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20DA3-06D5-40C2-BC0C-9F7DA45EF6B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082DC-AF40-4258-AE62-EBD86A5DE6D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D0A53-1DB7-46BF-B1E2-A02D8138382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DA839-5B2A-4909-8D32-D9746F9BDEB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B87B1-0397-49A3-B1B4-6424FBC263B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99BA3-4B5C-4284-90FA-7023D26AC30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D5931-D2E3-4509-B68E-E3035C4D988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A97921-9F0A-4DB1-9AD2-479C2A7AEF8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D0E97-EA29-4772-BFD8-2DCAA601B1C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1DE400-C008-4B62-8CF4-D200CE73BCC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59292-A192-4C69-B4A9-CE575E8BDEB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3959F-7579-48D7-84B3-C023291575C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7009A-8CE8-41EA-956A-91320B63DAA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5FA166-EF4A-40CF-A5FE-65FC3D71513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B4FB0A-5DAF-404C-8261-A92F7EEF4C5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896A01-1228-415F-B33C-114689B52AD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83413-76C2-4E0D-8C45-F509EF2BD09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500B6-BD5E-41C2-8E51-309A69B61A0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5A6ED-31F9-412B-8DB6-C4D693648B5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8A1094-B0A6-4516-96ED-35F8B73AF66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E0DEEA-A2E3-44F6-BAFE-6517AF637F9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AF972-D976-4512-8E08-DE6AFB76DCA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EEC36-91CB-4B1B-8CF2-1C82F42236C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03D49-8B6A-4492-8739-3DF24DF457E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0FE9E-EE3D-492D-9A64-930EC4DC660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ED0413-1144-4123-B94B-BF017637E0F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E766C-3A95-4A79-9A25-BAC237A62B1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0D4CD-43AA-4A45-8273-69E3A8CCA47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B3F7DB-A5C7-4CB9-A1E2-5A89A49E56D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301B7-42F3-47AB-8276-B3B42ECDDC6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2C4D4-7CB4-404E-A7E2-A6F2D2E7639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2BDF1-07FD-47A4-895F-D5F937DB5EA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37762-EFA4-42CA-9745-4A8DFA35542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D1C838-D290-4230-823D-E1367BB8C0D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D1127-D11C-4C82-A886-E7B20DB7F4A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49A2A-9811-42D0-9923-6B85D29115D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0858EC-E96A-475C-A7CF-BA708A71FE8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3CDA67-DADE-4A27-B31F-773A095A2C6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F213A-AF54-444C-8C2B-841FC70199A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BC119-FAAC-4833-A046-97580723864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B2A1D-5E63-4BE4-9FE5-A8B8633CD9D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2995F-7B10-4C34-B710-1B36630C928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8A2595-C6A0-483E-AFD5-2B4A7379DFE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11A99-1BFC-4EB0-81DC-2B1462A6B17A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93724-F0CB-493E-89F8-A88E18A1978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5845E8-E228-48F4-A413-91FB7AD1900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606174-E739-4AE4-81D9-F5825EA2128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7C698-AEEB-424B-A6D4-25CD20FC3BC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7BB76-8EB2-47C1-A257-B6BB16C6D72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31367-7279-4280-85B8-67088A66F9B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9A26D0-34AA-4B27-A6AD-F03BC3DD172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B8EBCF-9662-4FA4-8E75-00FF4215B3B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FE536-CF3A-4BC3-A6D2-EA53ED63759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53A4A8-7527-4E86-88F0-0333917535EE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5B1A7-C432-4A7B-A4C3-D06A6476B86D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A218AC-DE2B-4488-B4DD-FC9512CCCED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6AA99-A787-41E3-8F51-E01802CE538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82A73-A5EB-4A93-AE7A-8DCF1420A31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B5D3B-5D2A-4998-8E1D-21306ECD270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69C29B-464E-4759-BEB8-ED98D7DA99F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9229EE-3E2D-4579-86B2-175F14686B6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9CD11D-6B80-4BF3-8722-90F4B042C39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E8F27-741A-48E3-A22E-AA44C3ED901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66135-144E-4462-AD17-37E482D70A0D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FD259B-66AA-4E64-977B-FFF3652074D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D277C-65F0-4B08-8499-A860FF44940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DB7734-0BA8-459E-A781-D1821CBBDE9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00545-D517-4EDE-9200-BEA60333A73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DEDE3-30AC-409B-B315-41690AC0A83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AE1B1-6515-4B01-B93F-169B57DF26F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AE615-6E1E-41EC-ABA6-014DC1D952C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B005B-8A84-4161-9153-880373116BA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E7A26-BEBB-456A-9706-3C1BDDC2B12D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150898-7020-431B-A23D-E0CD111B250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205D32-56B6-485C-B9C5-E7CDEFB77CC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C3E29-10D4-46D2-BB5D-DBF95586F1E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F2B5D-FA81-482E-AB6B-E478314F4EE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2AD424-63C4-45FA-B1BA-DEC692796EE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43EE5-D577-4288-88D9-9966CCA7069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BEEAB-8E27-4F32-BAD6-442D0F0E7E3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94469-5C33-4809-A03C-DCED9C5C33E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CA7F89-23F6-4CD3-8C2A-47E773D53364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FAC262-FF99-4DFA-90F5-9DC9D8994C7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02E3C9-4F27-405B-8D41-33A8471A5DA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569A5E-A927-42CD-85A1-A62A2AB1CF8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98A79-CAA1-4B03-A443-FCDA30E30EE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0AB49-2B16-46B8-8F02-C88A909DA65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FD3AFE-E82D-46FC-850E-D82B7E35AC8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16BA1-630D-4F31-B068-4D03E2C5B363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F99FF-0E83-4024-96B6-956D7957B4B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429E9D-B031-4A9D-9CED-26DA4446103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6179C-A019-4CF9-BAA2-33620525CECC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EFB36-FB15-4E1F-9F9C-D1795636DEA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11C9D1-6C24-44C6-9A4F-B64610EFA82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2FB54-8DA6-4A35-BD07-2D5686B5C07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374C0C-F1FD-4DFD-A400-545302FD581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7AF94-A814-4E43-80CD-BA5F79F6734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D6B02-F6BC-41F2-8C7D-A853FDE82DD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7CCF9-D5CF-415A-9DBE-E4A4287AAF3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FEA00-2698-465B-92B9-BF53D4EF4EF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7B43C-D992-470A-A29B-F57078366E9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8FB0C-6C53-4E9C-BB3C-91A7589DF826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9EB5B7-6C18-4E87-B614-3AAE615B0CD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0E244-D89E-4C8F-B6AE-B0AA0C36C2B2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708EC-A92F-41D4-A2E5-D097A443B48B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2E3B88-4F13-433D-9C7B-83F32456E195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A3098D-69FB-4359-87D9-01F09670ECD1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899B6E-6A93-4098-BD8F-92A4A5B73488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02218-37FA-4B76-8BE6-EC135F6FFFB7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7AC673-3437-4CEF-9E5C-E4988C001340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850B8A-1A8F-4DFC-92E6-2D438F3910BF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4EB7A-E403-4C84-A051-F47D228BB349}"/>
            </a:ext>
          </a:extLst>
        </xdr:cNvPr>
        <xdr:cNvSpPr>
          <a:spLocks noChangeAspect="1" noChangeArrowheads="1"/>
        </xdr:cNvSpPr>
      </xdr:nvSpPr>
      <xdr:spPr bwMode="auto">
        <a:xfrm>
          <a:off x="1369602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2F0EFC-1324-4613-8971-6A3079D7C926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10328A-398A-43A4-A686-034E3E313B7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CDEE3-7924-4B95-9413-B655C343D05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EECC7-3437-4824-873A-63111AB88B6C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1CAA8-FC21-4840-B713-3CF201FF633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58AE12-0E47-49A0-BED8-BA33F413D11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68908-03EA-42B5-8131-5488BA62FAE0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58145C-69B2-4761-AA44-6FC60EAE4A7C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CAEA9-BC3C-4A39-A589-E8BD6579D65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2F55A3-E530-4509-9DD3-B2D42FA25F7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067344-B6E0-4423-B3B1-885304E105CC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CE66E-3457-42A5-BE5A-9761810DE92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546D4-010E-445C-9E0D-C1B0A7A0E8F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066FB-BF48-4443-8EF4-E78B183F893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2AB130-053D-4AEA-9A59-4D050E7663B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1A540-CEDD-4704-9033-AD55482305F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325D5-3DDD-4447-9302-DDDEEEEA9530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B9F24-8AEB-4A48-9D27-CE5713B590B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29014E-FF4A-4466-A91B-AEEDC52C3A4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D1900-0333-4582-9301-2830ABD94F9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10822-73BA-4C3D-81BE-AB1B4168902F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005AC-7BDF-4498-AE7F-CF50F87DE083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BEE08-19C6-4645-B532-4FA1D322AB6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F9794F-CBF6-4317-B126-6C78230B82B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7D477C-E4B8-4224-96E2-7D9241A88EE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68545-E73B-486A-BB74-A3D10796D889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CF45B-6A5F-4DD7-AF2B-4DF949CB696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16911-B98D-46B7-B305-25B0E2231B4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B8DB5A-2A8B-4BE7-B2E3-B456D8F8509C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49E843-2B1E-41BB-95BB-064E34E074D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30099-1AFE-451C-BB32-A4688C66EA4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E8751-CB39-490B-B3D4-790D08D2CF56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CB869-6767-4B66-B68D-176298CBBA3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BF5D26-6D0E-4A36-900D-6E9AA6B2EF39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3A56E2-BB21-40BF-AA8F-E7D089720A0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CC9FA5-8F71-4D2B-BCF4-CC550EA34E39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344DB-B1A3-433C-8E2C-28F808E9024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8FF8C-ED76-4370-9B2A-929B6222BE3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A91CB-B924-482A-90C1-8337081FFCD0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9B51C4-1361-4245-B145-B710718B012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DEBC1A-41D6-488C-B957-59E43DC6C45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078C4F-DC96-4A31-AF2A-A5981CEBE6A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BCCF2-23CE-4DBE-9436-896073EC1F8C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00E7B-6FAF-45E6-A31A-0169ABF4212F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A49F3-3B35-44CE-8094-B72F7DF54469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412B7-64C9-4380-B9AC-34533D9D504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C7DD5-AF42-400B-9AD9-CD4FF08F4ED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2C0C8-05E3-401F-8BDE-DA1ABF1B300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A63951-4293-4CE2-A3EF-CC9037233F0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89E35-71EF-42A7-A0A9-A848E74CE45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D98FD-1625-41AF-BB8A-1CD7B46B68C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F82A1D-CEFE-4EC6-BAF8-3599FF011BF3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2A74B-D166-476C-832F-36330F0C795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04718-7200-4AF4-ABE2-C866C20A92D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2443C-5C04-41A4-BB49-CDDECB1367E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31F3D-BC35-435C-9DF5-D04CF041E893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347CC-1B58-4456-B088-09B86EB5F48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C9CF90-F344-4F2C-835E-A034F2048A6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D66F6-3D52-4662-BD48-2D547DE13963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84807-68B1-46D5-9719-6A0690E97C5C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353CF-586E-4708-8447-01E3860C28A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64128-E883-47DE-8795-581FE99A8150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47EEE3-ED95-4233-9230-634D434AF66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2B191-6FE2-4467-B9D0-1943777DA3E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BEB4A2-A344-4701-A670-63ECE26B244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1C86E6-F35C-4BB0-BF80-244E8FBF8B1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6AE250-5E34-40B0-8B88-74AE71A9E66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7BA7F3-B3A7-4AB9-B048-D6D94DBC08F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91EEE3-54D4-4BF3-9311-47C91447762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A8ACC4-ACE2-401C-AFD9-93B7E08339E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604F1-4691-433A-AB48-58EFAD1F495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127B29-86A2-4480-807A-229C9D43CA3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972CE-2346-42F6-B2E2-819A4A21862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6642A-815E-4C9F-9030-D0C4E667B04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16C44-0D0B-44C3-A99D-A45443A2CE1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52819-69C6-4938-93FF-1868CF55A85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E1C2B-DE57-47D6-826B-C12B533AE14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71044-4AA6-423F-B8C4-16E5B8851FE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2117F-7186-4B7E-B19F-7EA5773E25F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3082D-8941-4ACF-B7DA-52CF1D484C3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681D7-F3D4-4A69-82AE-709E00B837C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6944F9-0812-4FA2-B703-294DF1422D5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90F1BF-2446-4503-8FD5-FA4F75D8F9E0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59EEB-4A37-49D2-AB92-3D10303B438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E6755-0426-4028-98CA-42513824EA39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1C2FBE-734F-4732-984F-25A85586731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E3DEBC-91EC-46EA-B957-CAEF3EE435E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3E019-8DC2-4302-B7E3-3D0D3661E19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03A59-53A7-4517-BD8C-A6DFD7C880A3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76C3B1-708D-47C0-ABB3-A5D38AC2F7A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80724-8FE5-4440-9E35-B62A7383BEF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DF8852-2931-4B01-AC9D-349F7388B0F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51226-17D1-419C-99DC-A64470DACC03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B68AA-7AD3-4243-85B8-87683119D84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EC91BE-06A6-4FE4-ACAC-2FE9ECDC57F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9376A-4E34-4804-B533-CC0EE44E751F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52C97-D815-44A6-AC77-59F4B87CC05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130EE5-A802-44D9-868C-4A0A2823646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A75B71-9C62-4945-91F4-537F08C8631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6F396-C561-459E-9576-64503FEC543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376CD-FC0F-47AA-8708-E8489FCCA4A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420D5-51D6-4657-B373-8950FC94D3F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1DA17-4FF0-4C63-8663-21D7D6BB08F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DD3C1C-77DF-45DA-8C86-D422A739C0C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FBEAD8-4CD9-43F1-BE54-5AD4755FC92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F725DF-B4A7-473E-8563-A9150213D11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6FD0A-1CF8-459A-8729-007AEC9E5B5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C2EB5-9F17-44E4-8C55-C9DC4D8C12B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D3D29-D07A-42DD-9ED0-24139B857976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9D9B3-D904-48BC-AA4B-429193AD315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C9D51-3614-4A8A-9C57-38F3E7BE0EC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5A53A-85A4-4D5A-81A7-7608488AB12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5CD3F9-FCAE-49CE-802F-E3574A3B722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964F1D-5755-47BE-B2D1-46EABAECFF9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717D2-6B59-4802-B8FD-98D0E004706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814822-F680-41F3-B32F-21B1B7F0B99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A4DBDF-0DBD-4FD7-9C14-594D7B63558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2DEC9-9042-4CCE-B49F-E1F4701C41A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C6AF1-E23E-4A9E-9E46-71360BB4E88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00246-23A3-4460-8F4C-B0317EB3281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AD93C-3A6C-428C-8F97-A399E88B680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BA0ABF-F092-4C08-B5E0-A1166C934D09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87B59-24CE-4E8A-9D01-15E5B969B48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D284D-5670-4206-A149-9E713070D91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CF6895-5E86-4D6F-B2CC-5660A155945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5F3C3D-3891-4A9B-8F08-A23019FB662C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AF95C8-516D-4964-877B-3DCF80A8D56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2EAD6-8BAF-4D9C-A4B2-C5C28198812F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E14668-C2B2-4200-B612-4EDF3DDD8F4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A0E07-90E2-429E-AA66-3E9717105C5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6C9FF-04B3-4D71-AD05-B011ED5189C0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68C50-4F42-48A0-9065-91965807E6A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DB9D75-62A8-4BE1-A735-F56EBED9058C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02DDF-957A-407A-9EED-D1A834AA0A0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3B38E-D9D5-44B0-97F1-488DA74E235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376A8-2883-4A81-B1F4-2947751C730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F7B33-F207-45C2-ADC1-CDEF073DF04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F98BB-AAD1-4EC2-8160-C307C2C9BE0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0BEFE6-4DDC-47CB-9F11-7940466CD530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278FDA-A648-47E5-AF50-F476EC1D0BBF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B5224-C759-4388-8F18-257FA1DBC16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5E886-C58C-4B65-AD4C-9214396A5AF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81819E-C720-4427-860D-4DF1DE8AB53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652D7-8EA4-4F9C-8EE2-23688B46888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CEAD88-879B-4A5C-A054-5A2C2CEB4E26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742B0B-F8D6-4112-87AC-7738C26434B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D2C50-68CE-41D9-A569-68B6EF0C579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B5CCC-C61F-4477-91B7-14E79EAD6FB0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7A721-2FB7-40F7-9E1C-53E0B116584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50576-AE3A-44A9-8F12-04582A95D9A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5AC9C-EED9-4AD9-B82F-E01F9E8B7D7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09F9F-A924-4274-9951-37030753DBFF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F1F56-857C-4430-93FD-AF1B456DA30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463B7-EE97-4923-BF65-415FE327197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E1F000-5142-4DF4-A368-0625BA42E93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8CD48-972C-4703-9C49-8E9F8430DF1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FEB98-9AF7-4D6F-B040-6A8DC7FA8383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92F52A-2BFD-474A-AB38-DAE8E27C398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2A248-93B5-444E-A286-85F50FACFFA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F79D8-6C38-47AC-813C-8ACB05E58CF9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A7C24-A944-45E7-A465-050A334695E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C4FDB-3E56-47A9-9336-1903BC329194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81CF28-CC5A-4FE9-9ACC-AEC39A29DB6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520644-0440-4250-808C-B52DEE760316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DA5FBB-CBB5-4871-8584-FDF60854214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8E54EA-F712-4C0F-9BA1-FD3B46BC590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01CCA-74E8-4AF9-AAC2-9F3C52FFE3BF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74877E-867C-4818-B691-AE1F8BC93BB3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974FB-BC4E-472E-963B-74DC5C12066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F7F85-2135-4BE9-BBB7-380D5B447AF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1C0A7-D36E-4ED2-86AA-65B1CFC14AE6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26C18-722B-4EF3-A60E-43A7EC3E18B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83EE31-2061-4F49-8F43-C4755DCB2BD6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B703E-9814-4205-A0FC-4D1E52F7E12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42EA4-6557-412F-B3EF-8ED84B46275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BE25E-F870-4EDF-B2D8-ACED122AB81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86F8C-E10E-4BE5-84C8-08A955982E71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78ED68-5E3E-41EC-89EF-D66F8122782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211657-0E34-4242-94ED-C67D6F051A82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A8EBA-AB25-410C-A8E2-DCB95903ED0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29349-5748-4DCA-A429-12C1A901E81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6814D0-473E-47A2-BDFF-481BC3AF7AC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E9DAF-D3D4-4ACF-AFA3-6EBCE11DA86B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ADD305-3AFE-425A-BAE4-EB6AAD800DF6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20CA4-896C-4AE4-9330-48D22473EE6F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E43804-32D1-4E73-B857-BE7542C3444F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241EA3-6234-49B7-9E56-E54C02FC2A75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785A46-0550-42E4-934C-F6CEB3F59BB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FE887-4614-476D-AAD3-2F2B0174FF83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9CFBF-46EE-43F5-9D23-2AA3796B0089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E74EF-021D-4038-9A5E-C324F19DA7F9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BF33C-3557-41B3-863F-51EC4AFB0506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CE8B02-512D-4432-AD38-7EAD766F837C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C054DB-4E50-4D35-B4D3-809FA4A98D3A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8305F-D2CD-4A31-8409-D26971D3FE2E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8B54EA-2DC3-4455-98B2-F7707A8253D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F1EE87-5D80-436B-AF2F-8717517DC498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FD8CB-A474-4C40-8403-808D9446A5DD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5CE79-C944-4CBD-8B33-034B5CAE5297}"/>
            </a:ext>
          </a:extLst>
        </xdr:cNvPr>
        <xdr:cNvSpPr>
          <a:spLocks noChangeAspect="1" noChangeArrowheads="1"/>
        </xdr:cNvSpPr>
      </xdr:nvSpPr>
      <xdr:spPr bwMode="auto">
        <a:xfrm>
          <a:off x="13219778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787D9-CE55-4AEB-8D39-D759824D850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0FFF6C-7B36-489A-9C43-71963BD1843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F1273-B95F-4DFA-847F-1E19A9F355E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EA202F-3F1C-4DBA-A2BA-9D17C876151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A3469-81D7-4EE9-8439-886C1F8E265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345CB-6B37-4B65-89D5-43C22B39741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291854-9902-40E5-9B16-4B2D9D19540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D358C8-E728-4B33-8BA2-C21CA0DBD77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B16C8-A3FE-4C7D-9FFC-01965B13F57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3BE51-AF55-4664-BF80-EA017BFF6F1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507A8-D8A0-411B-A9E9-A906E42AF29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D8EBC-011A-4FAD-BA8C-9AFD2154C0B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FE81F-A180-4BD6-A2EF-5B1936F3AA2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704C3-7AB0-4D6C-B3A9-54136FB3B9F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C0458-52F6-4C69-BB40-3201BAD873F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96F8F0-7457-4D50-959F-685DAAB629C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CA0FE-53C1-40DD-809D-4740A4A28D0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F5329-C226-4126-8E8D-AEFB3E5501F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94946-3DE3-4239-8444-B7481630CBD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F7EA8-EAE2-4C77-ADD6-B5516CC2D53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538EC5-627D-4E9A-B2B9-266A605AB80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869DE8-274C-41DA-94C0-421FA77B643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C8FFD-6F91-4F4D-B52F-F9FD4953417B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D64A9-4E46-4B0F-83B2-062C9BD04A1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B6530-0892-4B1C-8264-FE521A0EAC3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B1C0CC-8547-439B-94FA-2C274ADC94A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DFEF37-68E9-42EE-B883-FAC6D17792BD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990EDE-42C2-4FA3-88AB-226C85CE6F4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4A292-4667-4822-BCB8-B1EC835FF84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51318C-0124-4DFF-8453-9D5648A1CCF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C0141-D32A-4C72-AC7D-91084C41634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01203-D6D7-42DF-8BE6-31B166D5C5C0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C6C40-777B-4127-8656-B7BE1F4EB7D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92BA17-058E-4048-983D-E770A0F12D4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9385D-DCFF-4BA8-8015-5F2058D054ED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70EDD-37DD-45B6-9513-7ABDA8FD874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C6A70-C4D9-4C96-9627-1CE66B3FD9B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D6414-EE27-4B87-A3F0-5DFE41D18740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F632D-1A61-4C11-A9BB-B80555B7A83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9767D3-DF95-49E0-A9B3-25CCA439315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928048-8DC4-42AF-A191-FA088C2A383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2022E-527D-4C3A-94D9-04DC7E2992F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2FFA6-84DB-45A8-A871-859A4595FAA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5703D-0D1B-4735-A580-AC902B01EB5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85FCC3-435F-4038-8AAD-B287F8DA228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59150-8C92-438C-BB2B-8C20A8F910F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06FA9-52E0-47D8-A6B0-9787D53EB52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37EE7-B21A-4AD9-A479-A25F25F2849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DDF082-D62D-4766-A57D-CAD163E64BF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DB751-D689-4EE8-9B69-71C736E9556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0B08D-F2CA-44E1-BE1D-ECA2FF4C5DE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75636-CAB9-4AFA-8F1E-29E4B7412F4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7468C-2604-4ABB-8929-7F1B41F92F8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66B5F1-DC1F-4801-BD1D-5D7EE90CCC5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75AE22-DFBD-4AA2-A611-3B0B13FB02C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526D0A-57BF-4C56-8BBD-C80A8236C58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C3378-3EBE-4960-B359-3C18E039397D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BCE68-20DB-49D8-9D7A-1681CC261E7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8FFDC-9B37-49AF-A867-73890C3634B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417BC-E727-4C38-ACBD-C0CA3B8FB04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9BC7E-4BFC-46D6-8918-58146B9CA5B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9DAD6-5CAA-43C4-8389-9794A54F2DA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BEC23-D94D-4CA3-B4BA-78060800F00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C79CC-5940-403C-8727-901956F6620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B9B5E-E174-4BB4-8438-D2F2D4BB00E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9120B-0F99-4029-81A3-A37213A216D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D520E-642B-443A-B74F-4AAD015BBDE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F8F54D-77FF-43AC-8FA2-C42230BBAB9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6AFA5-2C9F-4052-BA91-AB5F4B596DC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B45BB-4CD1-4380-ACD3-E3175AB3972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F773E-AC6C-4B02-B16F-BA7E0715C89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06132-3F22-467E-BF82-E6CE7C19A52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EF22E6-62EA-4766-9A63-39BABF36A7E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95889-0233-4B2E-8EAD-A8485F69D28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B3F39E-B4EC-4684-9273-BA2CEE135F7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EBF53-F421-4343-A75E-102B406A037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BBCE8-6720-445B-AF92-BA48ED11F42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B6BCC-997F-41AA-A964-E56D3945343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351CD3-776D-43C2-A79F-504A20A7C94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606A3-3B68-48DE-AD3D-B9195483613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1D0C0-FECA-46FA-8BE3-F7336936065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75C418-85F5-4D41-9A98-3750354DEEC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E52E7-E485-44F8-82E6-5C4E239250E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4303F2-967B-42B6-8DBC-0B82F472EEA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0885A6-7829-4576-8227-9E490DA4848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50C995-8A14-405E-98A9-CBF048EEE0C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82350-F7A5-4B8D-9BD0-44BDDFBEC24B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DEEEC2-49F3-4F26-84A6-2FC89C007C7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BB9562-0427-4727-B557-1644154E4B2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2C19DD-F05B-4327-8CC2-A1021E5C140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E4DE1-45EE-409F-BE1C-8E197866958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61B70-E14E-4A4D-A003-D48DD940097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B93E5-EAD9-4C89-8370-530DC265DEED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3A0F1-6CEC-4DDB-92A1-6936F66321C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A45072-9B77-42E0-A03D-7D8080AA0AC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E78C59-4667-49E8-8E30-CD1B8B8F3F4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E6A04-A285-4082-A149-8A45C005608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E94FEB-1E79-44E6-A030-F5A8209783D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CE9FEB-9D84-4F99-AD11-CBE20F2FA77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9E9EB1-5716-47C9-AF16-6A89CBD8F39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7199A-1E6A-4F82-83E7-2E315F0BC2D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0FBB4-DBD3-4E10-87B9-87A3767D0F5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D6FAC-2210-4C69-AB94-FC2B3639A8C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DB10D-C643-4286-98B1-092DDF99D1D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33D15-F7FB-459A-B952-B694F379E19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E0431-57AC-4832-9122-2C11AC1202E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B84F3-DDDD-483C-8335-A2CBA5AE88A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E6A7F-9933-4FDE-A37F-214A21737D0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2648F-9826-4561-8196-B318DA63A88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4A7D8-FC0D-458D-B10E-7B1B3D44C62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FB9530-2F78-41D6-BFB1-029A92B65EC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4B6D77-9DBA-4480-8E70-4F02331C5210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DED6E-7AB2-4D62-A545-3A1BC3026B8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66C43-4BEC-4ED1-A30F-B9980F3E5E6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E92F04-2FCE-4854-A910-B7385747E9B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1EEB8C-5016-44C7-BD67-0EAAB33EEC2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D5FF7-F073-45B5-A6EA-2F52BC01424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C9AC8-1A91-4335-AF14-88F7B7AA324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2BB011-FAB5-4A96-9004-2AF8CE9A0E8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3D4D8-6DAB-49A5-8C17-73DF2880D8C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39B56-2588-4F10-8173-2F1D1100ED2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5AD87-6886-4C62-818C-D0D8C529BF9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CAB1C3-D85F-4C23-92E6-978A6FE8F53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0953A-6A4E-4622-9544-4745E5F7D80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83F201-7D0A-47DB-9E2A-0E8F39CD1B1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30E86D-E250-48E4-9647-9F0016C5CACD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9E2AB0-8520-4243-8827-8F6423CF14D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F0AFB-7CCA-41DF-96D9-0D102ACD27C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785DC3-BC68-460A-A7C2-F301CF004C9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C175C7-6A00-46B2-8CBF-F064117D719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74AD4-F8AF-4CB5-AA9C-B9155759484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2B9461-4381-4B15-BC26-5B9DAE60B00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80F23D-76EF-4490-8522-6C87D19C1820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762F9-9D93-479B-B1CB-AD4C3A1AA14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DA23B-8FFB-4F45-A175-ED29D0EDC8BB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6581D-52F1-44D9-8E54-93925D487FF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5F143-924B-4E86-A439-B6FD314001A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E1B54-34F6-48D4-B05A-78ADEE7C1EA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D7E91-3157-44E5-9BA6-1C9517982CE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8D6A7-B87D-4C5B-8F60-ED88C9A8907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DFBA1-3934-46AC-A03E-1C2CEE23335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C790BB-4C1A-4631-95F1-78DA836F123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C1ADDF-E6E4-400D-AC49-353C068F17A0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83FC7-413D-4D8D-BCCB-EF513F2B4D3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8EC292-1845-44E8-BE12-2E10A4C483FD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01EB0-034B-4C05-B350-24F083CCEB4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E66EE-38FA-4E12-B9A4-2E352017811D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4439BB-9663-443D-B778-7A4D4954A9C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B2B174-CA83-48FC-BCCF-3B85892CC71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37D2E-A9D9-4BA9-98D7-2DD9CA8EA26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B730A-8C90-469F-8E25-935A7EA983C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A2F53-203C-4FC4-A953-895866532120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5A8A7D-F6B1-46DE-972C-322AA2CB9C3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97B7E-E925-4A61-9625-5ACBD078597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6E2E27-2A52-4599-9DC5-0B0F43D7DBC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33CF2-9849-4F06-A0A4-E54FB26140B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A3B2FE-CF37-40D1-94E5-B0D895F8105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BB052D-172A-412B-840F-AA35AEE8DD7D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A6419-3765-4C50-9CC4-9BA4E055CDDC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10B040-9B5C-4DB8-8B20-A0F1F982595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5B03D-0F13-4D93-8D1C-CDA7060C024B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5260C-5B79-4B5A-BBFD-34C696234A5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54FDB-2336-48B5-8F54-D41D3889A6E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BC502-9C8F-45B3-A918-8D75202E974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58419C-FDE8-4B32-BFAE-C4C02DECB8D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60F035-6540-4E5B-9971-C5BA48EEA43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066C1F-9BC2-40D9-9153-F64CF21EFC4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DF9D7C-645C-4A5B-AC99-01E480C7F31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B7BDD7-9E0C-4919-A19A-6505B331BEE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A6D57-2E8D-4505-9C11-C79FD3CD687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854EC-F0C4-4A8C-A392-4A554D9700F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705243-7BB8-4B69-A5EA-9A4C44E82A70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F72EF2-EBA3-47A1-941C-11E7A40A4CE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31711-423D-4491-82DD-7439B6210C3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851C3-D14A-46A7-9503-3E478D333AD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AB8421-7AE2-4CDC-94FB-C1485C8497D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D8C00B-F5FD-4B24-9609-CEC83CD11D2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E6BA5A-8E77-49C3-8CDB-731F7955BEC3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D641B-B25B-44BE-9170-7801539C4B3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4F8A6-5C05-457E-8A83-DC6D00FB7C6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DBF28-4671-4EB0-9435-F4F4920B72DA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219A6-30E3-4B50-B0CF-111380C163F5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1F5A69-8D8F-4ADA-A342-95DD805698D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CB49C-817C-4981-BA74-81C1C4216E3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57B302-17B9-4182-8856-7A29529ADF48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D40BE-B23B-4303-BC1F-688CF47E6541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CE129D-3F55-4C64-BCDC-BC88AB97427F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C2665-574C-4B35-A949-7220742F673B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409C86-CD08-4EA7-827C-CB6682C4638E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7F1986-BB12-49F7-898F-E7B54CE5CAC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B69D05-5A11-4A46-A829-EBD069C6534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BF084-D1DF-4578-823C-6C59EDE97184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72643-25CE-4C2F-9B1A-B490B6C62706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111CA-F867-4ED3-B0BB-1F84A36CD670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B5D70-A7EA-4F87-99FF-B2FD5326F53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580AD-7E64-4900-A26E-D80422F99100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CDC1A6-EA0F-441B-AA19-AD37D07B9CB9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D1BCF-B9A5-4C6C-BCF9-2D78552F9322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48F5B-9332-460B-A965-CF58AD4BBA27}"/>
            </a:ext>
          </a:extLst>
        </xdr:cNvPr>
        <xdr:cNvSpPr>
          <a:spLocks noChangeAspect="1" noChangeArrowheads="1"/>
        </xdr:cNvSpPr>
      </xdr:nvSpPr>
      <xdr:spPr bwMode="auto">
        <a:xfrm>
          <a:off x="14925060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AF52B1-5C0D-4EE7-AAB1-8C423F37817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D6838-10D4-4E74-9016-1482B01084D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28444-59E6-4279-937D-9F1D5137E4F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49143-224D-4ECF-BC4F-61B02AD52D2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2D7377-D12D-4B3B-B031-B0454349F25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ABCCB-731B-4517-900B-3C58A398F6C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53843-1D58-46A2-B80F-06A547E3C1F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65C398-70B5-4B7E-95A7-38D73EF565A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5A543-E347-4FE5-BE56-DC950E824D2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3033E-2D9B-4D2F-9744-E66CC3F5550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B0F7D7-93A2-47FD-9372-2DA883ACCAE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CD3D2-047C-4652-BB61-93BC3B01D78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64820-4DB5-47BA-BC64-0AFC80F580A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786CA-4067-415C-936F-45A6349D57F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58462-FD00-4414-A4A8-21F08684AA47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7E0B33-D2A1-46D1-B673-03D4FDAE4B9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4119D-F365-4D19-B4D5-71B6388FCA4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156F0-18AD-445A-B693-BFD650E3CE47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217DD-B307-4E15-82EC-3FABC4FA0DB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AFACF-38BD-432C-BF71-D585A25495C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73F5D-C623-41D3-B958-F143485FF48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D063B-E056-4B5A-A1F3-798A497E626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9A875-4114-4CA3-8A00-BE1EA8DA14D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AFBD07-65BB-4630-91D3-17E0CDD3682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1474F6-6F3A-41B1-B90F-852768D2D95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6A2EA-CDC1-4CC6-9227-3DD14A9C5AD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DCB6D-475A-49A3-93F3-513656A5094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585416-6EAF-4EA8-AA7D-C089DB6B4BD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EA5F12-5431-4A00-8D2F-AA0B79CADF8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DA2AE-78BC-4994-9CFC-D55C3DE7777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CF6DB9-F006-40E3-A2C0-5F57BBC94C7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0784BD-CA6A-47E6-8157-055B5624321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D74F58-4778-4C7F-9F23-DE21866B7007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5A327-BF32-414D-924C-FEDD9A9104D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E93666-59C0-4E39-9544-9CD1FE54AEB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A22A7-1762-47E2-8929-75EE4108CBE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6C125A-A2AA-4015-BBAE-7A755BE23B1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97141-B489-4D3A-A7B5-0889946C18E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849907-ECF6-4E4F-947F-0D198B543BD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BE311-BC56-4339-807D-22E15838C1A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34A68-CFAF-402D-8B07-4B2119531CB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AB354E-64E1-4800-A60C-9F3D354DF6C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001E9-E330-451A-B47B-A1AED062FEE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5946F-22EE-4B81-955F-1FB4C210F22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13332-F4E4-41AB-B51F-7665EE8D586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741A8-9D11-4DB6-88BF-61CDE20C813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22971-7AF2-4752-8DDC-5DCCA6CDDEA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ED39ED-812F-43D5-B098-8D797F10793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8DC7F-F298-448B-8F89-A29355BA6D2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4CFB4-E2C9-4D3C-87D5-20A18F038EB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FD4D3-1329-4F2A-A188-126893EEB54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8FF227-1516-4F3E-8F2B-BDE0A7770CF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713705-B8A8-414C-82FD-196DF520AB7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AAE8A-2205-438F-AB63-D26DD5C5D56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23D55-DA58-48E9-BACE-30CCE6D83B23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721E6D-38CD-4F14-83AD-182AF40D84E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16C476-CC64-4394-9BB5-35615112E54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42163-9D5B-4F0A-8292-B728C74F397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08B47-B5BD-46D3-87BB-E4E4240AD61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D052A-4D34-46A5-ACB8-C8356C4649B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93037-500A-45A7-8901-762A356D888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87FFB-8B3B-4009-9112-5D4D15D01083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4B39F-0CD8-409B-8896-D868491DC5C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5CAD9-D2ED-4134-AC50-DABBBFD8916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AEA98-878F-494A-8B86-FF7F3F33BC8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D5BE5-EFEA-4FB6-8CB1-E4C061B6D8E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040E37-CD62-44D5-8B75-8F659BCD099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C516D6-7C26-4266-85E6-CBB4C7433B3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44677-A227-465E-BD67-8B5047241C0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4CFB8-470A-4841-B54A-D31D7F77E85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A4A97F-065B-4D54-85E2-BDDF5085AC5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7C10D7-21D8-4466-9573-091E56B1D21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4ADEC-1B2A-4AE3-BFBA-47690C31B6B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F104D-04AD-4E5C-BEE0-8DC7CC4AF6E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1ECFF-E965-45D3-82B1-2320A9CC129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12D142-D771-489D-B64E-20D38BCD65E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74613-C615-468A-BC24-CF6C83101A87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16DF6-2B94-4EE9-A041-8F95DDE615E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47700-892B-4DCE-B363-5E7A29D6B09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70F4FD-56BA-4B58-832B-2D2937D7176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0B99FC-3BAA-4492-BB0C-3A19E78A777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C1607-BEFD-48D8-BDFC-B9094345912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430EE9-D2E9-4B2D-9123-244261977983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5C72CE-090C-4EC8-ADDD-7A1CB34B98E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D08D86-CFDE-470A-BEA4-4A9F1C5ED5F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6A0F4-DC2B-48AD-978E-605CE3620DD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F84963-5919-4BB0-8C86-3CE05F2DDC6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E00AC3-DB01-4568-8069-E4CCFBFAA11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65516-F432-405D-B9DD-DF6EA906500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54443-A282-4DBE-B51A-5CF91719559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6BF6B-1549-4D90-A712-AD40DFDEE40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8CBB24-6FD7-4312-A0C0-7A2E4418FE1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4A4C2-5D8D-4C64-9AB9-15355AE0E49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E27C6-F697-4B86-9331-FCEACC2D0CA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C9850-CD01-422F-A31E-B4C6A7AFEC2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D64F1-E250-4D81-AE43-4774202BD13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331AC2-6A03-41DE-BBF0-91C037341DD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B08A8-B525-43A9-82DD-72A2E30BE9B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02C406-FE3D-4940-B3D7-48581736297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287C5-2A9C-4561-94B1-B96F1A25FB0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E6147-BF40-4BC5-9EBF-3EF58AA9960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BCA875-853F-4378-9FCC-F75CE124D0D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3B473-3284-45C1-9FF2-05E57126221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E75D5-49EE-4479-90A2-1AD57FB7ED5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95CAB-54D4-43EC-9A89-9EBF9E605EF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71F82B-A86F-49AC-B78B-07D83ECC6807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71DCC-3898-47FE-95FE-69FEE85967E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BCB01-1C96-44C8-9DCB-7B400385875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04DAF-6688-409E-82C0-D25AD8E9430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C3967-4521-4FD7-AAEC-4C7F219C96E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EB7CE-BEA2-4EB2-9AD0-E5D6831B7A6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A3617-0B08-4D3C-A0C7-798C38C088E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A5908-25D6-492A-9971-02F08C32B7F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5E6C7-E72D-484D-9A73-1886D668A2B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48A87-73AA-480D-AB55-609F2A717623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F3D58F-2E81-48BD-8604-9889659B2E0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10B0F-7D63-46F6-9A3D-FAC615646DC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25E9CE-9B12-4589-A143-5E65E9D2B6F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73F14-492A-46F8-99B1-39EBB9B026C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64AB6-BF02-4865-8DFD-120CB1641D3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38285-AF28-442F-A423-053F7B6919E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0F90B-5A48-4050-9A61-C6339CFF0F47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8E8A78-1B4A-4821-8389-FBCDC5F2295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2D888-1E70-45D8-885A-4A9E1113513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A66BA-99DD-412B-AACB-299162C3702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6877BC-8431-4F9F-992F-8E75ECBD8CD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142A7-C968-419A-94E6-9B9ECCAC718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BE6B4-7681-47CC-9789-66E4B0F2C76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F3354-C56D-4B62-BB02-0414BFFBECB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3BAD8-C9A3-4267-842B-E0DDB04A8A3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D5FE9-471A-41E8-BB58-ACCF69AF135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FDEDAD-3947-4DED-84E9-26FC5794D0D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CA822E-0378-43AB-9A41-4E102C00938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B8000-7E26-4783-AD85-AF8F973FB5A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347034-67D5-4AD9-8D01-4C73DB38625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7E7D5-1770-4233-AC18-1F5C0D7D906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E8AEFF-6454-45DB-96D6-F42A292BBEB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66C18-E10A-4B79-A37A-EFE13BAB795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B35A50-11CC-4DA8-912D-A2073DB57F9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948FDF-ECD6-4C58-A0F7-8C029320F67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D15F2-C616-4609-8027-0F601E65FD8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4BEF92-1DEC-48B9-A095-FC0C94E2A34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8C0584-317A-459E-B6A3-8047DEDE932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E8F060-ADC1-4F47-9CF3-372A6BBC94F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2D17E3-3C25-4D6F-A856-FE66139C4BB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085A50-4370-44F0-8359-5F2D111955B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F1E120-B65D-4565-8231-0769CB861B2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936C2-73E1-458F-B09F-0D4359DBB91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4748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145948</xdr:colOff>
      <xdr:row>6</xdr:row>
      <xdr:rowOff>99860</xdr:rowOff>
    </xdr:from>
    <xdr:ext cx="304800" cy="304800"/>
    <xdr:sp macro="" textlink="">
      <xdr:nvSpPr>
        <xdr:cNvPr id="5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6198E-3AB7-4B2B-87B1-0D2E74862311}"/>
            </a:ext>
          </a:extLst>
        </xdr:cNvPr>
        <xdr:cNvSpPr>
          <a:spLocks noChangeAspect="1" noChangeArrowheads="1"/>
        </xdr:cNvSpPr>
      </xdr:nvSpPr>
      <xdr:spPr bwMode="auto">
        <a:xfrm>
          <a:off x="13242823" y="13826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FF2D2-DFB2-4509-AA73-C4751D28393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33B7A-1188-400B-A63D-14735E60956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4C7120-281C-449A-9683-4C5D1D40CB4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6BDC2-D5EE-4C5A-B2B4-69BCCA59C8B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0ADC10-2CF1-4C44-AFB0-60BAA3969F9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2FF47-5DAD-414D-96DE-026DC8EFF78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39F0D1-2876-4010-A10C-D04ECCCA7BA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6A9348-9BFD-400A-A2DC-62A20A79E7C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E2DDC-3F30-42BF-A180-E792D355F1C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3E490-6748-4402-8F2C-664BE38D460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7B5CE-CEB3-40DF-BA75-1CE1EDE78FA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46B26-B472-4A2F-9AB6-51E06223E91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BCAE6-89A6-4FB7-B274-441354858B8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28740-FD18-49D5-8CDF-6037B55FE00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96915-98D4-49BF-929E-4075D04AE8A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C090C-91D5-4E73-8087-26AE5F47A27B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8B18E1-43CE-4288-96C2-15E3A0E0066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6A919B-140E-41B6-A512-9EFBF8F0126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D5EAF-09AB-4684-AD64-F90DA2D85F73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AD908-E31F-418F-821F-278FFD7C6232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FB706-85C2-4CD5-91B8-372A57F9E30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6AB7E-973E-4166-B62F-F6215060933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71C91-F8AF-4163-A987-3892DB5C6F1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FA471-53CE-45A4-B4FB-92950A6A406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ABC8C-3009-42C7-A7E3-FED4386E7AB4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0F6AEE-FAA8-45F7-934F-E1FDA72034D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12A82E-BEA1-4F35-8648-BD6D2932B167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3788FA-7DBD-4D00-AB02-FB4C2314B507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96E1F-DCE3-4093-97A0-6A74B937F48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957062-0E37-4ACF-8ED5-B28A56CD258C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93B512-6C1E-4C22-AD62-EB0790A5338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B6B03-38A2-447F-98FA-788E602CCBA1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05546-26B2-49E4-B23B-118B0017068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3E9949-FB8C-4E73-9E51-C75853D2C95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83AC28-A916-40CF-8BE4-4DFA46772CD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811D24-C9E6-4407-A152-CA294F25DF1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F6673-EA95-49B1-8ED7-A48C5C75254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56E14-09DC-4375-A48B-7465D15F2E35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1D13F-453F-48F1-8D4C-8FF41CDEB789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ABC1A-D38B-432A-8187-6833934FF07F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256CF-1F47-4E05-A099-D8FDC085370E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B5312-D9D9-4E0F-9997-29E29E20499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53A408-9359-44DF-A3DA-74AAF2D8281A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A4A76F-BC97-486C-BFA3-4EC4D290A06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FEC8F1-523D-42F3-8412-73C5C696E858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74B18-EF70-4616-B1BF-07CCE21D20A6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E27FB-F0B0-4C77-862E-BC22B5BF9A47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5B2FFB-BEDB-414A-B14E-AFD9BE445010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A6F2AC-52C4-4295-B6AC-A77D9E0B7103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9601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7FA60-A042-4220-B339-4704E316377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6091F-5647-4CCE-A9AD-377D5E4DEB6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EA448-BFC1-44FA-BE13-B7386A7F7B9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FD71F-A782-4A36-8B28-CA3D56B5F4D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1C3B31-1B97-412F-B053-2DA6EF38167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8C3E8-8095-4AC9-8738-8D76DE46ACE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92BEFF-D5FA-4212-8C51-2C2E6E38DA2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F8851C-ECE0-464F-B456-C75EF6050B6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B50366-2C11-46D1-A8FD-A128F557C80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28B87-BB02-4955-A7C0-09B080A10DD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83BDC-66BA-4635-8099-5DDCB51022D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39C76C-06DF-4E87-8D8B-83E5F15D0BE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8FA8F-A4A2-4F1B-A6E5-5DF871F2995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5B7E6C-92C9-4612-B8DB-E3DA730FCB8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F70F6-7520-4594-8100-732B6D83C3B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6D935-D861-498A-9A96-57EC6178852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BF8F6-63CF-4A81-B53F-6E78D18CD3C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D5947C-E392-4E01-843B-3AEDE6EFC1C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AE4F4-E67F-437C-9AB5-5FD05575AB7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AE35A-D17B-48C8-BC00-207B7E4CD70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F5AEF-04E0-440F-AE65-CFC4467B46F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BF48D8-7811-4F55-8F0F-147AAFB6107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467AB-33BD-42B2-915A-5E94DFD6086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4687F-281B-46B4-88F1-25AD1B44CB6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4BA04-B46F-424B-96A4-41747AED953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4A30C-DEC5-4368-BFBF-729E3E4AB2E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9D29A-544C-4512-A30A-90637A9495E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FB15C5-672F-426C-AEB5-675C436F6BC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8EFD3-36A2-4C56-ACAA-A90D76B9BF1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3B361-F498-4E35-BC38-F1D13B5ACD3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D302B-3726-4966-B2DF-5D51387DA5F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7BB22-F6EB-40A2-9B16-884D39C98D5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2EFCF-845D-4E00-8E5A-31B0B526463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3EA21-08A6-40E8-B5C0-D26AA3E6C51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D4ED41-D832-4C51-95BE-F69F4EB53AC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AD5C85-383C-4D6F-81A7-9119D0B8542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2BEB4B-4968-46AE-AAE7-DAA5001C635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23146-7C78-4A00-9C27-02FFADCC4AE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9BACD6-BD74-4DB4-B310-18F73E6E3AD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BA90A4-AD40-4853-BFA6-2808486C250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2393CB-05A2-49F3-8748-C175D3CD0F7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03829F-6AFF-468E-9D7E-91DA8856033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FCD3E8-821D-410C-82D0-91A95A49DF9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8EF76-0032-4C84-BFED-F06479366B5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2C3A4E-A768-4D24-AFDD-E7662D4ED1E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3AA5D-250C-4D51-BEF0-7BF46A9A348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AE46D-CDCB-4F48-8B21-1EF91132B87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BF33F-9660-4FBF-A54B-5A13A5BC4B4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16FCC9-5427-44BB-AE18-5694DDFC88C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A8BF36-90C1-4913-A4D7-A271BB6318D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74423-4FCA-4350-8CFB-42C3A70FE58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755A5-8BEB-47AC-8E3B-E92205EA025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6CCCD-23B4-4662-9D9B-9F823B0647E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1E76F-71D0-4977-9492-9AFB005D1DC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70D80-6697-4FB5-8468-D98DC345D8F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BC5F6-8A18-4A66-BC19-7155ED448EF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152224-679A-4CC4-93C8-58A406F985C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2D958-E046-4A35-834D-356FC9F10B8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0D62E-C9BB-471D-8C25-34A8E1D51BB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B6A04-F668-42E0-A9A1-1D2A39A4524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50C1C-0B4C-464A-ADEA-C7CB2FA51C53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CD956-B099-4A23-A07E-1BCCBCE7DAB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213C3-7AAA-40F8-9B72-C549827607A3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F2D281-AF62-478E-9B47-9A46497FF00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9A98A-F89C-4EC1-AFA6-6D4F4FA52F8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C65AD-E9F3-4206-BD4E-3CAAA6CD9D0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C01AE-D9CA-47C8-A5FF-07FFA73BA67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ECD51-FF34-4CCD-BFE8-71D33F1DE84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945CAD-8B59-477C-A0A1-7BD0FF1D5C6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CADCC-388F-4882-B475-D7C6A563DFE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C67DE0-0132-49D0-82E8-425732C2B42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76A537-6EF4-45B9-A9C3-7196F00CDB4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90703B-DD9B-45D0-86EE-EE8BF602135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79F2C-24BC-437C-BFFE-9013F0DF7B3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76AFC-2559-434C-B4B4-6CB4C0FB4A1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7E547-8241-47CF-89BD-63737E84A443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D89422-64CD-493E-BE25-7E5FC277B30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56C3F-7603-4277-B613-5D8BB22557C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FF167-98F4-4634-B74E-3620A50580C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C72E29-F76F-4716-8369-9E8D8542953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4E8927-1C9A-4FC0-A25E-99DA06E9A09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3497FD-3882-49F0-B832-87B01525216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54D600-EEC5-49C3-81B5-F5BBEF2DDE9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885C53-D0F2-4E82-9AF4-23D4D5D1824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F8304F-C53B-4D0E-A192-092601FFC74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5A9D1-B3DA-443F-B242-2C1619B98F6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E3DCB-8CB7-4F90-96CE-144495A9759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61CFF6-0020-4A90-8EA4-8C3633D3053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A0F70-3BA1-44F4-9DD9-ED273B52F4B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0FD87D-A1EC-4E73-B717-280075ACA3F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63387-8627-46F0-856F-5B71079D976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DFB54-553E-4167-97D2-2B9A3071C93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0BF01-5E5C-4059-B490-FD1857ADB60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7113D-0D7F-4964-9FC7-2A880CF0A1D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3CA2FD-C2BB-4F81-BF75-8EDB7450136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B8997-09C6-4429-AE8C-3144C161E60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C8FF8-14ED-4ED0-994C-1EC27AC37ED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4FB4C0-70B0-4CDB-A044-E875D3EF51A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0EE3D-C7E9-49BA-BC98-A016D2BA942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1742B3-9805-4490-8138-0E7A3C21364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3FB18-A072-4EB4-94A2-66B156E8CE3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725845-0E55-44FF-BCAC-2FB5D3C3A89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ABFF2-6FDC-44EE-ADDF-B08474B0581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DCBF7B-42ED-4BFB-A47E-698EA670CB6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FE2419-928C-491B-A44C-7E585FC0101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221AA-5C75-4C02-882B-730B89A03B3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E521CC-51D9-43D7-A939-2D9AB4CF9F0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EBC5D-AC7B-4202-A5B0-03EF166F807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BCA3F-01E9-414B-A883-A8F4C4127B3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35E6F-EF1D-45BC-A292-A991A767D96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B8B9C-3466-4F76-9AA4-A6D36CC7C15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24AAE4-5AE8-4119-896D-DB0E84AE664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1BC991-D1E3-4EB1-9DC3-23CC19F6ACB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BA0EC-9981-4AB4-97C6-20FE690E445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24CB1-1625-4B31-8B56-2646A8461EA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0C961-CF75-45BE-9D18-E3FA338887B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D83527-4A60-46A0-A416-F219F0669963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07028-CE9B-4D83-81B3-B07AF320A49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5C8A7-480B-4469-A486-E1874D32672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20FE0B-96C6-4A8B-ADFD-3F7E9C1D2FA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6BF83B-0287-435D-97FE-ADA041C6111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FD9073-CCC2-446B-BBD9-9C9D28D59D6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D0705E-AF25-4675-9A05-13FCB211CE2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D12938-13E3-45FA-89D7-02DDF83436C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40C23-F4DF-4B22-A4D9-DAF80D50CD7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6F05A-4FE1-4D42-8342-514CDB925C4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9A706-1BFB-4911-984E-A3B01DED352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EAFCCF-EA78-497F-83CD-55433ABAC7D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B4AF8-D117-4CC6-A601-F051CE81EC6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75E12-04F5-4651-92AB-37FE66AB002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B71EC-BB42-4F65-AD9C-FC6818D4812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8F23EC-D6DA-4A77-859C-98DBC9233DE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479DD6-D927-47C0-9E47-537C351F1CF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8C87A6-F8F5-4C82-9007-D55BB9E4AC1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651FA-D95F-4302-8253-7723C09CD40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6185C8-A682-4D47-8B92-355668FB85E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6ADD1-FE8B-486F-9037-E998D840E03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7B8852-5304-49DE-BFB2-A225DAE4378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C9512A-7A61-484E-B0DB-977EF3DE669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E06E6-6B37-4D0F-A2D7-402C5A29194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313F44-552F-436E-B0B7-41E8DA1CD6E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4B3CF4-2626-403C-AB76-890CCE3C09E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2CD899-2A65-421E-B726-97307E505DD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878FC0-230D-41C9-9D09-013C4F7E894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91DD9-065F-477A-8FC1-9A0C253C547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D3132-6187-4CDA-86F9-FB60061D351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733D38-B5B2-4B06-8D5D-7A8C8C143FF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53030C-DF0E-441A-A921-5231353C506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C9A97-45F1-417E-85F1-919554DF065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0203C0-F48B-4B30-A1B4-54E89A1AB12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F1F6D-CB35-45AA-BB02-1CEB37772F8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3B1F04-26E5-4B9C-80C3-F6F4CE440CC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CB9B1E-3F86-4D82-A721-D5618B868FB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4F0D5-8E77-4619-ABD8-348A8DC7C45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8A68B-240E-4046-9790-2E2F27785D1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8AFAF7-29CB-4BF9-8FAA-D1F248D7DAA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6D60DD-CB4A-488C-B6D3-F50F6909EBA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07F4A-9CA7-4D15-B8EE-ACAD439A3EE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5C185-AD52-4200-8284-EA0E7F7BE91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3BD6C-7AAC-4811-AE6C-73F978E2378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04205-F811-4EC8-95DB-C33BBE48549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26D91-E7F1-443D-8DA3-47EB765AB0A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C1503-C028-4D2D-A89A-F2A9D1A737A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5837D-8718-4CDF-BFED-EAA03BB1078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C5A98-1E53-4E92-A625-DA42B18D27C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2A771-6D6E-4AD8-A9F0-FF5D3AA64EC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8284B-BBC4-48A4-93B2-495E0A6863D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F260BC-A216-47D1-A3CB-71AC6CCDDE3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4E09C0-ACD9-47BC-B671-489317E5FE4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48BE8-6C6D-4EE4-925A-1A3920849DA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BF1513-30A5-4C72-8FC8-43E8080D161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B6234-559F-49E9-9BA0-B538F4B3442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EC2CA-8A97-4618-ADC2-396216F2758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7CD237-38B8-4712-B382-B188D2222A7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7AD58-F89D-45FF-9568-0BEC8C75329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2E2486-592E-4230-89F4-B12C6C23163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8BB94-8B58-42B8-84A5-85A4E0CFE29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8BFB8-97EB-4834-B193-B6590DA37F2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24FA39-999F-46EC-87EC-D7FC11A192E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40AE6-27DF-4F53-A431-28CB8B79B913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426B7-1CD8-44D4-9885-0764A677997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5E73BA-83F1-4BE9-A83B-21AE8259536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5FE68-9588-4087-9305-3FAC6079449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0A444-96A5-41CF-895F-43FC58150B5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DD0D9-283B-45F6-AB48-B80DBB72563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AE798-11C8-4D71-A378-9BD38294221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C5B1B-0DCF-49DD-A8D8-AA325303D62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0B2857-71DA-4F04-A80F-C5811E55045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E9D57E-A6DD-46EF-A1B9-D22C972205E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62DE6-9661-4394-964F-16A8B7DDAFB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02827-53B5-421D-A136-EF2FB01437E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75DFB-72CD-4434-ADF4-B5159042E73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77E1F-D2CC-4810-8702-EE640CB6483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A48A2-117C-450E-8359-DA28CC556E6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BDEF5-E884-4F57-BE22-BCD64C3D626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9BA86-70FA-4332-BEE7-594FC44A2B6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2B4324-E96F-4CE6-9480-8567F9CBAEB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71CB9-BF4C-4234-BC8D-3469E827A02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8248D-5074-4DDC-96A9-7566CB8BA04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93629-E8E7-4E70-A1E0-90DA0C4651C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AB168C-2397-400F-A477-0A3ED32F4F9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A4952C-54A6-443A-8A01-BE96164DDBC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1F771-FF12-426F-ADE9-14680BFD8B4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DD9D4E-F36F-43C2-9065-E36C21B420D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5523A1-82EC-4451-9934-7594C4AC629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BA6461-57FF-4000-8467-EC3F6B64156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472B8-92C5-4309-BEA5-E297CA145A2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CD1D9-C1C9-4D86-923B-1E5D8760D6B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D6D62B-1BE6-4C12-9FC2-D84907DA6FC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ED71D-0EAA-4834-A21F-B4B6C917990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A9D80-16E0-44A3-9860-DA0651DF561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6FFD4-DD70-45FD-AC77-2A2B3C9FCA53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1EC3F7-F94B-4B78-AC52-006B16D57CD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FB1921-7809-4F36-AB29-213E28BD5A3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C912C-EB7C-41CC-9EBD-8EC16284778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E32805-829E-42BD-82E4-CB47BD7EE0C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6C8CD8-0795-4CB7-B487-AC6A5DCD00E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4C49D-1B42-4F4A-AE03-AFAB1A80E9C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52501-08C1-43A3-8A37-0D6B44F3640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FB761-73ED-4166-B52D-AFB9E70FE64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26549-1904-48EF-B795-65BC958395A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0DB19C-B9A1-422F-BFF2-0D4C0ED50CF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4D6F8-89A6-419C-9F74-9A95F6FC946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C90BE7-7E18-4DCB-97C1-9A9E499A57DE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FD7203-2766-4637-BA94-0852E402001F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CEDD1-309B-4809-BE5D-8A5CD74F20B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83746-B94F-4E1B-A40B-F1BEF5F331F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AF938-2918-4B9D-A11B-9A97B3D1207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666B2-3192-4FA0-9ACE-548AB501F25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EFE87-C877-4D34-95CF-B978D60C0286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3A793-6617-4BB1-A401-DA158738D3E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737D8-A5C3-428C-81DF-3D48F3D1FCF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F48EDC-E937-40FD-BC66-A3129AF9784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8160F-FB99-49B8-9F57-8ADDDFD636F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683670-6CD4-4402-B463-5EA342AA3AF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3330E-BF4F-4BA6-967D-60180652E86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17294-E23C-4B03-AB8D-03F0EB3B8FD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A295D-E4ED-4DBF-AFCD-932240D35DE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023BE-AD2E-4B97-828A-AC735AB5C49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ADCB7D-A47E-4D10-AC66-D056381ECF1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40E91-0FFE-408F-8B67-B82752F39CE5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D0DE34-CAC4-4FE4-B70B-7837E08901D8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68FC75-5CF6-4814-B059-925BE5F586E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05DD69-4730-4201-97AF-DAFF109DAEF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4CEA7-A250-4571-9DBC-B5684E1F096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0EA0C-5B4D-4187-BE75-A408256AA437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2128D-2136-427C-96B2-2326705A15E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40ECA-A5BA-469F-97F9-B0915437487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385F3-65FF-4E9A-A538-29359678BD9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11FB32-C6AE-40A6-A049-2AE0AD6DE55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6523E-0245-4E27-BA1E-A8949E849C3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FD76B-715C-402B-9813-DA656B49A49A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05301-0B5F-4CD8-BC6C-6F767B6B36CC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D13FC-BAB6-49F8-9AA6-DBD2E317EA30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9E6F6-F356-4885-B178-35D214662321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9664BE-93E7-48F3-9B11-FDA135CD6B3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48E3C-EE9D-4C64-94EF-D501ADFE19AB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437B0-E9DE-463C-B289-9B52E71EF82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8CEE63-D043-4B8A-991F-2065723B52FD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E8AFC-A2BE-4E27-8FC8-952E9CE1CC33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B650C9-1FF2-4419-888B-2B4949408132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6BBD0-8CFE-4793-B210-9E50488EE414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4A1C4-3D3B-40D9-807B-41DA51FDD059}"/>
            </a:ext>
          </a:extLst>
        </xdr:cNvPr>
        <xdr:cNvSpPr>
          <a:spLocks noChangeAspect="1" noChangeArrowheads="1"/>
        </xdr:cNvSpPr>
      </xdr:nvSpPr>
      <xdr:spPr bwMode="auto">
        <a:xfrm>
          <a:off x="16202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0644B2-ECA0-42BE-BBC8-713661F6474C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670449-39AB-4892-99A8-A12A1484A771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AA6BA2-4D40-4CC7-8B29-23D47337A522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11010-1FF4-4D56-B738-11F6D5EEBB84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D0973-0239-401A-BA39-02213CD3D559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D5CF4F-AEA9-4D4A-AEBF-10C8120567E8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6D5B8A-7F61-4879-AE94-64A36642454F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BB146-F463-4CFB-AB85-EAF692400A2D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9F56D-8376-445E-B425-B27DA46EE22C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A78FE-DECE-4FE1-9902-3C9119E4F80A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BCB15-3DFC-47E6-9BC3-2FE7A13AF6B1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B0835F-9889-4203-A7F6-FE018D0B9234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EF65F-6039-4BDF-BB9F-54242C70B90C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35613-C008-4BDD-935C-0B29DF7CD78C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4CCED-DEEE-40C4-8DB9-9F27D1C3FC2D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12DAC-78C7-4626-9A62-DC7CAB8911D0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A5BF1-9352-4752-AF59-843770F07F63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35D83-45EA-4AA4-B4B7-1B247CF24A61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3D3746-86EC-4F77-A187-CC920D409CCF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8E0A14-664E-4F5C-A6BC-9C6CB0BDA23F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C8566-E091-417C-9251-012650FD8091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0C6BF1-E289-4031-8662-EDCF3AC67BC3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E3C1D-0953-4BBC-B05F-573B52FB410C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F6DC9-D569-4D49-AF4C-F4A0760C9828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EE0F30-BEA7-42D0-A7ED-AE14C6D712DA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6AA40-93B0-4E7E-9B71-6DE9F3D93D65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7B33A-6E74-4BB2-B8F3-DA1D29C6AFD1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984BF-9811-4E8A-AB48-3117CE41159B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50AE37-6F94-486B-982E-68A35CBBA2C3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195050-02C8-4DCC-A6FD-7A037B96C448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466EC-3E2C-49C9-B36D-F0923490275D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51BB7-DEF4-4D4B-B85A-FD0841D241E7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D77BA-96AD-488B-B38B-92AEBDD53A91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FB2EA-CE4E-490D-900F-E6E3E36D6978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F6074D-E792-4F31-96AF-46EB2B02231B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5423D-92CB-4DE1-8E23-F5F4D062A256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F4196-6EA7-408F-957D-948B816F0C9C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C9D62-7349-47D6-AB23-D579832E7551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E92BA4-1FB6-456A-B531-9CF6EE81685F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23C41-EC5A-46B0-AAFA-1CA091DA23EE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3C7CE-15ED-49CB-9C22-5FE48D1FDF0E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27DCD-F8B7-412C-A425-8AD7D0DA3090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DD764-4A72-47B6-9DA5-17800BF33DE3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9A27AA-2330-4E78-A450-4FCAED20F0AC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95AE9E-5ED9-419B-A2D2-07D758AD3B47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61483-16FA-4F19-93A9-580E02C5C0E5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105E4D-A235-4965-9651-16EE538D4B69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FDD78-721E-48B2-94CE-035EF0EA2C5D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9428A-3CFA-457C-BFA5-EBCFBC5BF0AE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3A7B2-8C4A-4BFB-BD57-3BEC0121E5A7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2D5F5E-58DE-4B4B-8AC8-6D7062112C60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FD4CD-FE73-4BDD-BFD3-7DAAD115B98A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F01ACD-3E86-44D6-9267-7788D2D70030}"/>
            </a:ext>
          </a:extLst>
        </xdr:cNvPr>
        <xdr:cNvSpPr>
          <a:spLocks noChangeAspect="1" noChangeArrowheads="1"/>
        </xdr:cNvSpPr>
      </xdr:nvSpPr>
      <xdr:spPr bwMode="auto">
        <a:xfrm>
          <a:off x="17833731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371909-9374-4AC2-914E-EFD4FB904141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20FB9-76BA-4AB7-AEC5-0D3E761DAA6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121376-7E26-4AD5-AC5E-A6D30BE81CA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A9887-4B8A-4502-A5B0-B7CAF36F20B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54BD60-CA84-438F-B5BD-73C1509CAF4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81A12-EFC9-4BA2-B71F-6C5AA44389E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BB694B-F62D-4760-9B0C-A49F0E94A78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723451-B2F5-4C7C-8EF2-B5CA69BC958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055BAA-B410-4549-BF91-0AF236B09DC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4E7D96-33DF-4903-88B7-F060FA32CBC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1B5D0-1CBC-4EB7-987B-A95769D630D8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BB06F9-5645-4F17-B7B9-B7C2646A7BF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3EEAB7-DF52-4565-84C0-8E973080D53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4A7281-A53B-440A-9ECA-21838976241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681C5D-D3E8-4E42-A84F-77FCF556ABE1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191183-6CD2-48C3-92E4-7562C34C043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C7AF2-598A-477B-AE28-A54A4FB36C0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C2C97-E756-404F-BFEB-435C53AEEE6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B2E88-08F6-4667-AAAF-D4B6D7778D0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B1E5E-8699-4921-A931-09259E57EC0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D37BE-49A0-4B21-849F-3F44ED666AF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AA446-6386-4087-8918-21C8F3610FE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07FDA-FE01-44DB-B067-598141D3B19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4E774-B03E-4E8C-9F9F-F647F3155A9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7F3DB-C184-46DC-AAE7-C385BCF5791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08209-67CB-4A77-8EED-24C0F1C0EC9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FC65A6-697B-4531-83BA-A7F603D9ACF7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A001FC-D9D8-43AF-8F15-8389FC56B82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066F1-2146-4BB4-A426-1473C1F6145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69729-1C0B-4159-AB1A-F2F3411CC65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9070E-4A60-44B0-9B86-171272678E8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EE704-C8E2-4CB7-B376-62E0030EEB1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F31A56-EF4E-4DCF-BE6E-1F8EDFB1951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D5A4D-C8BE-44D4-B6F9-85843715651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ABC8A-41A3-4B26-AC2B-5876C155D5E7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BFEC8-A56F-4955-861E-93DB03EFFAC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DAFF94-ACD1-4C49-982E-2AE4F37D8B4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BABF1-8F71-4ECD-BBD2-4A5BA91318B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1EC15-4B18-4F62-A752-A597E691F9C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98FB16-BC04-4EAF-BFBD-B3FCE790D9B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E361D-4CF0-49DE-B329-E5CF6BC8B27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721FF-4A89-4E93-9534-197E3E7472D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2B0D0-B193-42F1-9CE7-A2FED5C5AF8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6EC7A-961C-4E28-B1CF-2EC3E9460208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D72397-677D-42E4-AD9C-79F6736CC0F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92758-FF05-4E8B-BCEA-2B7C1707983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99DB6-E895-426F-B1FE-A491286C173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E19C0-5DE5-4E71-80A0-5D53F7EAD8A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0D9169-B465-498A-BEE9-14483C16D86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A6821-930F-400D-BD77-40C56A03303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2523E-4FD7-4478-811E-980B97EFD22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34521-0259-4A97-B7F6-3F808A34CC3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EF09E-5C17-454C-B432-95A35B45AEE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B4B9FA-810C-4692-8570-78713E0C4171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1A911-04B8-44DC-8599-C660D19B118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0926C-17E7-4117-A364-89BA0D1D9AD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21727-C3A6-4CB4-B3A5-CDE8EF726F2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58664-C14A-4569-B337-D704EC9C36D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2A472-6B6B-4BF1-8ED1-D1D3CFD98CB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D925A-7E61-40A2-B5FB-1B5CA4730C9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96B234-0238-41EB-B755-50A5756428B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5ECC6-463C-4446-825E-755691B1651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A1B0E0-DBF6-4BE7-BB7C-C735667BB32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720FE6-FEAF-4FF6-B1CD-DFAD12A3148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89C5E-8803-4AB2-ACCB-0BAB56CC4DC8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7EDE3E-2A79-4191-AAF7-8D1196B5253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51BA11-268D-4D50-8701-B3E58883D0D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5D8A17-6E53-46BE-8A78-C5785E70B09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5FDCC-89B2-479F-A837-375385D8224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8537E-9C1A-4A2B-A288-CFE385466C5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BBEACF-BF1E-4901-97AD-3237029162C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7F08D-EB64-4313-8B95-72E79D4521F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E11C1-FB91-4B5D-BE84-7A215B6B98E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AF7D9-D744-450D-8F95-B1275158CB7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C82DC-B1DB-4714-AB2E-822D07F55BE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5B16ED-94A1-4706-B6CF-E34B52ECF7B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34E474-90B8-4980-9308-8447F6F77B1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00DA0-44ED-497B-BC63-67AEB726295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2E6211-B69E-4EBB-8799-5942CE93EFA1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B44C37-528F-4C33-B272-831407B9E05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8E59C-D017-4B99-AEAD-B289092399F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39612-891C-4BEB-879C-FFC24E6642C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FDC5E-1B13-46E6-968B-E9286D14499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8941C-4082-4FB9-829B-411CC3C72237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A31269-DA47-415E-B9D7-CC513F9EEA9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90CCC-E66A-436D-BF30-AF6EA412015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A7230-04AC-4751-8EE6-A32AF4FBC67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6334C-00E7-4C91-8855-362F682400A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F6BE71-23C9-48CB-9547-76A33B17A3A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22E440-0C09-439A-8278-CAF275ADD5A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B2CD3-11D2-441A-816D-771FA80D089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48D363-70B9-4AC3-A766-2574491285B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7DD60-4368-4C3F-8728-AFE806A9447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F20431-E33E-4435-8D32-CD4DCA9289C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5BB14C-F1FE-4C43-AC15-01881602BD7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F2B3BD-B359-41CB-B95A-57D9D4810F2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D6BA64-C750-414E-AA11-C2AE9089484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2105E3-48F0-4605-A78F-5124929E15B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2646A-87BA-4182-8926-2AB8925976A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1BB5C-5238-4F14-A150-CC3D866A45F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C9935-29E3-4838-9FC1-C8CE01441A5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F0225-6B57-4E68-9F1D-18B34E6D43C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E39089-3123-491A-B59B-D9FD4696132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2EA831-3C2A-4D26-B4D8-3DDC4E4B9F3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8A9C6-6194-4ED7-A224-7BB6214FACB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0430F-B1AB-4892-BD24-ED95CFC0AFA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62E3BA-4050-4696-91A1-73FE9FC33A8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68D345-3A0F-46C9-8BEA-8EAFC1A869B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FE6C0-93DD-4B4E-B0EB-DBE8538A1A0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B0D22-F23D-4B93-817A-6698040E4258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B8802-0E11-4D4C-92A2-7F8A9657AAF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E503DA-6B09-464F-BA12-FF7A3FFAC9D1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DB3B1-FC22-4194-A648-4D68A435F55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7B189-0FB2-47BA-B507-23BA3288D2E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C1DEC-41F1-44BE-8391-F50F1FEB8B17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A8E4F-6E6C-4A5E-986A-938837AACA3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5931A8-B3EC-4F18-9EFC-33A098A24C1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ECCC5-3B73-431B-8A62-1725424908A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6276E9-3482-4FBB-8173-CBD809A5318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C21987-CF33-414C-B154-E06CFCD3198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EB2DCA-A1A3-4048-B3F4-469354827AB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AF2C1-C2FE-4BB3-A95F-E5CC717966E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87E645-5057-444D-AA3F-37EA20D139D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4A324-E398-4D23-841D-1D52CED0508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2DC18-517C-47AB-AE62-C95C20C2321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CCBD06-D2E6-4B02-983B-235F8931240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184E5-E226-4813-8F2C-0D34DC8BDDE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D78F2A-374C-4006-BADE-34A8D2DE4D9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F2113-4038-4A86-950D-C7D17C6A432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AF06D-4A6F-4C79-AF09-B60C2083E2D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77D9F8-F105-4341-A7CF-2F9925597C4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AD03D0-7C69-4A91-911D-18A8691B23C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13691-6D1F-4450-8F29-F0A705BE97B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1C262-B132-4D46-ABDE-34AD1A480D3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E4004-68ED-4E76-947B-BC0C92C3DB9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1123A3-1D09-4520-A96B-08DDF90B1EE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622C80-B4DF-4968-B528-A9654C4DC061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66487A-2D7A-4675-80AA-8FC4703262C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03203-6BFC-44F6-BEFD-8D854123DEC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A8F27-AE9B-4E78-8E36-469D5724B0B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87C395-303D-4E3E-86BF-C5C52E3D14A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57030-2FC2-45A2-8006-411E0DD315A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3CC762-C0AF-4E5D-8A93-04C4E9FDEB6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2BB4F9-5E68-4961-A3A0-52EA903E6C1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376CC-C885-4A9F-B133-1DBC77A450A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E08DB-8BC3-4079-9444-0565D61AF31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E315B-38AC-4E1B-B9B5-FE71BA5BA51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918EF-87F5-4EF4-A68D-89EDDF5FEA1B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C2CEC-E727-4126-8B6D-3AF94F259D3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0E127-C10F-415D-9DF1-12458F6870E8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A3DF2B-A5C6-4653-94E7-D356DC959BB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0D0ED3-A53A-4473-94C4-910DEC7D3E3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2C1D2-B8E9-4885-8D5E-D14E5600EB3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35AA23-3177-4822-A44C-3F37BC834A1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2B9D5-571C-4F7A-A11C-2662E05D5DD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14653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E2558A-5904-426D-810D-6AE1E83C40E1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5071B-2AA7-4922-B92B-E88887C1550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14B059-2325-4028-81BB-BC4360768B1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AF359-38E4-49D9-87D2-1A23ED40D278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46D30-F12D-4D51-B352-089778E4F72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ACBD8-CF6D-438B-8914-CDDBA8A3B9D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F0B309-B3C5-46A3-9759-D20349EFC00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F3D7E2-9A51-4A80-B132-7012CD538B2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58BCEB-000F-42AD-A3DC-02F6DE122837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5D87B1-7A99-42EE-B77C-BBF66A09F4E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2FDB10-849A-4040-8A82-EB0355E2A33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BA4D03-55EE-4CAF-851E-03E1C9DBCF7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74666-0778-4BDD-BFB4-0B4AA119632C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3AF3D-837F-42BE-8223-040970747F7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FAB9A-8168-4302-80F1-9EFD2B08E62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CA648-7DFF-4551-903A-79FC072AA571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E8F33-5C04-4054-B3EC-7335BCC9B77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A393F-86C8-4E5D-B12F-96756EEB0E7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91E3FC-62E4-4031-A037-488CD896EC08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895F1-5460-434B-B251-B703316DAEE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0030B-DDC0-4F6F-917B-7892359DC66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BF0BB-85C7-4DCE-888E-EAA53649AA5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84845-25C3-4A89-832F-55B272297428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1BD83-5ACB-4EE7-942A-C21FD893B33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0A9D2-663C-493E-B3AB-006B92B6927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26A980-B474-45F6-983F-ACBB1F973524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4EBD38-9340-4C97-AD0D-5BD86F705B5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DFADA-5283-40FC-B4B7-054E01F04CD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D60F1-A698-4BD4-AD4F-F60D4601708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DAC918-BB17-4030-B592-5BA99FF336A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079319-0AD9-4F4A-950A-7840071C50E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CE967-3421-41AD-A083-DF2D6E09C5A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D3F482-4A81-4436-8624-8DA9D65645B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E4B06-6A08-4490-91A2-D885D3A073E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97058-813D-409F-B4FC-A8DE16E95B3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44CAFE-7680-4B93-97F4-7AB88E704E5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220B54-FD95-4D3A-A103-276BBC06DBA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09C994-EE3B-4E54-8C5B-03292EFAC4FD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3D0D7-3C10-4B90-9988-BDD29477298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B086D-EC53-449C-A93A-A9C2E6947C2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71309-8D5D-4DEC-9AB0-CAF6CBCA90A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BA4A2-4BFE-4C3D-8899-96B91219BF63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2A7C17-0A0F-4A17-BB81-40EC0671809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EB853D-AC66-477B-9A3E-15A46811F3D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A9FE43-B599-4A49-9143-B32BCB53ED7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ECFFE-83AC-4620-ADD6-A1F16E25ED50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297C7-30C9-44B9-B1D1-1A1977D71382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4DF7CA-B7F5-427E-8D17-CD8D34FD2179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7C41F-00E7-4196-880A-55A7FD40A61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093AFC-979A-4125-9583-D471847C93AE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58397-8D2D-4F1D-900A-92B580EF9255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992374-825B-4856-85F9-A7E09133A6C6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193AC-86DC-4268-A50D-611C57E997EF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CF746-363F-407D-99B6-E0FF0990292A}"/>
            </a:ext>
          </a:extLst>
        </xdr:cNvPr>
        <xdr:cNvSpPr>
          <a:spLocks noChangeAspect="1" noChangeArrowheads="1"/>
        </xdr:cNvSpPr>
      </xdr:nvSpPr>
      <xdr:spPr bwMode="auto">
        <a:xfrm>
          <a:off x="17518673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14375" cy="304800"/>
    <xdr:sp macro="" textlink="">
      <xdr:nvSpPr>
        <xdr:cNvPr id="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E1ADC-B1BA-4B8A-A2EB-CD747D0275AC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87C9C-E5FF-463E-9C5A-055EBD22D2B3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BF790-54CD-4F5C-8A64-4534BD114FF9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71376-0A3F-44A7-B371-874D51FEAF46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DA7D1-CC78-4A1C-A16E-24D550058BEC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366F5-2585-4717-A27B-7C18F238B65A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714375" cy="304800"/>
    <xdr:sp macro="" textlink="">
      <xdr:nvSpPr>
        <xdr:cNvPr id="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688B1-D9BA-4508-BD58-E441BFE3DEA7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277EA7-5428-4B71-BA5F-0607F96CA31B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A092E4-47DC-47E6-9735-1EE616F2458D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9078A-022D-4CAE-896F-AEFDE907C7AA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F3693F-5B6E-4AED-B268-107F27148333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51A79-951B-4F15-BA85-3DB4B441ABFA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37AC3A-FAFB-4D15-A8E4-4C63094B4F1B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5F360-5694-4B61-96F9-13F35C689837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1513A0-D5F1-4A8D-BF28-73C4CA835B1A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DB38D-E11F-4398-8351-312EFD4AAC4A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D34F5-4BDF-45D8-BFCE-B716A9802F37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7E9BB-D1E1-484E-837D-B81909D3DC90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6DE52-D11B-439B-8584-5805F1A1064C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B9B8B-6F9A-440A-8356-1F2CBA156DCA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20524-20D5-4A74-ACFA-FCD361EB173E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E607F-13F3-49D8-A0F3-D0D9E774EA7D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60292-3FA6-40E3-8C51-7E6BE27A8DC9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75359A-DCEB-4CB6-BFB3-7D3C583FFCD6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C2E52-4687-45C8-97FB-39059E787C40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C3A47-8ECD-4122-BA64-E171E6A86FDA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D646E-8E2C-4FD6-8FBF-00F0CC63B6C0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714375" cy="304800"/>
    <xdr:sp macro="" textlink="">
      <xdr:nvSpPr>
        <xdr:cNvPr id="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51FBE-E702-4B35-8FA6-6B1249773A4A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3D468-504B-4111-B59A-5482FDBC7B69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2C2730-3722-4076-82A0-C2F719AB9DD0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24A8F-56C2-4238-A96B-5527C45EF074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CF54F-FD8B-4A65-9352-2456BEC31398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43E592-9C99-4CBB-99C4-0D2CACBCD2DB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714375" cy="304800"/>
    <xdr:sp macro="" textlink="">
      <xdr:nvSpPr>
        <xdr:cNvPr id="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15B822-5884-406E-85B5-F6AB48725C25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AC7024-7B8F-4976-9FBC-5F667D023324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76787E-AFA2-4ACB-8230-94D8DE12F4C0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303DB-DC06-40B5-A8D9-73B09CF82C19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A95E3E-3D50-4183-9D79-9C026ED9CF00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226B5F-9AED-4BA9-90AE-1C0C2CC0B5B0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9EDDA-DAFD-4D10-B4F6-525DAD0D1BD3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9A3B23-1E7C-4361-B0D2-3826B82EE1E6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7ED5D-3E9C-47EA-8AE4-C61B2BE67647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61A784-5911-449A-B4A2-46667E56B265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F99059-0060-474A-A90A-4B7E5D7A0C84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7BC8F-76F3-4614-B58B-EEDF9A6B097C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FECAFF-347D-4F17-AD98-D301E78EDE4D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89AD8E-3B38-4FDA-B4DE-39102B408F3C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95450-08E2-49F4-9453-695D09C2CBF3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ED1F7-9688-499E-BF49-EB281CA6ADA8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44EACE-ED2F-4A53-81D9-7C19DD659154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73DAFA-10A6-4EC2-B2FC-283DD507AD88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337FB-F67C-4866-852A-372965720E03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F1257-A6C0-4456-8C57-B829FB11E623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AA438-9C86-4F75-BC42-0A145E21C598}"/>
            </a:ext>
          </a:extLst>
        </xdr:cNvPr>
        <xdr:cNvSpPr>
          <a:spLocks noChangeAspect="1" noChangeArrowheads="1"/>
        </xdr:cNvSpPr>
      </xdr:nvSpPr>
      <xdr:spPr bwMode="auto">
        <a:xfrm>
          <a:off x="6724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28575</xdr:colOff>
      <xdr:row>0</xdr:row>
      <xdr:rowOff>28575</xdr:rowOff>
    </xdr:from>
    <xdr:to>
      <xdr:col>3</xdr:col>
      <xdr:colOff>275953</xdr:colOff>
      <xdr:row>3</xdr:row>
      <xdr:rowOff>133790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5E0AF4DB-169B-4367-9B85-69AFAEA38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5657578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D4EC-C1F5-4FCD-AAEE-DFB14399E48E}">
  <dimension ref="A1:AO135"/>
  <sheetViews>
    <sheetView topLeftCell="A91" zoomScale="130" zoomScaleNormal="130" workbookViewId="0">
      <pane xSplit="1" topLeftCell="B1" activePane="topRight" state="frozen"/>
      <selection activeCell="A100" sqref="A100"/>
      <selection pane="topRight" activeCell="AF43" sqref="AF43:AH43"/>
    </sheetView>
  </sheetViews>
  <sheetFormatPr defaultRowHeight="15" x14ac:dyDescent="0.25"/>
  <cols>
    <col min="1" max="1" width="46.85546875" customWidth="1"/>
    <col min="2" max="2" width="5.5703125" customWidth="1"/>
    <col min="3" max="3" width="0" hidden="1" customWidth="1"/>
    <col min="4" max="4" width="13.140625" customWidth="1"/>
    <col min="5" max="6" width="3.5703125" customWidth="1"/>
    <col min="7" max="7" width="10.7109375" bestFit="1" customWidth="1"/>
    <col min="8" max="8" width="3.5703125" bestFit="1" customWidth="1"/>
    <col min="9" max="9" width="3.5703125" customWidth="1"/>
    <col min="10" max="10" width="10.7109375" customWidth="1"/>
    <col min="11" max="11" width="3.5703125" bestFit="1" customWidth="1"/>
    <col min="12" max="12" width="3.5703125" customWidth="1"/>
    <col min="13" max="13" width="10.7109375" customWidth="1"/>
    <col min="14" max="15" width="3.5703125" bestFit="1" customWidth="1"/>
    <col min="16" max="16" width="10.7109375" customWidth="1"/>
    <col min="17" max="17" width="3.5703125" bestFit="1" customWidth="1"/>
    <col min="18" max="18" width="3.5703125" customWidth="1"/>
    <col min="19" max="19" width="10.7109375" customWidth="1"/>
    <col min="20" max="20" width="3.5703125" bestFit="1" customWidth="1"/>
    <col min="21" max="21" width="4.140625" bestFit="1" customWidth="1"/>
    <col min="22" max="22" width="10.7109375" customWidth="1"/>
    <col min="23" max="23" width="3.5703125" bestFit="1" customWidth="1"/>
    <col min="24" max="24" width="4.140625" bestFit="1" customWidth="1"/>
    <col min="25" max="25" width="10.7109375" customWidth="1"/>
    <col min="26" max="26" width="3.7109375" bestFit="1" customWidth="1"/>
    <col min="27" max="27" width="4.7109375" bestFit="1" customWidth="1"/>
    <col min="28" max="28" width="10.7109375" customWidth="1"/>
    <col min="29" max="29" width="3.5703125" bestFit="1" customWidth="1"/>
    <col min="30" max="30" width="4" bestFit="1" customWidth="1"/>
    <col min="31" max="31" width="10.7109375" customWidth="1"/>
    <col min="32" max="32" width="4.7109375" bestFit="1" customWidth="1"/>
    <col min="33" max="33" width="5.7109375" bestFit="1" customWidth="1"/>
    <col min="34" max="34" width="10.7109375" customWidth="1"/>
    <col min="35" max="35" width="4.7109375" bestFit="1" customWidth="1"/>
    <col min="36" max="36" width="5.7109375" bestFit="1" customWidth="1"/>
    <col min="37" max="37" width="11.7109375" bestFit="1" customWidth="1"/>
    <col min="38" max="38" width="10.42578125" bestFit="1" customWidth="1"/>
    <col min="39" max="39" width="6.140625" customWidth="1"/>
    <col min="40" max="40" width="16.28515625" customWidth="1"/>
  </cols>
  <sheetData>
    <row r="1" spans="1:40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</row>
    <row r="2" spans="1:40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</row>
    <row r="3" spans="1:40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</row>
    <row r="4" spans="1:40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</row>
    <row r="5" spans="1:40" x14ac:dyDescent="0.25">
      <c r="A5" s="164" t="s">
        <v>151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</row>
    <row r="6" spans="1:40" ht="25.5" customHeight="1" x14ac:dyDescent="0.2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</row>
    <row r="7" spans="1:40" x14ac:dyDescent="0.25">
      <c r="A7" s="165" t="s">
        <v>149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</row>
    <row r="8" spans="1:40" x14ac:dyDescent="0.25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15.75" x14ac:dyDescent="0.25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</row>
    <row r="10" spans="1:40" x14ac:dyDescent="0.25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</row>
    <row r="11" spans="1:40" x14ac:dyDescent="0.25">
      <c r="A11" s="1" t="s">
        <v>0</v>
      </c>
      <c r="B11" s="169" t="s">
        <v>2</v>
      </c>
      <c r="C11" s="169"/>
      <c r="D11" s="169"/>
      <c r="E11" s="169" t="s">
        <v>1</v>
      </c>
      <c r="F11" s="169"/>
      <c r="G11" s="169"/>
      <c r="H11" s="136" t="s">
        <v>122</v>
      </c>
      <c r="I11" s="137"/>
      <c r="J11" s="138"/>
      <c r="K11" s="136" t="s">
        <v>130</v>
      </c>
      <c r="L11" s="137"/>
      <c r="M11" s="138"/>
      <c r="N11" s="136" t="s">
        <v>137</v>
      </c>
      <c r="O11" s="137"/>
      <c r="P11" s="138"/>
      <c r="Q11" s="136" t="s">
        <v>141</v>
      </c>
      <c r="R11" s="137"/>
      <c r="S11" s="138"/>
      <c r="T11" s="136" t="s">
        <v>143</v>
      </c>
      <c r="U11" s="137"/>
      <c r="V11" s="138"/>
      <c r="W11" s="136" t="s">
        <v>144</v>
      </c>
      <c r="X11" s="137"/>
      <c r="Y11" s="138"/>
      <c r="Z11" s="136" t="s">
        <v>148</v>
      </c>
      <c r="AA11" s="137"/>
      <c r="AB11" s="138"/>
      <c r="AC11" s="136" t="s">
        <v>150</v>
      </c>
      <c r="AD11" s="137"/>
      <c r="AE11" s="138"/>
      <c r="AF11" s="136" t="s">
        <v>153</v>
      </c>
      <c r="AG11" s="137"/>
      <c r="AH11" s="138"/>
      <c r="AI11" s="136" t="s">
        <v>93</v>
      </c>
      <c r="AJ11" s="137"/>
      <c r="AK11" s="138"/>
      <c r="AL11" s="144" t="s">
        <v>3</v>
      </c>
      <c r="AM11" s="144"/>
      <c r="AN11" s="144"/>
    </row>
    <row r="12" spans="1:40" x14ac:dyDescent="0.25">
      <c r="A12" s="2" t="s">
        <v>4</v>
      </c>
      <c r="B12" s="145">
        <f>B13+B14+B15</f>
        <v>9586.0300000000007</v>
      </c>
      <c r="C12" s="146"/>
      <c r="D12" s="147"/>
      <c r="E12" s="148"/>
      <c r="F12" s="149"/>
      <c r="G12" s="150"/>
      <c r="H12" s="96"/>
      <c r="I12" s="97"/>
      <c r="J12" s="98"/>
      <c r="K12" s="83"/>
      <c r="L12" s="83"/>
      <c r="M12" s="83"/>
      <c r="N12" s="113"/>
      <c r="O12" s="114"/>
      <c r="P12" s="115"/>
      <c r="Q12" s="113"/>
      <c r="R12" s="114"/>
      <c r="S12" s="115"/>
      <c r="T12" s="113"/>
      <c r="U12" s="114"/>
      <c r="V12" s="115"/>
      <c r="W12" s="139"/>
      <c r="X12" s="140"/>
      <c r="Y12" s="141"/>
      <c r="Z12" s="139"/>
      <c r="AA12" s="140"/>
      <c r="AB12" s="141"/>
      <c r="AC12" s="113"/>
      <c r="AD12" s="114"/>
      <c r="AE12" s="115"/>
      <c r="AF12" s="113"/>
      <c r="AG12" s="114"/>
      <c r="AH12" s="115"/>
      <c r="AI12" s="145">
        <f>9586.03</f>
        <v>9586.0300000000007</v>
      </c>
      <c r="AJ12" s="146"/>
      <c r="AK12" s="147"/>
      <c r="AL12" s="135">
        <f>9586.03</f>
        <v>9586.0300000000007</v>
      </c>
      <c r="AM12" s="135"/>
      <c r="AN12" s="135"/>
    </row>
    <row r="13" spans="1:40" x14ac:dyDescent="0.25">
      <c r="A13" s="3" t="s">
        <v>5</v>
      </c>
      <c r="B13" s="130">
        <f>13836</f>
        <v>13836</v>
      </c>
      <c r="C13" s="131"/>
      <c r="D13" s="132"/>
      <c r="E13" s="170"/>
      <c r="F13" s="171"/>
      <c r="G13" s="172"/>
      <c r="H13" s="93"/>
      <c r="I13" s="94"/>
      <c r="J13" s="95"/>
      <c r="K13" s="82"/>
      <c r="L13" s="82"/>
      <c r="M13" s="82"/>
      <c r="N13" s="113"/>
      <c r="O13" s="114"/>
      <c r="P13" s="115"/>
      <c r="Q13" s="113"/>
      <c r="R13" s="114"/>
      <c r="S13" s="115"/>
      <c r="T13" s="113"/>
      <c r="U13" s="114"/>
      <c r="V13" s="115"/>
      <c r="W13" s="139"/>
      <c r="X13" s="140"/>
      <c r="Y13" s="141"/>
      <c r="Z13" s="139"/>
      <c r="AA13" s="140"/>
      <c r="AB13" s="141"/>
      <c r="AC13" s="113"/>
      <c r="AD13" s="114"/>
      <c r="AE13" s="115"/>
      <c r="AF13" s="113"/>
      <c r="AG13" s="114"/>
      <c r="AH13" s="115"/>
      <c r="AI13" s="130"/>
      <c r="AJ13" s="131"/>
      <c r="AK13" s="132"/>
      <c r="AL13" s="174"/>
      <c r="AM13" s="174"/>
      <c r="AN13" s="174"/>
    </row>
    <row r="14" spans="1:40" x14ac:dyDescent="0.25">
      <c r="A14" s="3" t="s">
        <v>6</v>
      </c>
      <c r="B14" s="130">
        <f>642.76</f>
        <v>642.76</v>
      </c>
      <c r="C14" s="131"/>
      <c r="D14" s="132"/>
      <c r="E14" s="170"/>
      <c r="F14" s="171"/>
      <c r="G14" s="172"/>
      <c r="H14" s="93"/>
      <c r="I14" s="94"/>
      <c r="J14" s="95"/>
      <c r="K14" s="82"/>
      <c r="L14" s="82"/>
      <c r="M14" s="82"/>
      <c r="N14" s="113"/>
      <c r="O14" s="114"/>
      <c r="P14" s="115"/>
      <c r="Q14" s="113"/>
      <c r="R14" s="114"/>
      <c r="S14" s="115"/>
      <c r="T14" s="113"/>
      <c r="U14" s="114"/>
      <c r="V14" s="115"/>
      <c r="W14" s="139"/>
      <c r="X14" s="140"/>
      <c r="Y14" s="141"/>
      <c r="Z14" s="139"/>
      <c r="AA14" s="140"/>
      <c r="AB14" s="141"/>
      <c r="AC14" s="113"/>
      <c r="AD14" s="114"/>
      <c r="AE14" s="115"/>
      <c r="AF14" s="113"/>
      <c r="AG14" s="114"/>
      <c r="AH14" s="115"/>
      <c r="AI14" s="130"/>
      <c r="AJ14" s="131"/>
      <c r="AK14" s="132"/>
      <c r="AL14" s="173"/>
      <c r="AM14" s="173"/>
      <c r="AN14" s="173"/>
    </row>
    <row r="15" spans="1:40" x14ac:dyDescent="0.25">
      <c r="A15" s="3" t="s">
        <v>7</v>
      </c>
      <c r="B15" s="130">
        <f>-4892.73</f>
        <v>-4892.7299999999996</v>
      </c>
      <c r="C15" s="131"/>
      <c r="D15" s="132"/>
      <c r="E15" s="170"/>
      <c r="F15" s="171"/>
      <c r="G15" s="172"/>
      <c r="H15" s="93"/>
      <c r="I15" s="94"/>
      <c r="J15" s="95"/>
      <c r="K15" s="192"/>
      <c r="L15" s="193"/>
      <c r="M15" s="194"/>
      <c r="N15" s="113"/>
      <c r="O15" s="114"/>
      <c r="P15" s="115"/>
      <c r="Q15" s="113" t="s">
        <v>142</v>
      </c>
      <c r="R15" s="114"/>
      <c r="S15" s="115"/>
      <c r="T15" s="113"/>
      <c r="U15" s="114"/>
      <c r="V15" s="115"/>
      <c r="W15" s="139"/>
      <c r="X15" s="140"/>
      <c r="Y15" s="141"/>
      <c r="Z15" s="139"/>
      <c r="AA15" s="140"/>
      <c r="AB15" s="141"/>
      <c r="AC15" s="113"/>
      <c r="AD15" s="114"/>
      <c r="AE15" s="115"/>
      <c r="AF15" s="113"/>
      <c r="AG15" s="114"/>
      <c r="AH15" s="115"/>
      <c r="AI15" s="130"/>
      <c r="AJ15" s="131"/>
      <c r="AK15" s="132"/>
      <c r="AL15" s="173"/>
      <c r="AM15" s="173"/>
      <c r="AN15" s="173"/>
    </row>
    <row r="16" spans="1:40" x14ac:dyDescent="0.25">
      <c r="A16" s="4" t="s">
        <v>8</v>
      </c>
      <c r="B16" s="186">
        <f>4186449.06</f>
        <v>4186449.06</v>
      </c>
      <c r="C16" s="187"/>
      <c r="D16" s="188"/>
      <c r="E16" s="151"/>
      <c r="F16" s="152"/>
      <c r="G16" s="153"/>
      <c r="H16" s="90"/>
      <c r="I16" s="91"/>
      <c r="J16" s="92"/>
      <c r="K16" s="81"/>
      <c r="L16" s="81"/>
      <c r="M16" s="81"/>
      <c r="N16" s="160"/>
      <c r="O16" s="161"/>
      <c r="P16" s="162"/>
      <c r="Q16" s="151"/>
      <c r="R16" s="152"/>
      <c r="S16" s="153"/>
      <c r="T16" s="151"/>
      <c r="U16" s="152"/>
      <c r="V16" s="153"/>
      <c r="W16" s="160"/>
      <c r="X16" s="161"/>
      <c r="Y16" s="162"/>
      <c r="Z16" s="160"/>
      <c r="AA16" s="161"/>
      <c r="AB16" s="162"/>
      <c r="AC16" s="106"/>
      <c r="AD16" s="106"/>
      <c r="AE16" s="106"/>
      <c r="AF16" s="111"/>
      <c r="AG16" s="111"/>
      <c r="AH16" s="111"/>
      <c r="AI16" s="186">
        <f>AK27</f>
        <v>792239.85000000009</v>
      </c>
      <c r="AJ16" s="187"/>
      <c r="AK16" s="188"/>
      <c r="AL16" s="185">
        <f>AN27</f>
        <v>4978688.91</v>
      </c>
      <c r="AM16" s="185"/>
      <c r="AN16" s="185"/>
    </row>
    <row r="17" spans="1:40" x14ac:dyDescent="0.25">
      <c r="A17" s="5" t="s">
        <v>9</v>
      </c>
      <c r="B17" s="175">
        <f>2036201.14</f>
        <v>2036201.14</v>
      </c>
      <c r="C17" s="176"/>
      <c r="D17" s="177"/>
      <c r="E17" s="154"/>
      <c r="F17" s="155"/>
      <c r="G17" s="156"/>
      <c r="H17" s="87"/>
      <c r="I17" s="88"/>
      <c r="J17" s="89"/>
      <c r="K17" s="80"/>
      <c r="L17" s="80"/>
      <c r="M17" s="80"/>
      <c r="N17" s="157"/>
      <c r="O17" s="158"/>
      <c r="P17" s="159"/>
      <c r="Q17" s="154"/>
      <c r="R17" s="155"/>
      <c r="S17" s="156"/>
      <c r="T17" s="154"/>
      <c r="U17" s="155"/>
      <c r="V17" s="156"/>
      <c r="W17" s="157"/>
      <c r="X17" s="158"/>
      <c r="Y17" s="159"/>
      <c r="Z17" s="157"/>
      <c r="AA17" s="158"/>
      <c r="AB17" s="159"/>
      <c r="AC17" s="105"/>
      <c r="AD17" s="105"/>
      <c r="AE17" s="105"/>
      <c r="AF17" s="110"/>
      <c r="AG17" s="110"/>
      <c r="AH17" s="110"/>
      <c r="AI17" s="175">
        <f>AI103</f>
        <v>601966.29</v>
      </c>
      <c r="AJ17" s="176"/>
      <c r="AK17" s="177"/>
      <c r="AL17" s="178">
        <f>AM103</f>
        <v>2638167.4299999997</v>
      </c>
      <c r="AM17" s="178"/>
      <c r="AN17" s="178"/>
    </row>
    <row r="18" spans="1:40" x14ac:dyDescent="0.25">
      <c r="A18" s="4" t="s">
        <v>10</v>
      </c>
      <c r="B18" s="179">
        <f>B16-B17+B12</f>
        <v>2159833.9499999997</v>
      </c>
      <c r="C18" s="180"/>
      <c r="D18" s="181"/>
      <c r="E18" s="182"/>
      <c r="F18" s="183"/>
      <c r="G18" s="184"/>
      <c r="H18" s="84"/>
      <c r="I18" s="85"/>
      <c r="J18" s="86"/>
      <c r="K18" s="79"/>
      <c r="L18" s="79"/>
      <c r="M18" s="79"/>
      <c r="N18" s="189"/>
      <c r="O18" s="190"/>
      <c r="P18" s="191"/>
      <c r="Q18" s="182"/>
      <c r="R18" s="183"/>
      <c r="S18" s="184"/>
      <c r="T18" s="182"/>
      <c r="U18" s="183"/>
      <c r="V18" s="184"/>
      <c r="W18" s="189"/>
      <c r="X18" s="190"/>
      <c r="Y18" s="191"/>
      <c r="Z18" s="189"/>
      <c r="AA18" s="190"/>
      <c r="AB18" s="191"/>
      <c r="AC18" s="104"/>
      <c r="AD18" s="104"/>
      <c r="AE18" s="104"/>
      <c r="AF18" s="109"/>
      <c r="AG18" s="109"/>
      <c r="AH18" s="109"/>
      <c r="AI18" s="179">
        <f>AI16-AI17</f>
        <v>190273.56000000006</v>
      </c>
      <c r="AJ18" s="180"/>
      <c r="AK18" s="181"/>
      <c r="AL18" s="200">
        <f>AL16-AL17+AL12</f>
        <v>2350107.5100000002</v>
      </c>
      <c r="AM18" s="200"/>
      <c r="AN18" s="200"/>
    </row>
    <row r="19" spans="1:40" x14ac:dyDescent="0.25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</row>
    <row r="20" spans="1:40" x14ac:dyDescent="0.25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</row>
    <row r="21" spans="1:40" x14ac:dyDescent="0.25">
      <c r="A21" s="203" t="s">
        <v>11</v>
      </c>
      <c r="B21" s="169" t="s">
        <v>2</v>
      </c>
      <c r="C21" s="169"/>
      <c r="D21" s="169"/>
      <c r="E21" s="136" t="s">
        <v>1</v>
      </c>
      <c r="F21" s="137"/>
      <c r="G21" s="138"/>
      <c r="H21" s="136" t="s">
        <v>122</v>
      </c>
      <c r="I21" s="137"/>
      <c r="J21" s="138"/>
      <c r="K21" s="136" t="s">
        <v>130</v>
      </c>
      <c r="L21" s="137"/>
      <c r="M21" s="138"/>
      <c r="N21" s="136" t="s">
        <v>137</v>
      </c>
      <c r="O21" s="137"/>
      <c r="P21" s="138"/>
      <c r="Q21" s="136" t="s">
        <v>141</v>
      </c>
      <c r="R21" s="137"/>
      <c r="S21" s="138"/>
      <c r="T21" s="136" t="s">
        <v>143</v>
      </c>
      <c r="U21" s="137"/>
      <c r="V21" s="138"/>
      <c r="W21" s="136" t="s">
        <v>144</v>
      </c>
      <c r="X21" s="137"/>
      <c r="Y21" s="138"/>
      <c r="Z21" s="136" t="s">
        <v>148</v>
      </c>
      <c r="AA21" s="137"/>
      <c r="AB21" s="138"/>
      <c r="AC21" s="136" t="s">
        <v>150</v>
      </c>
      <c r="AD21" s="137"/>
      <c r="AE21" s="138"/>
      <c r="AF21" s="136" t="s">
        <v>153</v>
      </c>
      <c r="AG21" s="137"/>
      <c r="AH21" s="138"/>
      <c r="AI21" s="136" t="s">
        <v>93</v>
      </c>
      <c r="AJ21" s="137"/>
      <c r="AK21" s="138"/>
      <c r="AL21" s="195" t="s">
        <v>12</v>
      </c>
      <c r="AM21" s="144" t="s">
        <v>3</v>
      </c>
      <c r="AN21" s="144"/>
    </row>
    <row r="22" spans="1:40" x14ac:dyDescent="0.25">
      <c r="A22" s="204"/>
      <c r="B22" s="196" t="s">
        <v>13</v>
      </c>
      <c r="C22" s="197"/>
      <c r="D22" s="6" t="s">
        <v>14</v>
      </c>
      <c r="E22" s="6" t="s">
        <v>15</v>
      </c>
      <c r="F22" s="6" t="s">
        <v>16</v>
      </c>
      <c r="G22" s="6" t="s">
        <v>14</v>
      </c>
      <c r="H22" s="6" t="s">
        <v>15</v>
      </c>
      <c r="I22" s="6" t="s">
        <v>16</v>
      </c>
      <c r="J22" s="6"/>
      <c r="K22" s="6" t="s">
        <v>15</v>
      </c>
      <c r="L22" s="6" t="s">
        <v>16</v>
      </c>
      <c r="M22" s="6"/>
      <c r="N22" s="6" t="s">
        <v>15</v>
      </c>
      <c r="O22" s="6" t="s">
        <v>16</v>
      </c>
      <c r="P22" s="6"/>
      <c r="Q22" s="6" t="s">
        <v>15</v>
      </c>
      <c r="R22" s="6" t="s">
        <v>16</v>
      </c>
      <c r="S22" s="6"/>
      <c r="T22" s="6" t="s">
        <v>15</v>
      </c>
      <c r="U22" s="6" t="s">
        <v>16</v>
      </c>
      <c r="V22" s="6"/>
      <c r="W22" s="6" t="s">
        <v>15</v>
      </c>
      <c r="X22" s="6" t="s">
        <v>16</v>
      </c>
      <c r="Y22" s="6"/>
      <c r="Z22" s="6" t="s">
        <v>15</v>
      </c>
      <c r="AA22" s="6" t="s">
        <v>16</v>
      </c>
      <c r="AB22" s="6"/>
      <c r="AC22" s="6" t="s">
        <v>15</v>
      </c>
      <c r="AD22" s="6" t="s">
        <v>16</v>
      </c>
      <c r="AE22" s="6"/>
      <c r="AF22" s="6" t="s">
        <v>15</v>
      </c>
      <c r="AG22" s="6" t="s">
        <v>16</v>
      </c>
      <c r="AH22" s="6"/>
      <c r="AI22" s="6" t="s">
        <v>15</v>
      </c>
      <c r="AJ22" s="6" t="s">
        <v>16</v>
      </c>
      <c r="AK22" s="6" t="s">
        <v>14</v>
      </c>
      <c r="AL22" s="195"/>
      <c r="AM22" s="7" t="s">
        <v>13</v>
      </c>
      <c r="AN22" s="7" t="s">
        <v>14</v>
      </c>
    </row>
    <row r="23" spans="1:40" x14ac:dyDescent="0.25">
      <c r="A23" s="8" t="s">
        <v>17</v>
      </c>
      <c r="B23" s="198">
        <v>158</v>
      </c>
      <c r="C23" s="199"/>
      <c r="D23" s="9">
        <f>17760.02+186880+2455.53+1205.11</f>
        <v>208300.65999999997</v>
      </c>
      <c r="E23" s="10"/>
      <c r="F23" s="10"/>
      <c r="G23" s="9"/>
      <c r="H23" s="10"/>
      <c r="I23" s="12"/>
      <c r="J23" s="9"/>
      <c r="K23" s="10"/>
      <c r="L23" s="12"/>
      <c r="M23" s="9"/>
      <c r="N23" s="10"/>
      <c r="O23" s="10"/>
      <c r="P23" s="9"/>
      <c r="Q23" s="10"/>
      <c r="R23" s="12"/>
      <c r="S23" s="9"/>
      <c r="T23" s="10"/>
      <c r="U23" s="12"/>
      <c r="V23" s="9"/>
      <c r="W23" s="10"/>
      <c r="X23" s="10"/>
      <c r="Y23" s="9"/>
      <c r="Z23" s="10"/>
      <c r="AA23" s="10"/>
      <c r="AB23" s="9"/>
      <c r="AC23" s="10"/>
      <c r="AD23" s="12"/>
      <c r="AE23" s="9"/>
      <c r="AF23" s="10"/>
      <c r="AG23" s="12"/>
      <c r="AH23" s="9"/>
      <c r="AI23" s="10"/>
      <c r="AJ23" s="12"/>
      <c r="AK23" s="11"/>
      <c r="AL23" s="13"/>
      <c r="AM23" s="77">
        <v>158</v>
      </c>
      <c r="AN23" s="15">
        <f>208300.66</f>
        <v>208300.66</v>
      </c>
    </row>
    <row r="24" spans="1:40" x14ac:dyDescent="0.25">
      <c r="A24" s="3" t="s">
        <v>18</v>
      </c>
      <c r="B24" s="198">
        <v>5872</v>
      </c>
      <c r="C24" s="199"/>
      <c r="D24" s="9">
        <f>3713342.03</f>
        <v>3713342.03</v>
      </c>
      <c r="E24" s="10">
        <f>-10</f>
        <v>-10</v>
      </c>
      <c r="F24" s="10">
        <v>9</v>
      </c>
      <c r="G24" s="78">
        <f>40+40+120+20+115920+40+127.33</f>
        <v>116307.33</v>
      </c>
      <c r="H24" s="10">
        <v>-8</v>
      </c>
      <c r="I24" s="12">
        <v>20</v>
      </c>
      <c r="J24" s="78">
        <f>20+60+80+80+80+80+180+114720+280</f>
        <v>115580</v>
      </c>
      <c r="K24" s="10">
        <v>-7</v>
      </c>
      <c r="L24" s="12">
        <v>17</v>
      </c>
      <c r="M24" s="78">
        <f>80+40+80+40+80+360+80+80+60+80+80+40+80+40+1700+20+80+80+80+80+80+80+80+80</f>
        <v>3580</v>
      </c>
      <c r="N24" s="10">
        <v>-16</v>
      </c>
      <c r="O24" s="10">
        <v>9</v>
      </c>
      <c r="P24" s="78">
        <f>520+120+400+80+20+30+80+20+116620+100+60+160</f>
        <v>118210</v>
      </c>
      <c r="Q24" s="10">
        <v>-16</v>
      </c>
      <c r="R24" s="12">
        <v>13</v>
      </c>
      <c r="S24" s="78">
        <f>100+140+100+100+80+160+80+80+20+60+40+100+140+40+220+620</f>
        <v>2080</v>
      </c>
      <c r="T24" s="10">
        <v>-21</v>
      </c>
      <c r="U24" s="12">
        <v>132</v>
      </c>
      <c r="V24" s="78">
        <f>20+80+20+20+100+115940+40+280+40+40</f>
        <v>116580</v>
      </c>
      <c r="W24" s="10">
        <v>-22</v>
      </c>
      <c r="X24" s="10">
        <v>347</v>
      </c>
      <c r="Y24" s="78">
        <f>240+140+120+80+65+90+20+280</f>
        <v>1035</v>
      </c>
      <c r="Z24" s="10">
        <v>-29</v>
      </c>
      <c r="AA24" s="10">
        <v>721</v>
      </c>
      <c r="AB24" s="78">
        <f>160+65+120+80+20+60+120+80+40+80+20+120+120+140+125200+20</f>
        <v>126445</v>
      </c>
      <c r="AC24" s="10">
        <v>-14</v>
      </c>
      <c r="AD24" s="107">
        <v>175</v>
      </c>
      <c r="AE24" s="78">
        <f>180+140+60+20+20+4680+1480</f>
        <v>6580</v>
      </c>
      <c r="AF24" s="10">
        <v>-13</v>
      </c>
      <c r="AG24" s="107">
        <v>60</v>
      </c>
      <c r="AH24" s="78">
        <f>20+4305+60+160+100+60+136+160+20+40+900+137200</f>
        <v>143161</v>
      </c>
      <c r="AI24" s="10">
        <f>-10-8-7-16-16-21-22-29-14-13</f>
        <v>-156</v>
      </c>
      <c r="AJ24" s="107">
        <f>9+20+17+9+13+132+347+721+175+60</f>
        <v>1503</v>
      </c>
      <c r="AK24" s="11">
        <f>0+G24+J24+M24+P24+S24+V24+Y24+AB24+AE24+AH24</f>
        <v>749558.33000000007</v>
      </c>
      <c r="AL24" s="16">
        <f>AK24/AK27</f>
        <v>0.94612550731953204</v>
      </c>
      <c r="AM24" s="17">
        <f>5872+AI24+AJ24</f>
        <v>7219</v>
      </c>
      <c r="AN24" s="18">
        <f>3713342.03+AK24</f>
        <v>4462900.3599999994</v>
      </c>
    </row>
    <row r="25" spans="1:40" x14ac:dyDescent="0.25">
      <c r="A25" s="19" t="s">
        <v>19</v>
      </c>
      <c r="B25" s="198"/>
      <c r="C25" s="199"/>
      <c r="D25" s="9">
        <f>263771.64</f>
        <v>263771.64</v>
      </c>
      <c r="E25" s="10"/>
      <c r="F25" s="10"/>
      <c r="G25" s="78">
        <f>3456.99+2528.85+1258.22+447.4</f>
        <v>7691.46</v>
      </c>
      <c r="H25" s="10"/>
      <c r="I25" s="12"/>
      <c r="J25" s="78">
        <f>2097.79+989.67+2306.35</f>
        <v>5393.8099999999995</v>
      </c>
      <c r="K25" s="10"/>
      <c r="L25" s="12"/>
      <c r="M25" s="78">
        <f>2670.71+1353.08+748.68</f>
        <v>4772.47</v>
      </c>
      <c r="N25" s="10"/>
      <c r="O25" s="10"/>
      <c r="P25" s="78">
        <f>994.9+25.38+2243.52</f>
        <v>3263.8</v>
      </c>
      <c r="Q25" s="10"/>
      <c r="R25" s="12"/>
      <c r="S25" s="78">
        <f>766.4+2494.19+209.71+1884.67</f>
        <v>5354.97</v>
      </c>
      <c r="T25" s="10"/>
      <c r="U25" s="12"/>
      <c r="V25" s="78">
        <f>573.82+1968.57+184.59+1703.34</f>
        <v>4430.32</v>
      </c>
      <c r="W25" s="10"/>
      <c r="X25" s="10"/>
      <c r="Y25" s="78">
        <f>397.83+2362.86+161.21+2538.73</f>
        <v>5460.63</v>
      </c>
      <c r="Z25" s="10"/>
      <c r="AA25" s="10"/>
      <c r="AB25" s="78">
        <f>282.95+1202.2+129.87+1317.95</f>
        <v>2932.9700000000003</v>
      </c>
      <c r="AC25" s="10"/>
      <c r="AD25" s="12"/>
      <c r="AE25" s="78">
        <f>94.92-256.33-73.63+1288</f>
        <v>1052.96</v>
      </c>
      <c r="AF25" s="10"/>
      <c r="AG25" s="12"/>
      <c r="AH25" s="78">
        <f>23.74+111.2+903.26+1289.93</f>
        <v>2328.13</v>
      </c>
      <c r="AI25" s="10"/>
      <c r="AJ25" s="12"/>
      <c r="AK25" s="11">
        <f>0+G25+J25+M25+P25+S25+V25+Y25+AB25+AE25+AH25</f>
        <v>42681.52</v>
      </c>
      <c r="AL25" s="16">
        <f>AK25/AK27</f>
        <v>5.3874492680467907E-2</v>
      </c>
      <c r="AM25" s="12"/>
      <c r="AN25" s="18">
        <f>263771.64+AK25</f>
        <v>306453.16000000003</v>
      </c>
    </row>
    <row r="26" spans="1:40" x14ac:dyDescent="0.25">
      <c r="A26" s="12" t="s">
        <v>20</v>
      </c>
      <c r="B26" s="198"/>
      <c r="C26" s="199"/>
      <c r="D26" s="9">
        <f>1034.73</f>
        <v>1034.73</v>
      </c>
      <c r="E26" s="10"/>
      <c r="F26" s="10"/>
      <c r="G26" s="9"/>
      <c r="H26" s="10"/>
      <c r="I26" s="12"/>
      <c r="J26" s="9"/>
      <c r="K26" s="10"/>
      <c r="L26" s="12"/>
      <c r="M26" s="9"/>
      <c r="N26" s="10"/>
      <c r="O26" s="10"/>
      <c r="P26" s="9"/>
      <c r="Q26" s="10"/>
      <c r="R26" s="12"/>
      <c r="S26" s="9"/>
      <c r="T26" s="10"/>
      <c r="U26" s="12"/>
      <c r="V26" s="9"/>
      <c r="W26" s="10"/>
      <c r="X26" s="10"/>
      <c r="Y26" s="9"/>
      <c r="Z26" s="10"/>
      <c r="AA26" s="10"/>
      <c r="AB26" s="9"/>
      <c r="AC26" s="10"/>
      <c r="AD26" s="12"/>
      <c r="AE26" s="9"/>
      <c r="AF26" s="10"/>
      <c r="AG26" s="12"/>
      <c r="AH26" s="9"/>
      <c r="AI26" s="10"/>
      <c r="AJ26" s="12"/>
      <c r="AK26" s="11">
        <f>0+G26</f>
        <v>0</v>
      </c>
      <c r="AL26" s="13">
        <f>AK26/AK27</f>
        <v>0</v>
      </c>
      <c r="AM26" s="14"/>
      <c r="AN26" s="15">
        <f>1034.73+AK26</f>
        <v>1034.73</v>
      </c>
    </row>
    <row r="27" spans="1:40" x14ac:dyDescent="0.25">
      <c r="A27" s="20" t="s">
        <v>21</v>
      </c>
      <c r="B27" s="142">
        <f>SUM(B23:C26)</f>
        <v>6030</v>
      </c>
      <c r="C27" s="143"/>
      <c r="D27" s="21">
        <f>SUM(D23:D26)</f>
        <v>4186449.06</v>
      </c>
      <c r="E27" s="142">
        <f>B27+E24+F24</f>
        <v>6029</v>
      </c>
      <c r="F27" s="143"/>
      <c r="G27" s="21">
        <f>SUM(G23:G26)</f>
        <v>123998.79000000001</v>
      </c>
      <c r="H27" s="209">
        <f>E27+H24+I24</f>
        <v>6041</v>
      </c>
      <c r="I27" s="209"/>
      <c r="J27" s="21">
        <f>SUM(J24:J26)</f>
        <v>120973.81</v>
      </c>
      <c r="K27" s="209">
        <f>H27+K24+L24</f>
        <v>6051</v>
      </c>
      <c r="L27" s="209"/>
      <c r="M27" s="21">
        <f>SUM(M24:M26)</f>
        <v>8352.4700000000012</v>
      </c>
      <c r="N27" s="211">
        <f>K27+N24+O24</f>
        <v>6044</v>
      </c>
      <c r="O27" s="212"/>
      <c r="P27" s="21">
        <f>SUM(P24:P26)</f>
        <v>121473.8</v>
      </c>
      <c r="Q27" s="211">
        <f>N27+Q24+R24</f>
        <v>6041</v>
      </c>
      <c r="R27" s="212"/>
      <c r="S27" s="21">
        <f>SUM(S24:S26)</f>
        <v>7434.97</v>
      </c>
      <c r="T27" s="211">
        <f>Q27+T24+U24</f>
        <v>6152</v>
      </c>
      <c r="U27" s="212"/>
      <c r="V27" s="21">
        <f>SUM(V24:V26)</f>
        <v>121010.32</v>
      </c>
      <c r="W27" s="211">
        <f>T27+W24+X24</f>
        <v>6477</v>
      </c>
      <c r="X27" s="212"/>
      <c r="Y27" s="21">
        <f>SUM(Y24:Y26)</f>
        <v>6495.63</v>
      </c>
      <c r="Z27" s="211">
        <f>W27+Z24+AA24</f>
        <v>7169</v>
      </c>
      <c r="AA27" s="212"/>
      <c r="AB27" s="21">
        <f>SUM(AB23:AB26)</f>
        <v>129377.97</v>
      </c>
      <c r="AC27" s="209">
        <f>Z27+AC24+AD24</f>
        <v>7330</v>
      </c>
      <c r="AD27" s="209"/>
      <c r="AE27" s="21">
        <f>SUM(AE24:AE26)</f>
        <v>7632.96</v>
      </c>
      <c r="AF27" s="142">
        <f>AC27+AF24+AG24</f>
        <v>7377</v>
      </c>
      <c r="AG27" s="143"/>
      <c r="AH27" s="112">
        <f>SUM(AH24:AH26)</f>
        <v>145489.13</v>
      </c>
      <c r="AI27" s="142">
        <f>B27+AI24+AJ24</f>
        <v>7377</v>
      </c>
      <c r="AJ27" s="143"/>
      <c r="AK27" s="21">
        <f>SUM(AK23:AK26)</f>
        <v>792239.85000000009</v>
      </c>
      <c r="AL27" s="22">
        <f>AK27/AK27</f>
        <v>1</v>
      </c>
      <c r="AM27" s="23">
        <f>SUM(AM23:AM26)</f>
        <v>7377</v>
      </c>
      <c r="AN27" s="24">
        <f>SUM(AN23:AN26)</f>
        <v>4978688.91</v>
      </c>
    </row>
    <row r="28" spans="1:40" x14ac:dyDescent="0.25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spans="1:40" x14ac:dyDescent="0.25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spans="1:40" ht="15.75" x14ac:dyDescent="0.25">
      <c r="A30" s="167" t="s">
        <v>22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</row>
    <row r="31" spans="1:40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</row>
    <row r="32" spans="1:40" x14ac:dyDescent="0.25">
      <c r="A32" s="25" t="s">
        <v>9</v>
      </c>
      <c r="B32" s="169" t="s">
        <v>2</v>
      </c>
      <c r="C32" s="169"/>
      <c r="D32" s="169"/>
      <c r="E32" s="206" t="s">
        <v>1</v>
      </c>
      <c r="F32" s="207"/>
      <c r="G32" s="207"/>
      <c r="H32" s="206" t="s">
        <v>122</v>
      </c>
      <c r="I32" s="207"/>
      <c r="J32" s="210"/>
      <c r="K32" s="206" t="s">
        <v>130</v>
      </c>
      <c r="L32" s="207"/>
      <c r="M32" s="210"/>
      <c r="N32" s="206" t="s">
        <v>137</v>
      </c>
      <c r="O32" s="207"/>
      <c r="P32" s="210"/>
      <c r="Q32" s="136" t="s">
        <v>141</v>
      </c>
      <c r="R32" s="137"/>
      <c r="S32" s="138"/>
      <c r="T32" s="136" t="s">
        <v>143</v>
      </c>
      <c r="U32" s="137"/>
      <c r="V32" s="138"/>
      <c r="W32" s="136" t="s">
        <v>144</v>
      </c>
      <c r="X32" s="137"/>
      <c r="Y32" s="138"/>
      <c r="Z32" s="136" t="s">
        <v>148</v>
      </c>
      <c r="AA32" s="137"/>
      <c r="AB32" s="138"/>
      <c r="AC32" s="136" t="s">
        <v>150</v>
      </c>
      <c r="AD32" s="137"/>
      <c r="AE32" s="138"/>
      <c r="AF32" s="136" t="s">
        <v>153</v>
      </c>
      <c r="AG32" s="137"/>
      <c r="AH32" s="138"/>
      <c r="AI32" s="136" t="s">
        <v>93</v>
      </c>
      <c r="AJ32" s="137"/>
      <c r="AK32" s="138"/>
      <c r="AL32" s="26" t="s">
        <v>12</v>
      </c>
      <c r="AM32" s="144" t="s">
        <v>3</v>
      </c>
      <c r="AN32" s="144"/>
    </row>
    <row r="33" spans="1:40" x14ac:dyDescent="0.25">
      <c r="A33" s="27" t="s">
        <v>23</v>
      </c>
      <c r="B33" s="119">
        <f>SUM(B34:D41)</f>
        <v>291683.03000000003</v>
      </c>
      <c r="C33" s="119"/>
      <c r="D33" s="119"/>
      <c r="E33" s="116">
        <f>SUM(E34:G41)</f>
        <v>16540.830000000002</v>
      </c>
      <c r="F33" s="117"/>
      <c r="G33" s="118"/>
      <c r="H33" s="116">
        <f>SUM(H34:J41)</f>
        <v>9994.66</v>
      </c>
      <c r="I33" s="117"/>
      <c r="J33" s="118"/>
      <c r="K33" s="116">
        <f>SUM(K34:M41)</f>
        <v>22394.66</v>
      </c>
      <c r="L33" s="117"/>
      <c r="M33" s="118"/>
      <c r="N33" s="116">
        <f>SUM(N34:P41)</f>
        <v>20217.91</v>
      </c>
      <c r="O33" s="117"/>
      <c r="P33" s="118"/>
      <c r="Q33" s="116">
        <f>SUM(Q34:S41)</f>
        <v>11771.41</v>
      </c>
      <c r="R33" s="117"/>
      <c r="S33" s="118"/>
      <c r="T33" s="116">
        <f>SUM(T34:V41)</f>
        <v>15994.66</v>
      </c>
      <c r="U33" s="117"/>
      <c r="V33" s="118"/>
      <c r="W33" s="116">
        <f>SUM(W34:Y41)</f>
        <v>16187.58</v>
      </c>
      <c r="X33" s="117"/>
      <c r="Y33" s="118"/>
      <c r="Z33" s="116">
        <f>SUM(Z34:AB41)</f>
        <v>15994.66</v>
      </c>
      <c r="AA33" s="117"/>
      <c r="AB33" s="118"/>
      <c r="AC33" s="116">
        <f>SUM(AC34:AE41)</f>
        <v>16457.16</v>
      </c>
      <c r="AD33" s="117"/>
      <c r="AE33" s="118"/>
      <c r="AF33" s="116">
        <f>SUM(AF34:AH41)</f>
        <v>16457.16</v>
      </c>
      <c r="AG33" s="117"/>
      <c r="AH33" s="118"/>
      <c r="AI33" s="217">
        <f>SUM(AI34:AK41)</f>
        <v>162010.69</v>
      </c>
      <c r="AJ33" s="218"/>
      <c r="AK33" s="219"/>
      <c r="AL33" s="44">
        <f>AI33/AI103</f>
        <v>0.269135818219987</v>
      </c>
      <c r="AM33" s="220">
        <f>SUM(AM34:AN41)</f>
        <v>453693.72000000003</v>
      </c>
      <c r="AN33" s="220"/>
    </row>
    <row r="34" spans="1:40" x14ac:dyDescent="0.25">
      <c r="A34" s="28" t="s">
        <v>24</v>
      </c>
      <c r="B34" s="213">
        <f>72200.64</f>
        <v>72200.639999999999</v>
      </c>
      <c r="C34" s="213"/>
      <c r="D34" s="213"/>
      <c r="E34" s="113">
        <v>0</v>
      </c>
      <c r="F34" s="114"/>
      <c r="G34" s="115"/>
      <c r="H34" s="113">
        <v>0</v>
      </c>
      <c r="I34" s="114"/>
      <c r="J34" s="115"/>
      <c r="K34" s="113">
        <v>0</v>
      </c>
      <c r="L34" s="114"/>
      <c r="M34" s="115"/>
      <c r="N34" s="113">
        <v>0</v>
      </c>
      <c r="O34" s="114"/>
      <c r="P34" s="115"/>
      <c r="Q34" s="113">
        <v>0</v>
      </c>
      <c r="R34" s="114"/>
      <c r="S34" s="115"/>
      <c r="T34" s="113">
        <v>0</v>
      </c>
      <c r="U34" s="114"/>
      <c r="V34" s="115"/>
      <c r="W34" s="113">
        <v>0</v>
      </c>
      <c r="X34" s="114"/>
      <c r="Y34" s="115"/>
      <c r="Z34" s="113">
        <v>0</v>
      </c>
      <c r="AA34" s="114"/>
      <c r="AB34" s="115"/>
      <c r="AC34" s="113">
        <v>0</v>
      </c>
      <c r="AD34" s="114"/>
      <c r="AE34" s="115"/>
      <c r="AF34" s="113">
        <v>0</v>
      </c>
      <c r="AG34" s="114"/>
      <c r="AH34" s="115"/>
      <c r="AI34" s="130">
        <f>0+E34+H34+K34+N34+Q34+T34+W34+Z34+AC34+AF34</f>
        <v>0</v>
      </c>
      <c r="AJ34" s="131"/>
      <c r="AK34" s="132"/>
      <c r="AL34" s="45">
        <f>AI34/AI103</f>
        <v>0</v>
      </c>
      <c r="AM34" s="133">
        <f>72200.64+AI34</f>
        <v>72200.639999999999</v>
      </c>
      <c r="AN34" s="133"/>
    </row>
    <row r="35" spans="1:40" x14ac:dyDescent="0.25">
      <c r="A35" s="29" t="s">
        <v>25</v>
      </c>
      <c r="B35" s="213">
        <v>36000</v>
      </c>
      <c r="C35" s="213"/>
      <c r="D35" s="213"/>
      <c r="E35" s="214">
        <f>6000</f>
        <v>6000</v>
      </c>
      <c r="F35" s="215"/>
      <c r="G35" s="216"/>
      <c r="H35" s="113">
        <v>0</v>
      </c>
      <c r="I35" s="114"/>
      <c r="J35" s="115"/>
      <c r="K35" s="113">
        <f>6000+6000</f>
        <v>12000</v>
      </c>
      <c r="L35" s="114"/>
      <c r="M35" s="115"/>
      <c r="N35" s="113">
        <f>6000</f>
        <v>6000</v>
      </c>
      <c r="O35" s="114"/>
      <c r="P35" s="115"/>
      <c r="Q35" s="113">
        <f>6000</f>
        <v>6000</v>
      </c>
      <c r="R35" s="114"/>
      <c r="S35" s="115"/>
      <c r="T35" s="113">
        <f>6000</f>
        <v>6000</v>
      </c>
      <c r="U35" s="114"/>
      <c r="V35" s="115"/>
      <c r="W35" s="113">
        <f>6000</f>
        <v>6000</v>
      </c>
      <c r="X35" s="114"/>
      <c r="Y35" s="115"/>
      <c r="Z35" s="113">
        <f>6000</f>
        <v>6000</v>
      </c>
      <c r="AA35" s="114"/>
      <c r="AB35" s="115"/>
      <c r="AC35" s="113">
        <f>6000</f>
        <v>6000</v>
      </c>
      <c r="AD35" s="114"/>
      <c r="AE35" s="115"/>
      <c r="AF35" s="113">
        <f>6000</f>
        <v>6000</v>
      </c>
      <c r="AG35" s="114"/>
      <c r="AH35" s="115"/>
      <c r="AI35" s="130">
        <f t="shared" ref="AI35:AI41" si="0">0+E35+H35+K35+N35+Q35+T35+W35+Z35+AC35+AF35</f>
        <v>60000</v>
      </c>
      <c r="AJ35" s="131"/>
      <c r="AK35" s="132"/>
      <c r="AL35" s="45">
        <f>AI35/AI103</f>
        <v>9.9673355463143945E-2</v>
      </c>
      <c r="AM35" s="133">
        <f>36000+AI35</f>
        <v>96000</v>
      </c>
      <c r="AN35" s="133"/>
    </row>
    <row r="36" spans="1:40" x14ac:dyDescent="0.25">
      <c r="A36" s="28" t="s">
        <v>26</v>
      </c>
      <c r="B36" s="213">
        <v>41057.96</v>
      </c>
      <c r="C36" s="213"/>
      <c r="D36" s="213"/>
      <c r="E36" s="113">
        <f>1260</f>
        <v>1260</v>
      </c>
      <c r="F36" s="114"/>
      <c r="G36" s="115"/>
      <c r="H36" s="113">
        <f>925</f>
        <v>925</v>
      </c>
      <c r="I36" s="114"/>
      <c r="J36" s="115"/>
      <c r="K36" s="113">
        <f>1325</f>
        <v>1325</v>
      </c>
      <c r="L36" s="114"/>
      <c r="M36" s="115"/>
      <c r="N36" s="113">
        <f>925</f>
        <v>925</v>
      </c>
      <c r="O36" s="114"/>
      <c r="P36" s="115"/>
      <c r="Q36" s="113">
        <f>925</f>
        <v>925</v>
      </c>
      <c r="R36" s="114"/>
      <c r="S36" s="115"/>
      <c r="T36" s="113">
        <f>925</f>
        <v>925</v>
      </c>
      <c r="U36" s="114"/>
      <c r="V36" s="115"/>
      <c r="W36" s="113">
        <f>1117.92</f>
        <v>1117.92</v>
      </c>
      <c r="X36" s="114"/>
      <c r="Y36" s="115"/>
      <c r="Z36" s="113">
        <f>925</f>
        <v>925</v>
      </c>
      <c r="AA36" s="114"/>
      <c r="AB36" s="115"/>
      <c r="AC36" s="113">
        <f>1387.5</f>
        <v>1387.5</v>
      </c>
      <c r="AD36" s="114"/>
      <c r="AE36" s="115"/>
      <c r="AF36" s="113">
        <f>1387.5</f>
        <v>1387.5</v>
      </c>
      <c r="AG36" s="114"/>
      <c r="AH36" s="115"/>
      <c r="AI36" s="130">
        <f t="shared" si="0"/>
        <v>11102.92</v>
      </c>
      <c r="AJ36" s="131"/>
      <c r="AK36" s="132"/>
      <c r="AL36" s="45">
        <f>AI36/AI103</f>
        <v>1.8444421530647504E-2</v>
      </c>
      <c r="AM36" s="133">
        <f>41057.96+AI36</f>
        <v>52160.88</v>
      </c>
      <c r="AN36" s="133"/>
    </row>
    <row r="37" spans="1:40" x14ac:dyDescent="0.25">
      <c r="A37" s="28" t="s">
        <v>27</v>
      </c>
      <c r="B37" s="213">
        <v>97597.28</v>
      </c>
      <c r="C37" s="213"/>
      <c r="D37" s="213"/>
      <c r="E37" s="113">
        <v>4846.41</v>
      </c>
      <c r="F37" s="114"/>
      <c r="G37" s="115"/>
      <c r="H37" s="113">
        <f>4846.41</f>
        <v>4846.41</v>
      </c>
      <c r="I37" s="114"/>
      <c r="J37" s="115"/>
      <c r="K37" s="113">
        <f>4846.41</f>
        <v>4846.41</v>
      </c>
      <c r="L37" s="114"/>
      <c r="M37" s="115"/>
      <c r="N37" s="113">
        <f>4846.41</f>
        <v>4846.41</v>
      </c>
      <c r="O37" s="114"/>
      <c r="P37" s="115"/>
      <c r="Q37" s="113">
        <f>4846.41</f>
        <v>4846.41</v>
      </c>
      <c r="R37" s="114"/>
      <c r="S37" s="115"/>
      <c r="T37" s="113">
        <f>4846.41</f>
        <v>4846.41</v>
      </c>
      <c r="U37" s="114"/>
      <c r="V37" s="115"/>
      <c r="W37" s="113">
        <f>4846.41</f>
        <v>4846.41</v>
      </c>
      <c r="X37" s="114"/>
      <c r="Y37" s="115"/>
      <c r="Z37" s="113">
        <f>4846.41</f>
        <v>4846.41</v>
      </c>
      <c r="AA37" s="114"/>
      <c r="AB37" s="115"/>
      <c r="AC37" s="113">
        <f>4846.41</f>
        <v>4846.41</v>
      </c>
      <c r="AD37" s="114"/>
      <c r="AE37" s="115"/>
      <c r="AF37" s="113">
        <f>4846.41</f>
        <v>4846.41</v>
      </c>
      <c r="AG37" s="114"/>
      <c r="AH37" s="115"/>
      <c r="AI37" s="130">
        <f t="shared" si="0"/>
        <v>48464.100000000006</v>
      </c>
      <c r="AJ37" s="131"/>
      <c r="AK37" s="132"/>
      <c r="AL37" s="45">
        <f>AI37/AI103</f>
        <v>8.0509657775022586E-2</v>
      </c>
      <c r="AM37" s="133">
        <f>97597.28+AI37</f>
        <v>146061.38</v>
      </c>
      <c r="AN37" s="133"/>
    </row>
    <row r="38" spans="1:40" x14ac:dyDescent="0.25">
      <c r="A38" s="28" t="s">
        <v>28</v>
      </c>
      <c r="B38" s="213">
        <v>26669.75</v>
      </c>
      <c r="C38" s="213"/>
      <c r="D38" s="213"/>
      <c r="E38" s="113">
        <v>4434.42</v>
      </c>
      <c r="F38" s="114"/>
      <c r="G38" s="115"/>
      <c r="H38" s="113">
        <f>4223.25</f>
        <v>4223.25</v>
      </c>
      <c r="I38" s="114"/>
      <c r="J38" s="115"/>
      <c r="K38" s="113">
        <f>4223.25</f>
        <v>4223.25</v>
      </c>
      <c r="L38" s="114"/>
      <c r="M38" s="115"/>
      <c r="N38" s="113">
        <f>4223.25+4223.25</f>
        <v>8446.5</v>
      </c>
      <c r="O38" s="114"/>
      <c r="P38" s="115"/>
      <c r="Q38" s="113">
        <v>0</v>
      </c>
      <c r="R38" s="114"/>
      <c r="S38" s="115"/>
      <c r="T38" s="113">
        <f>4223.25</f>
        <v>4223.25</v>
      </c>
      <c r="U38" s="114"/>
      <c r="V38" s="115"/>
      <c r="W38" s="113">
        <f>4223.25</f>
        <v>4223.25</v>
      </c>
      <c r="X38" s="114"/>
      <c r="Y38" s="115"/>
      <c r="Z38" s="113">
        <f>4223.25</f>
        <v>4223.25</v>
      </c>
      <c r="AA38" s="114"/>
      <c r="AB38" s="115"/>
      <c r="AC38" s="113">
        <f>4223.25</f>
        <v>4223.25</v>
      </c>
      <c r="AD38" s="114"/>
      <c r="AE38" s="115"/>
      <c r="AF38" s="113">
        <f>4223.25</f>
        <v>4223.25</v>
      </c>
      <c r="AG38" s="114"/>
      <c r="AH38" s="115"/>
      <c r="AI38" s="130">
        <f t="shared" si="0"/>
        <v>42443.67</v>
      </c>
      <c r="AJ38" s="131"/>
      <c r="AK38" s="132"/>
      <c r="AL38" s="45">
        <f>AI38/AI103</f>
        <v>7.0508383451172982E-2</v>
      </c>
      <c r="AM38" s="133">
        <f>26669.75+AI38</f>
        <v>69113.42</v>
      </c>
      <c r="AN38" s="133"/>
    </row>
    <row r="39" spans="1:40" x14ac:dyDescent="0.25">
      <c r="A39" s="28" t="s">
        <v>29</v>
      </c>
      <c r="B39" s="213">
        <f>8289</f>
        <v>8289</v>
      </c>
      <c r="C39" s="213"/>
      <c r="D39" s="213"/>
      <c r="E39" s="113">
        <v>0</v>
      </c>
      <c r="F39" s="114"/>
      <c r="G39" s="115"/>
      <c r="H39" s="113">
        <v>0</v>
      </c>
      <c r="I39" s="114"/>
      <c r="J39" s="115"/>
      <c r="K39" s="113">
        <v>0</v>
      </c>
      <c r="L39" s="114"/>
      <c r="M39" s="115"/>
      <c r="N39" s="113">
        <v>0</v>
      </c>
      <c r="O39" s="114"/>
      <c r="P39" s="115"/>
      <c r="Q39" s="113">
        <v>0</v>
      </c>
      <c r="R39" s="114"/>
      <c r="S39" s="115"/>
      <c r="T39" s="113">
        <v>0</v>
      </c>
      <c r="U39" s="114"/>
      <c r="V39" s="115"/>
      <c r="W39" s="113">
        <v>0</v>
      </c>
      <c r="X39" s="114"/>
      <c r="Y39" s="115"/>
      <c r="Z39" s="113">
        <v>0</v>
      </c>
      <c r="AA39" s="114"/>
      <c r="AB39" s="115"/>
      <c r="AC39" s="113">
        <v>0</v>
      </c>
      <c r="AD39" s="114"/>
      <c r="AE39" s="115"/>
      <c r="AF39" s="113">
        <v>0</v>
      </c>
      <c r="AG39" s="114"/>
      <c r="AH39" s="115"/>
      <c r="AI39" s="130">
        <f t="shared" si="0"/>
        <v>0</v>
      </c>
      <c r="AJ39" s="131"/>
      <c r="AK39" s="132"/>
      <c r="AL39" s="45">
        <f>AI39/AI103</f>
        <v>0</v>
      </c>
      <c r="AM39" s="133">
        <f>8289+AI39</f>
        <v>8289</v>
      </c>
      <c r="AN39" s="133"/>
    </row>
    <row r="40" spans="1:40" x14ac:dyDescent="0.25">
      <c r="A40" s="28" t="s">
        <v>30</v>
      </c>
      <c r="B40" s="213">
        <f>7863.4</f>
        <v>7863.4</v>
      </c>
      <c r="C40" s="213"/>
      <c r="D40" s="213"/>
      <c r="E40" s="113">
        <v>0</v>
      </c>
      <c r="F40" s="114"/>
      <c r="G40" s="115"/>
      <c r="H40" s="113">
        <v>0</v>
      </c>
      <c r="I40" s="114"/>
      <c r="J40" s="115"/>
      <c r="K40" s="113">
        <v>0</v>
      </c>
      <c r="L40" s="114"/>
      <c r="M40" s="115"/>
      <c r="N40" s="113">
        <v>0</v>
      </c>
      <c r="O40" s="114"/>
      <c r="P40" s="115"/>
      <c r="Q40" s="113">
        <v>0</v>
      </c>
      <c r="R40" s="114"/>
      <c r="S40" s="115"/>
      <c r="T40" s="113">
        <v>0</v>
      </c>
      <c r="U40" s="114"/>
      <c r="V40" s="115"/>
      <c r="W40" s="113">
        <v>0</v>
      </c>
      <c r="X40" s="114"/>
      <c r="Y40" s="115"/>
      <c r="Z40" s="113">
        <v>0</v>
      </c>
      <c r="AA40" s="114"/>
      <c r="AB40" s="115"/>
      <c r="AC40" s="113">
        <v>0</v>
      </c>
      <c r="AD40" s="114"/>
      <c r="AE40" s="115"/>
      <c r="AF40" s="113">
        <v>0</v>
      </c>
      <c r="AG40" s="114"/>
      <c r="AH40" s="115"/>
      <c r="AI40" s="130">
        <f t="shared" si="0"/>
        <v>0</v>
      </c>
      <c r="AJ40" s="131"/>
      <c r="AK40" s="132"/>
      <c r="AL40" s="45">
        <f>AI40/AI103</f>
        <v>0</v>
      </c>
      <c r="AM40" s="133">
        <f>7863.4+AI40</f>
        <v>7863.4</v>
      </c>
      <c r="AN40" s="133"/>
    </row>
    <row r="41" spans="1:40" x14ac:dyDescent="0.25">
      <c r="A41" s="28" t="s">
        <v>31</v>
      </c>
      <c r="B41" s="213">
        <f>2005</f>
        <v>2005</v>
      </c>
      <c r="C41" s="213"/>
      <c r="D41" s="213"/>
      <c r="E41" s="113">
        <v>0</v>
      </c>
      <c r="F41" s="114"/>
      <c r="G41" s="115"/>
      <c r="H41" s="113">
        <v>0</v>
      </c>
      <c r="I41" s="114"/>
      <c r="J41" s="115"/>
      <c r="K41" s="113">
        <v>0</v>
      </c>
      <c r="L41" s="114"/>
      <c r="M41" s="115"/>
      <c r="N41" s="113">
        <v>0</v>
      </c>
      <c r="O41" s="114"/>
      <c r="P41" s="115"/>
      <c r="Q41" s="113">
        <v>0</v>
      </c>
      <c r="R41" s="114"/>
      <c r="S41" s="115"/>
      <c r="T41" s="113">
        <v>0</v>
      </c>
      <c r="U41" s="114"/>
      <c r="V41" s="115"/>
      <c r="W41" s="113">
        <v>0</v>
      </c>
      <c r="X41" s="114"/>
      <c r="Y41" s="115"/>
      <c r="Z41" s="113">
        <v>0</v>
      </c>
      <c r="AA41" s="114"/>
      <c r="AB41" s="115"/>
      <c r="AC41" s="113">
        <v>0</v>
      </c>
      <c r="AD41" s="114"/>
      <c r="AE41" s="115"/>
      <c r="AF41" s="113">
        <v>0</v>
      </c>
      <c r="AG41" s="114"/>
      <c r="AH41" s="115"/>
      <c r="AI41" s="130">
        <f t="shared" si="0"/>
        <v>0</v>
      </c>
      <c r="AJ41" s="131"/>
      <c r="AK41" s="132"/>
      <c r="AL41" s="45">
        <f>AI41/AI103</f>
        <v>0</v>
      </c>
      <c r="AM41" s="133">
        <f>2005+AI41</f>
        <v>2005</v>
      </c>
      <c r="AN41" s="133"/>
    </row>
    <row r="42" spans="1:40" x14ac:dyDescent="0.25">
      <c r="A42" s="27" t="s">
        <v>32</v>
      </c>
      <c r="B42" s="119">
        <f>SUM(B43:D45)</f>
        <v>380413.85</v>
      </c>
      <c r="C42" s="119"/>
      <c r="D42" s="119"/>
      <c r="E42" s="119">
        <f>SUM(E43:G45)</f>
        <v>0</v>
      </c>
      <c r="F42" s="119"/>
      <c r="G42" s="119"/>
      <c r="H42" s="119">
        <f>SUM(H43:J45)</f>
        <v>0</v>
      </c>
      <c r="I42" s="119"/>
      <c r="J42" s="119"/>
      <c r="K42" s="119">
        <f>SUM(K43:M45)</f>
        <v>0</v>
      </c>
      <c r="L42" s="119"/>
      <c r="M42" s="119"/>
      <c r="N42" s="119">
        <f>SUM(N43:P45)</f>
        <v>25000</v>
      </c>
      <c r="O42" s="119"/>
      <c r="P42" s="119"/>
      <c r="Q42" s="119">
        <f>SUM(Q43:S45)</f>
        <v>25000</v>
      </c>
      <c r="R42" s="119"/>
      <c r="S42" s="119"/>
      <c r="T42" s="119">
        <f>SUM(T43:V45)</f>
        <v>40000</v>
      </c>
      <c r="U42" s="119"/>
      <c r="V42" s="119"/>
      <c r="W42" s="119">
        <f>SUM(W43:Y45)</f>
        <v>0</v>
      </c>
      <c r="X42" s="119"/>
      <c r="Y42" s="119"/>
      <c r="Z42" s="119">
        <f>SUM(Z43:AB45)</f>
        <v>0</v>
      </c>
      <c r="AA42" s="119"/>
      <c r="AB42" s="119"/>
      <c r="AC42" s="119">
        <f>SUM(AC43:AE45)</f>
        <v>0</v>
      </c>
      <c r="AD42" s="119"/>
      <c r="AE42" s="119"/>
      <c r="AF42" s="119">
        <f>SUM(AF43:AH45)</f>
        <v>70000</v>
      </c>
      <c r="AG42" s="119"/>
      <c r="AH42" s="119"/>
      <c r="AI42" s="217">
        <f>SUM(AI43:AK45)</f>
        <v>160000</v>
      </c>
      <c r="AJ42" s="218"/>
      <c r="AK42" s="219"/>
      <c r="AL42" s="44">
        <f>AI42/AI103</f>
        <v>0.26579561456838385</v>
      </c>
      <c r="AM42" s="220">
        <f>SUM(AM43:AN45)</f>
        <v>540413.85</v>
      </c>
      <c r="AN42" s="220"/>
    </row>
    <row r="43" spans="1:40" x14ac:dyDescent="0.25">
      <c r="A43" s="28" t="s">
        <v>139</v>
      </c>
      <c r="B43" s="213">
        <f>214077.5</f>
        <v>214077.5</v>
      </c>
      <c r="C43" s="213"/>
      <c r="D43" s="213"/>
      <c r="E43" s="113">
        <v>0</v>
      </c>
      <c r="F43" s="114"/>
      <c r="G43" s="115"/>
      <c r="H43" s="113">
        <v>0</v>
      </c>
      <c r="I43" s="114"/>
      <c r="J43" s="115"/>
      <c r="K43" s="113">
        <v>0</v>
      </c>
      <c r="L43" s="114"/>
      <c r="M43" s="115"/>
      <c r="N43" s="113">
        <f>25000</f>
        <v>25000</v>
      </c>
      <c r="O43" s="114"/>
      <c r="P43" s="115"/>
      <c r="Q43" s="113">
        <f>25000</f>
        <v>25000</v>
      </c>
      <c r="R43" s="114"/>
      <c r="S43" s="115"/>
      <c r="T43" s="113">
        <f>40000</f>
        <v>40000</v>
      </c>
      <c r="U43" s="114"/>
      <c r="V43" s="115"/>
      <c r="W43" s="113">
        <v>0</v>
      </c>
      <c r="X43" s="114"/>
      <c r="Y43" s="115"/>
      <c r="Z43" s="113">
        <v>0</v>
      </c>
      <c r="AA43" s="114"/>
      <c r="AB43" s="115"/>
      <c r="AC43" s="113">
        <v>0</v>
      </c>
      <c r="AD43" s="114"/>
      <c r="AE43" s="115"/>
      <c r="AF43" s="113">
        <f>70000</f>
        <v>70000</v>
      </c>
      <c r="AG43" s="114"/>
      <c r="AH43" s="115"/>
      <c r="AI43" s="130">
        <f>E43+H43+K43+N43+Q43+T43+W43+Z43+AC43+AF43</f>
        <v>160000</v>
      </c>
      <c r="AJ43" s="131"/>
      <c r="AK43" s="132"/>
      <c r="AL43" s="45">
        <f>AI43/AI103</f>
        <v>0.26579561456838385</v>
      </c>
      <c r="AM43" s="133">
        <f>214077.5+AI43</f>
        <v>374077.5</v>
      </c>
      <c r="AN43" s="133"/>
    </row>
    <row r="44" spans="1:40" x14ac:dyDescent="0.25">
      <c r="A44" s="28" t="s">
        <v>33</v>
      </c>
      <c r="B44" s="213">
        <f>151996.63</f>
        <v>151996.63</v>
      </c>
      <c r="C44" s="213"/>
      <c r="D44" s="213"/>
      <c r="E44" s="113">
        <v>0</v>
      </c>
      <c r="F44" s="114"/>
      <c r="G44" s="115"/>
      <c r="H44" s="113">
        <v>0</v>
      </c>
      <c r="I44" s="114"/>
      <c r="J44" s="115"/>
      <c r="K44" s="113">
        <v>0</v>
      </c>
      <c r="L44" s="114"/>
      <c r="M44" s="115"/>
      <c r="N44" s="113">
        <v>0</v>
      </c>
      <c r="O44" s="114"/>
      <c r="P44" s="115"/>
      <c r="Q44" s="113">
        <v>0</v>
      </c>
      <c r="R44" s="114"/>
      <c r="S44" s="115"/>
      <c r="T44" s="113">
        <v>0</v>
      </c>
      <c r="U44" s="114"/>
      <c r="V44" s="115"/>
      <c r="W44" s="113">
        <v>0</v>
      </c>
      <c r="X44" s="114"/>
      <c r="Y44" s="115"/>
      <c r="Z44" s="113">
        <v>0</v>
      </c>
      <c r="AA44" s="114"/>
      <c r="AB44" s="115"/>
      <c r="AC44" s="113">
        <v>0</v>
      </c>
      <c r="AD44" s="114"/>
      <c r="AE44" s="115"/>
      <c r="AF44" s="113">
        <v>0</v>
      </c>
      <c r="AG44" s="114"/>
      <c r="AH44" s="115"/>
      <c r="AI44" s="130">
        <f t="shared" ref="AI44:AI45" si="1">E44+H44+K44+N44+Q44+T44+W44+Z44+AC44+AF44</f>
        <v>0</v>
      </c>
      <c r="AJ44" s="131"/>
      <c r="AK44" s="132"/>
      <c r="AL44" s="45">
        <f>AI44/AI103</f>
        <v>0</v>
      </c>
      <c r="AM44" s="133">
        <f>151996.63+AI44</f>
        <v>151996.63</v>
      </c>
      <c r="AN44" s="133"/>
    </row>
    <row r="45" spans="1:40" x14ac:dyDescent="0.25">
      <c r="A45" s="28" t="s">
        <v>34</v>
      </c>
      <c r="B45" s="130">
        <v>14339.72</v>
      </c>
      <c r="C45" s="131"/>
      <c r="D45" s="132"/>
      <c r="E45" s="214">
        <v>0</v>
      </c>
      <c r="F45" s="215"/>
      <c r="G45" s="216"/>
      <c r="H45" s="113">
        <v>0</v>
      </c>
      <c r="I45" s="114"/>
      <c r="J45" s="115"/>
      <c r="K45" s="113">
        <v>0</v>
      </c>
      <c r="L45" s="114"/>
      <c r="M45" s="115"/>
      <c r="N45" s="113">
        <v>0</v>
      </c>
      <c r="O45" s="114"/>
      <c r="P45" s="115"/>
      <c r="Q45" s="113">
        <v>0</v>
      </c>
      <c r="R45" s="114"/>
      <c r="S45" s="115"/>
      <c r="T45" s="113">
        <v>0</v>
      </c>
      <c r="U45" s="114"/>
      <c r="V45" s="115"/>
      <c r="W45" s="113">
        <v>0</v>
      </c>
      <c r="X45" s="114"/>
      <c r="Y45" s="115"/>
      <c r="Z45" s="113">
        <v>0</v>
      </c>
      <c r="AA45" s="114"/>
      <c r="AB45" s="115"/>
      <c r="AC45" s="113">
        <v>0</v>
      </c>
      <c r="AD45" s="114"/>
      <c r="AE45" s="115"/>
      <c r="AF45" s="113">
        <v>0</v>
      </c>
      <c r="AG45" s="114"/>
      <c r="AH45" s="115"/>
      <c r="AI45" s="130">
        <f t="shared" si="1"/>
        <v>0</v>
      </c>
      <c r="AJ45" s="131"/>
      <c r="AK45" s="132"/>
      <c r="AL45" s="45">
        <f>AI45/AI104</f>
        <v>0</v>
      </c>
      <c r="AM45" s="133">
        <f>14339.72+AI45</f>
        <v>14339.72</v>
      </c>
      <c r="AN45" s="133"/>
    </row>
    <row r="46" spans="1:40" x14ac:dyDescent="0.25">
      <c r="A46" s="27" t="s">
        <v>35</v>
      </c>
      <c r="B46" s="119">
        <f>SUM(B47:D49)</f>
        <v>77211.740000000005</v>
      </c>
      <c r="C46" s="119"/>
      <c r="D46" s="119"/>
      <c r="E46" s="119">
        <f>SUM(E47:G49)</f>
        <v>0</v>
      </c>
      <c r="F46" s="119"/>
      <c r="G46" s="119"/>
      <c r="H46" s="119">
        <f>SUM(H47:J49)</f>
        <v>0</v>
      </c>
      <c r="I46" s="119"/>
      <c r="J46" s="119"/>
      <c r="K46" s="119">
        <f>SUM(K47:M49)</f>
        <v>0</v>
      </c>
      <c r="L46" s="119"/>
      <c r="M46" s="119"/>
      <c r="N46" s="119">
        <f>SUM(N47:P49)</f>
        <v>0</v>
      </c>
      <c r="O46" s="119"/>
      <c r="P46" s="119"/>
      <c r="Q46" s="119">
        <f>SUM(Q47:S49)</f>
        <v>0</v>
      </c>
      <c r="R46" s="119"/>
      <c r="S46" s="119"/>
      <c r="T46" s="119">
        <f>SUM(T47:V49)</f>
        <v>0</v>
      </c>
      <c r="U46" s="119"/>
      <c r="V46" s="119"/>
      <c r="W46" s="119">
        <f>SUM(W47:Y49)</f>
        <v>0</v>
      </c>
      <c r="X46" s="119"/>
      <c r="Y46" s="119"/>
      <c r="Z46" s="119">
        <f>SUM(Z47:AB49)</f>
        <v>19.350000000000001</v>
      </c>
      <c r="AA46" s="119"/>
      <c r="AB46" s="119"/>
      <c r="AC46" s="119">
        <f>SUM(AC47:AE49)</f>
        <v>585.52</v>
      </c>
      <c r="AD46" s="119"/>
      <c r="AE46" s="119"/>
      <c r="AF46" s="119">
        <f>SUM(AF47:AH49)</f>
        <v>1305.8499999999999</v>
      </c>
      <c r="AG46" s="119"/>
      <c r="AH46" s="119"/>
      <c r="AI46" s="217">
        <f>SUM(AI47:AK49)</f>
        <v>1910.7199999999998</v>
      </c>
      <c r="AJ46" s="218"/>
      <c r="AK46" s="219"/>
      <c r="AL46" s="44">
        <f>AI46/AI103</f>
        <v>3.17413122917564E-3</v>
      </c>
      <c r="AM46" s="220">
        <f>SUM(AM47:AN49)</f>
        <v>79122.459999999992</v>
      </c>
      <c r="AN46" s="220"/>
    </row>
    <row r="47" spans="1:40" x14ac:dyDescent="0.25">
      <c r="A47" s="28" t="s">
        <v>36</v>
      </c>
      <c r="B47" s="221">
        <v>3414.91</v>
      </c>
      <c r="C47" s="221"/>
      <c r="D47" s="221"/>
      <c r="E47" s="113">
        <v>0</v>
      </c>
      <c r="F47" s="114"/>
      <c r="G47" s="115"/>
      <c r="H47" s="113">
        <v>0</v>
      </c>
      <c r="I47" s="114"/>
      <c r="J47" s="115"/>
      <c r="K47" s="113">
        <v>0</v>
      </c>
      <c r="L47" s="114"/>
      <c r="M47" s="115"/>
      <c r="N47" s="113">
        <v>0</v>
      </c>
      <c r="O47" s="114"/>
      <c r="P47" s="115"/>
      <c r="Q47" s="113">
        <v>0</v>
      </c>
      <c r="R47" s="114"/>
      <c r="S47" s="115"/>
      <c r="T47" s="113">
        <v>0</v>
      </c>
      <c r="U47" s="114"/>
      <c r="V47" s="115"/>
      <c r="W47" s="113">
        <v>0</v>
      </c>
      <c r="X47" s="114"/>
      <c r="Y47" s="115"/>
      <c r="Z47" s="113">
        <v>0</v>
      </c>
      <c r="AA47" s="114"/>
      <c r="AB47" s="115"/>
      <c r="AC47" s="113">
        <f>585.52</f>
        <v>585.52</v>
      </c>
      <c r="AD47" s="114"/>
      <c r="AE47" s="115"/>
      <c r="AF47" s="113">
        <v>0</v>
      </c>
      <c r="AG47" s="114"/>
      <c r="AH47" s="115"/>
      <c r="AI47" s="130">
        <f>0+E47+H47+K47+N47+Q47+T47+W47+Z47+AC4+AC47+AF47</f>
        <v>585.52</v>
      </c>
      <c r="AJ47" s="131"/>
      <c r="AK47" s="132"/>
      <c r="AL47" s="45">
        <f>AI47/AI103</f>
        <v>9.7267905151300074E-4</v>
      </c>
      <c r="AM47" s="133">
        <f>3414.91+AI47</f>
        <v>4000.43</v>
      </c>
      <c r="AN47" s="133"/>
    </row>
    <row r="48" spans="1:40" x14ac:dyDescent="0.25">
      <c r="A48" s="28" t="s">
        <v>37</v>
      </c>
      <c r="B48" s="213">
        <v>11615.83</v>
      </c>
      <c r="C48" s="213"/>
      <c r="D48" s="213"/>
      <c r="E48" s="113">
        <v>0</v>
      </c>
      <c r="F48" s="114"/>
      <c r="G48" s="115"/>
      <c r="H48" s="113">
        <v>0</v>
      </c>
      <c r="I48" s="114"/>
      <c r="J48" s="115"/>
      <c r="K48" s="113">
        <v>0</v>
      </c>
      <c r="L48" s="114"/>
      <c r="M48" s="115"/>
      <c r="N48" s="113">
        <v>0</v>
      </c>
      <c r="O48" s="114"/>
      <c r="P48" s="115"/>
      <c r="Q48" s="113">
        <v>0</v>
      </c>
      <c r="R48" s="114"/>
      <c r="S48" s="115"/>
      <c r="T48" s="113">
        <v>0</v>
      </c>
      <c r="U48" s="114"/>
      <c r="V48" s="115"/>
      <c r="W48" s="113">
        <v>0</v>
      </c>
      <c r="X48" s="114"/>
      <c r="Y48" s="115"/>
      <c r="Z48" s="113">
        <f>19.35</f>
        <v>19.350000000000001</v>
      </c>
      <c r="AA48" s="114"/>
      <c r="AB48" s="115"/>
      <c r="AC48" s="113">
        <v>0</v>
      </c>
      <c r="AD48" s="114"/>
      <c r="AE48" s="115"/>
      <c r="AF48" s="113">
        <f>1305.85</f>
        <v>1305.8499999999999</v>
      </c>
      <c r="AG48" s="114"/>
      <c r="AH48" s="115"/>
      <c r="AI48" s="130">
        <f t="shared" ref="AI48:AI49" si="2">0+E48+H48+K48+N48+Q48+T48+W48+Z48+AC5+AC48+AF48</f>
        <v>1325.1999999999998</v>
      </c>
      <c r="AJ48" s="131"/>
      <c r="AK48" s="132"/>
      <c r="AL48" s="45">
        <f>AI48/AI103</f>
        <v>2.201452177662639E-3</v>
      </c>
      <c r="AM48" s="133">
        <f>11615.83+AI48</f>
        <v>12941.029999999999</v>
      </c>
      <c r="AN48" s="133"/>
    </row>
    <row r="49" spans="1:40" x14ac:dyDescent="0.25">
      <c r="A49" s="28" t="s">
        <v>38</v>
      </c>
      <c r="B49" s="213">
        <v>62181</v>
      </c>
      <c r="C49" s="213"/>
      <c r="D49" s="213"/>
      <c r="E49" s="113">
        <v>0</v>
      </c>
      <c r="F49" s="114"/>
      <c r="G49" s="115"/>
      <c r="H49" s="113">
        <v>0</v>
      </c>
      <c r="I49" s="114"/>
      <c r="J49" s="115"/>
      <c r="K49" s="113">
        <v>0</v>
      </c>
      <c r="L49" s="114"/>
      <c r="M49" s="115"/>
      <c r="N49" s="113">
        <v>0</v>
      </c>
      <c r="O49" s="114"/>
      <c r="P49" s="115"/>
      <c r="Q49" s="113">
        <v>0</v>
      </c>
      <c r="R49" s="114"/>
      <c r="S49" s="115"/>
      <c r="T49" s="113">
        <v>0</v>
      </c>
      <c r="U49" s="114"/>
      <c r="V49" s="115"/>
      <c r="W49" s="113">
        <v>0</v>
      </c>
      <c r="X49" s="114"/>
      <c r="Y49" s="115"/>
      <c r="Z49" s="113">
        <v>0</v>
      </c>
      <c r="AA49" s="114"/>
      <c r="AB49" s="115"/>
      <c r="AC49" s="113">
        <v>0</v>
      </c>
      <c r="AD49" s="114"/>
      <c r="AE49" s="115"/>
      <c r="AF49" s="113">
        <v>0</v>
      </c>
      <c r="AG49" s="114"/>
      <c r="AH49" s="115"/>
      <c r="AI49" s="130">
        <f t="shared" si="2"/>
        <v>0</v>
      </c>
      <c r="AJ49" s="131"/>
      <c r="AK49" s="132"/>
      <c r="AL49" s="45">
        <f>AI49/AI103</f>
        <v>0</v>
      </c>
      <c r="AM49" s="133">
        <f>62181+AI49</f>
        <v>62181</v>
      </c>
      <c r="AN49" s="133"/>
    </row>
    <row r="50" spans="1:40" x14ac:dyDescent="0.25">
      <c r="A50" s="27" t="s">
        <v>39</v>
      </c>
      <c r="B50" s="119">
        <f>SUM(B51:D63)</f>
        <v>241215.44999999998</v>
      </c>
      <c r="C50" s="119"/>
      <c r="D50" s="119"/>
      <c r="E50" s="119">
        <f>SUM(E51:G63)</f>
        <v>3895.7200000000003</v>
      </c>
      <c r="F50" s="119"/>
      <c r="G50" s="119"/>
      <c r="H50" s="119">
        <f>SUM(H51:J63)</f>
        <v>3671.7200000000003</v>
      </c>
      <c r="I50" s="119"/>
      <c r="J50" s="119"/>
      <c r="K50" s="119">
        <f>SUM(K51:M63)</f>
        <v>3677.12</v>
      </c>
      <c r="L50" s="119"/>
      <c r="M50" s="119"/>
      <c r="N50" s="119">
        <f>SUM(N51:P63)</f>
        <v>3721.62</v>
      </c>
      <c r="O50" s="119"/>
      <c r="P50" s="119"/>
      <c r="Q50" s="119">
        <f>SUM(Q51:S63)</f>
        <v>4178.0200000000004</v>
      </c>
      <c r="R50" s="119"/>
      <c r="S50" s="119"/>
      <c r="T50" s="119">
        <f>SUM(T51:V63)</f>
        <v>3677.57</v>
      </c>
      <c r="U50" s="119"/>
      <c r="V50" s="119"/>
      <c r="W50" s="119">
        <f>SUM(W51:Y63)</f>
        <v>3766.07</v>
      </c>
      <c r="X50" s="119"/>
      <c r="Y50" s="119"/>
      <c r="Z50" s="119">
        <f>SUM(Z51:AB63)</f>
        <v>3913.67</v>
      </c>
      <c r="AA50" s="119"/>
      <c r="AB50" s="119"/>
      <c r="AC50" s="119">
        <f>SUM(AC51:AE63)</f>
        <v>4223.72</v>
      </c>
      <c r="AD50" s="119"/>
      <c r="AE50" s="119"/>
      <c r="AF50" s="119">
        <f>SUM(AF51:AH63)</f>
        <v>7796.62</v>
      </c>
      <c r="AG50" s="119"/>
      <c r="AH50" s="119"/>
      <c r="AI50" s="217">
        <f>SUM(AI51:AK63)</f>
        <v>42521.85</v>
      </c>
      <c r="AJ50" s="218"/>
      <c r="AK50" s="219"/>
      <c r="AL50" s="44">
        <f>AI50/AI103</f>
        <v>7.0638257833341461E-2</v>
      </c>
      <c r="AM50" s="220">
        <f>SUM(AM51:AN63)</f>
        <v>283737.30000000005</v>
      </c>
      <c r="AN50" s="220"/>
    </row>
    <row r="51" spans="1:40" x14ac:dyDescent="0.25">
      <c r="A51" s="30" t="s">
        <v>40</v>
      </c>
      <c r="B51" s="213">
        <v>28211.279999999999</v>
      </c>
      <c r="C51" s="213"/>
      <c r="D51" s="213"/>
      <c r="E51" s="113">
        <v>0</v>
      </c>
      <c r="F51" s="114"/>
      <c r="G51" s="115"/>
      <c r="H51" s="113">
        <v>0</v>
      </c>
      <c r="I51" s="114"/>
      <c r="J51" s="115"/>
      <c r="K51" s="113">
        <v>0</v>
      </c>
      <c r="L51" s="114"/>
      <c r="M51" s="115"/>
      <c r="N51" s="113">
        <v>0</v>
      </c>
      <c r="O51" s="114"/>
      <c r="P51" s="115"/>
      <c r="Q51" s="113">
        <v>0</v>
      </c>
      <c r="R51" s="114"/>
      <c r="S51" s="115"/>
      <c r="T51" s="113">
        <v>0</v>
      </c>
      <c r="U51" s="114"/>
      <c r="V51" s="115"/>
      <c r="W51" s="113">
        <v>0</v>
      </c>
      <c r="X51" s="114"/>
      <c r="Y51" s="115"/>
      <c r="Z51" s="113">
        <v>0</v>
      </c>
      <c r="AA51" s="114"/>
      <c r="AB51" s="115"/>
      <c r="AC51" s="113">
        <v>0</v>
      </c>
      <c r="AD51" s="114"/>
      <c r="AE51" s="115"/>
      <c r="AF51" s="113">
        <v>0</v>
      </c>
      <c r="AG51" s="114"/>
      <c r="AH51" s="115"/>
      <c r="AI51" s="130">
        <f>0+E51+H51+K51+N51+Q51+T51+W51+Z51+AC51+AF51</f>
        <v>0</v>
      </c>
      <c r="AJ51" s="131"/>
      <c r="AK51" s="132"/>
      <c r="AL51" s="45">
        <f>AI51/AI103</f>
        <v>0</v>
      </c>
      <c r="AM51" s="133">
        <f>28211.28+AI51</f>
        <v>28211.279999999999</v>
      </c>
      <c r="AN51" s="133"/>
    </row>
    <row r="52" spans="1:40" x14ac:dyDescent="0.25">
      <c r="A52" s="28" t="s">
        <v>41</v>
      </c>
      <c r="B52" s="213">
        <v>9340</v>
      </c>
      <c r="C52" s="213"/>
      <c r="D52" s="213"/>
      <c r="E52" s="113">
        <v>0</v>
      </c>
      <c r="F52" s="114"/>
      <c r="G52" s="115"/>
      <c r="H52" s="113">
        <v>0</v>
      </c>
      <c r="I52" s="114"/>
      <c r="J52" s="115"/>
      <c r="K52" s="113">
        <v>0</v>
      </c>
      <c r="L52" s="114"/>
      <c r="M52" s="115"/>
      <c r="N52" s="113">
        <v>0</v>
      </c>
      <c r="O52" s="114"/>
      <c r="P52" s="115"/>
      <c r="Q52" s="113">
        <v>0</v>
      </c>
      <c r="R52" s="114"/>
      <c r="S52" s="115"/>
      <c r="T52" s="113">
        <v>0</v>
      </c>
      <c r="U52" s="114"/>
      <c r="V52" s="115"/>
      <c r="W52" s="113">
        <v>0</v>
      </c>
      <c r="X52" s="114"/>
      <c r="Y52" s="115"/>
      <c r="Z52" s="113">
        <v>0</v>
      </c>
      <c r="AA52" s="114"/>
      <c r="AB52" s="115"/>
      <c r="AC52" s="113">
        <v>0</v>
      </c>
      <c r="AD52" s="114"/>
      <c r="AE52" s="115"/>
      <c r="AF52" s="113">
        <v>0</v>
      </c>
      <c r="AG52" s="114"/>
      <c r="AH52" s="115"/>
      <c r="AI52" s="130">
        <f t="shared" ref="AI52:AI63" si="3">0+E52+H52+K52+N52+Q52+T52+W52+Z52+AC52+AF52</f>
        <v>0</v>
      </c>
      <c r="AJ52" s="131"/>
      <c r="AK52" s="132"/>
      <c r="AL52" s="45">
        <f>AI52/AI103</f>
        <v>0</v>
      </c>
      <c r="AM52" s="133">
        <f>9340+AI52</f>
        <v>9340</v>
      </c>
      <c r="AN52" s="133"/>
    </row>
    <row r="53" spans="1:40" x14ac:dyDescent="0.25">
      <c r="A53" s="28" t="s">
        <v>42</v>
      </c>
      <c r="B53" s="213">
        <v>16890</v>
      </c>
      <c r="C53" s="213"/>
      <c r="D53" s="213"/>
      <c r="E53" s="113">
        <f>450</f>
        <v>450</v>
      </c>
      <c r="F53" s="114"/>
      <c r="G53" s="115"/>
      <c r="H53" s="113">
        <f>450</f>
        <v>450</v>
      </c>
      <c r="I53" s="114"/>
      <c r="J53" s="115"/>
      <c r="K53" s="113">
        <f>450</f>
        <v>450</v>
      </c>
      <c r="L53" s="114"/>
      <c r="M53" s="115"/>
      <c r="N53" s="113">
        <f>450</f>
        <v>450</v>
      </c>
      <c r="O53" s="114"/>
      <c r="P53" s="115"/>
      <c r="Q53" s="113">
        <f>450</f>
        <v>450</v>
      </c>
      <c r="R53" s="114"/>
      <c r="S53" s="115"/>
      <c r="T53" s="113">
        <f>450</f>
        <v>450</v>
      </c>
      <c r="U53" s="114"/>
      <c r="V53" s="115"/>
      <c r="W53" s="113">
        <f>450</f>
        <v>450</v>
      </c>
      <c r="X53" s="114"/>
      <c r="Y53" s="115"/>
      <c r="Z53" s="113">
        <f>450</f>
        <v>450</v>
      </c>
      <c r="AA53" s="114"/>
      <c r="AB53" s="115"/>
      <c r="AC53" s="113">
        <f>450</f>
        <v>450</v>
      </c>
      <c r="AD53" s="114"/>
      <c r="AE53" s="115"/>
      <c r="AF53" s="113">
        <f>450</f>
        <v>450</v>
      </c>
      <c r="AG53" s="114"/>
      <c r="AH53" s="115"/>
      <c r="AI53" s="130">
        <f t="shared" si="3"/>
        <v>4500</v>
      </c>
      <c r="AJ53" s="131"/>
      <c r="AK53" s="132"/>
      <c r="AL53" s="45">
        <f>AI53/AI103</f>
        <v>7.4755016597357962E-3</v>
      </c>
      <c r="AM53" s="133">
        <f>16890+AI53</f>
        <v>21390</v>
      </c>
      <c r="AN53" s="133"/>
    </row>
    <row r="54" spans="1:40" x14ac:dyDescent="0.25">
      <c r="A54" s="28" t="s">
        <v>154</v>
      </c>
      <c r="B54" s="213">
        <v>43576.7</v>
      </c>
      <c r="C54" s="213"/>
      <c r="D54" s="213"/>
      <c r="E54" s="113">
        <v>0</v>
      </c>
      <c r="F54" s="114"/>
      <c r="G54" s="115"/>
      <c r="H54" s="113">
        <v>0</v>
      </c>
      <c r="I54" s="114"/>
      <c r="J54" s="115"/>
      <c r="K54" s="113">
        <v>0</v>
      </c>
      <c r="L54" s="114"/>
      <c r="M54" s="115"/>
      <c r="N54" s="113">
        <v>0</v>
      </c>
      <c r="O54" s="114"/>
      <c r="P54" s="115"/>
      <c r="Q54" s="113">
        <v>0</v>
      </c>
      <c r="R54" s="114"/>
      <c r="S54" s="115"/>
      <c r="T54" s="113">
        <v>0</v>
      </c>
      <c r="U54" s="114"/>
      <c r="V54" s="115"/>
      <c r="W54" s="113">
        <v>0</v>
      </c>
      <c r="X54" s="114"/>
      <c r="Y54" s="115"/>
      <c r="Z54" s="113">
        <v>0</v>
      </c>
      <c r="AA54" s="114"/>
      <c r="AB54" s="115"/>
      <c r="AC54" s="113">
        <v>0</v>
      </c>
      <c r="AD54" s="114"/>
      <c r="AE54" s="115"/>
      <c r="AF54" s="113">
        <f>3500</f>
        <v>3500</v>
      </c>
      <c r="AG54" s="114"/>
      <c r="AH54" s="115"/>
      <c r="AI54" s="130">
        <f t="shared" si="3"/>
        <v>3500</v>
      </c>
      <c r="AJ54" s="131"/>
      <c r="AK54" s="132"/>
      <c r="AL54" s="45">
        <f>AI54/AI103</f>
        <v>5.814279068683397E-3</v>
      </c>
      <c r="AM54" s="133">
        <f>43576.7+AI54</f>
        <v>47076.7</v>
      </c>
      <c r="AN54" s="133"/>
    </row>
    <row r="55" spans="1:40" x14ac:dyDescent="0.25">
      <c r="A55" s="28" t="s">
        <v>155</v>
      </c>
      <c r="B55" s="213">
        <v>96857.71</v>
      </c>
      <c r="C55" s="213"/>
      <c r="D55" s="213"/>
      <c r="E55" s="113">
        <f>2722.05</f>
        <v>2722.05</v>
      </c>
      <c r="F55" s="114"/>
      <c r="G55" s="115"/>
      <c r="H55" s="113">
        <f>2713.05</f>
        <v>2713.05</v>
      </c>
      <c r="I55" s="114"/>
      <c r="J55" s="115"/>
      <c r="K55" s="113">
        <f>2718.45</f>
        <v>2718.45</v>
      </c>
      <c r="L55" s="114"/>
      <c r="M55" s="115"/>
      <c r="N55" s="113">
        <f>2722.95</f>
        <v>2722.95</v>
      </c>
      <c r="O55" s="114"/>
      <c r="P55" s="115"/>
      <c r="Q55" s="113">
        <f>2719.35</f>
        <v>2719.35</v>
      </c>
      <c r="R55" s="114"/>
      <c r="S55" s="115"/>
      <c r="T55" s="113">
        <f>2718.9</f>
        <v>2718.9</v>
      </c>
      <c r="U55" s="114"/>
      <c r="V55" s="115"/>
      <c r="W55" s="113">
        <f>2768.4</f>
        <v>2768.4</v>
      </c>
      <c r="X55" s="114"/>
      <c r="Y55" s="115"/>
      <c r="Z55" s="113">
        <f>2916</f>
        <v>2916</v>
      </c>
      <c r="AA55" s="114"/>
      <c r="AB55" s="115"/>
      <c r="AC55" s="113">
        <f>3226.05</f>
        <v>3226.05</v>
      </c>
      <c r="AD55" s="114"/>
      <c r="AE55" s="115"/>
      <c r="AF55" s="113">
        <f>3298.95</f>
        <v>3298.95</v>
      </c>
      <c r="AG55" s="114"/>
      <c r="AH55" s="115"/>
      <c r="AI55" s="130">
        <f t="shared" si="3"/>
        <v>28524.15</v>
      </c>
      <c r="AJ55" s="131"/>
      <c r="AK55" s="132"/>
      <c r="AL55" s="45">
        <f>AI55/AI103</f>
        <v>4.7384962370567295E-2</v>
      </c>
      <c r="AM55" s="133">
        <f>96857.71+AI55</f>
        <v>125381.86000000002</v>
      </c>
      <c r="AN55" s="133"/>
    </row>
    <row r="56" spans="1:40" x14ac:dyDescent="0.25">
      <c r="A56" s="28" t="s">
        <v>43</v>
      </c>
      <c r="B56" s="213">
        <v>9150.25</v>
      </c>
      <c r="C56" s="213"/>
      <c r="D56" s="213"/>
      <c r="E56" s="113">
        <f>293.67</f>
        <v>293.67</v>
      </c>
      <c r="F56" s="114"/>
      <c r="G56" s="115"/>
      <c r="H56" s="113">
        <f>293.67</f>
        <v>293.67</v>
      </c>
      <c r="I56" s="114"/>
      <c r="J56" s="115"/>
      <c r="K56" s="113">
        <f>293.67</f>
        <v>293.67</v>
      </c>
      <c r="L56" s="114"/>
      <c r="M56" s="115"/>
      <c r="N56" s="113">
        <f>293.67</f>
        <v>293.67</v>
      </c>
      <c r="O56" s="114"/>
      <c r="P56" s="115"/>
      <c r="Q56" s="113">
        <f>293.67</f>
        <v>293.67</v>
      </c>
      <c r="R56" s="114"/>
      <c r="S56" s="115"/>
      <c r="T56" s="113">
        <f>293.67</f>
        <v>293.67</v>
      </c>
      <c r="U56" s="114"/>
      <c r="V56" s="115"/>
      <c r="W56" s="113">
        <f>293.67</f>
        <v>293.67</v>
      </c>
      <c r="X56" s="114"/>
      <c r="Y56" s="115"/>
      <c r="Z56" s="113">
        <f>293.67</f>
        <v>293.67</v>
      </c>
      <c r="AA56" s="114"/>
      <c r="AB56" s="115"/>
      <c r="AC56" s="113">
        <f>293.67</f>
        <v>293.67</v>
      </c>
      <c r="AD56" s="114"/>
      <c r="AE56" s="115"/>
      <c r="AF56" s="113">
        <f>293.67</f>
        <v>293.67</v>
      </c>
      <c r="AG56" s="114"/>
      <c r="AH56" s="115"/>
      <c r="AI56" s="130">
        <f t="shared" si="3"/>
        <v>2936.7000000000003</v>
      </c>
      <c r="AJ56" s="131"/>
      <c r="AK56" s="132"/>
      <c r="AL56" s="45">
        <f>AI56/AI103</f>
        <v>4.8785123831435809E-3</v>
      </c>
      <c r="AM56" s="133">
        <f>9150.25+AI56</f>
        <v>12086.95</v>
      </c>
      <c r="AN56" s="133"/>
    </row>
    <row r="57" spans="1:40" x14ac:dyDescent="0.25">
      <c r="A57" s="28" t="s">
        <v>115</v>
      </c>
      <c r="B57" s="213">
        <v>2618.94</v>
      </c>
      <c r="C57" s="213"/>
      <c r="D57" s="213"/>
      <c r="E57" s="113">
        <f>215+215</f>
        <v>430</v>
      </c>
      <c r="F57" s="114"/>
      <c r="G57" s="115"/>
      <c r="H57" s="113">
        <f>215</f>
        <v>215</v>
      </c>
      <c r="I57" s="114"/>
      <c r="J57" s="115"/>
      <c r="K57" s="113">
        <f>215</f>
        <v>215</v>
      </c>
      <c r="L57" s="114"/>
      <c r="M57" s="115"/>
      <c r="N57" s="113">
        <f>215</f>
        <v>215</v>
      </c>
      <c r="O57" s="114"/>
      <c r="P57" s="115"/>
      <c r="Q57" s="113">
        <f>215</f>
        <v>215</v>
      </c>
      <c r="R57" s="114"/>
      <c r="S57" s="115"/>
      <c r="T57" s="113">
        <f>215</f>
        <v>215</v>
      </c>
      <c r="U57" s="114"/>
      <c r="V57" s="115"/>
      <c r="W57" s="113">
        <f>215</f>
        <v>215</v>
      </c>
      <c r="X57" s="114"/>
      <c r="Y57" s="115"/>
      <c r="Z57" s="113">
        <f>215</f>
        <v>215</v>
      </c>
      <c r="AA57" s="114"/>
      <c r="AB57" s="115"/>
      <c r="AC57" s="113">
        <f>215</f>
        <v>215</v>
      </c>
      <c r="AD57" s="114"/>
      <c r="AE57" s="115"/>
      <c r="AF57" s="113">
        <f>215</f>
        <v>215</v>
      </c>
      <c r="AG57" s="114"/>
      <c r="AH57" s="115"/>
      <c r="AI57" s="130">
        <f t="shared" si="3"/>
        <v>2365</v>
      </c>
      <c r="AJ57" s="131"/>
      <c r="AK57" s="132"/>
      <c r="AL57" s="45">
        <f>AI57/AI103</f>
        <v>3.9287914278389241E-3</v>
      </c>
      <c r="AM57" s="133">
        <f>2618.94+AI57</f>
        <v>4983.9400000000005</v>
      </c>
      <c r="AN57" s="133"/>
    </row>
    <row r="58" spans="1:40" x14ac:dyDescent="0.25">
      <c r="A58" s="28" t="s">
        <v>145</v>
      </c>
      <c r="B58" s="130">
        <v>0</v>
      </c>
      <c r="C58" s="131"/>
      <c r="D58" s="132"/>
      <c r="E58" s="113">
        <v>0</v>
      </c>
      <c r="F58" s="114"/>
      <c r="G58" s="115"/>
      <c r="H58" s="113">
        <v>0</v>
      </c>
      <c r="I58" s="114"/>
      <c r="J58" s="115"/>
      <c r="K58" s="113">
        <v>0</v>
      </c>
      <c r="L58" s="114"/>
      <c r="M58" s="115"/>
      <c r="N58" s="113">
        <v>0</v>
      </c>
      <c r="O58" s="114"/>
      <c r="P58" s="115"/>
      <c r="Q58" s="113">
        <v>0</v>
      </c>
      <c r="R58" s="114"/>
      <c r="S58" s="115"/>
      <c r="T58" s="113">
        <v>0</v>
      </c>
      <c r="U58" s="114"/>
      <c r="V58" s="115"/>
      <c r="W58" s="113">
        <f>39</f>
        <v>39</v>
      </c>
      <c r="X58" s="114"/>
      <c r="Y58" s="115"/>
      <c r="Z58" s="113">
        <f>39</f>
        <v>39</v>
      </c>
      <c r="AA58" s="114"/>
      <c r="AB58" s="115"/>
      <c r="AC58" s="113">
        <f>39</f>
        <v>39</v>
      </c>
      <c r="AD58" s="114"/>
      <c r="AE58" s="115"/>
      <c r="AF58" s="113">
        <f>39</f>
        <v>39</v>
      </c>
      <c r="AG58" s="114"/>
      <c r="AH58" s="115"/>
      <c r="AI58" s="130">
        <f t="shared" si="3"/>
        <v>156</v>
      </c>
      <c r="AJ58" s="131"/>
      <c r="AK58" s="132"/>
      <c r="AL58" s="45">
        <f>AI58/AI104</f>
        <v>8.1987218823256346E-4</v>
      </c>
      <c r="AM58" s="214">
        <f>0+AI58</f>
        <v>156</v>
      </c>
      <c r="AN58" s="216"/>
    </row>
    <row r="59" spans="1:40" x14ac:dyDescent="0.25">
      <c r="A59" s="28" t="s">
        <v>44</v>
      </c>
      <c r="B59" s="213">
        <v>25282.46</v>
      </c>
      <c r="C59" s="213"/>
      <c r="D59" s="213"/>
      <c r="E59" s="113">
        <v>0</v>
      </c>
      <c r="F59" s="114"/>
      <c r="G59" s="115"/>
      <c r="H59" s="113">
        <v>0</v>
      </c>
      <c r="I59" s="114"/>
      <c r="J59" s="115"/>
      <c r="K59" s="113">
        <v>0</v>
      </c>
      <c r="L59" s="114"/>
      <c r="M59" s="115"/>
      <c r="N59" s="113">
        <v>0</v>
      </c>
      <c r="O59" s="114"/>
      <c r="P59" s="115"/>
      <c r="Q59" s="113">
        <f>500</f>
        <v>500</v>
      </c>
      <c r="R59" s="114"/>
      <c r="S59" s="115"/>
      <c r="T59" s="113">
        <v>0</v>
      </c>
      <c r="U59" s="114"/>
      <c r="V59" s="115"/>
      <c r="W59" s="113">
        <v>0</v>
      </c>
      <c r="X59" s="114"/>
      <c r="Y59" s="115"/>
      <c r="Z59" s="113">
        <v>0</v>
      </c>
      <c r="AA59" s="114"/>
      <c r="AB59" s="115"/>
      <c r="AC59" s="113">
        <v>0</v>
      </c>
      <c r="AD59" s="114"/>
      <c r="AE59" s="115"/>
      <c r="AF59" s="113">
        <v>0</v>
      </c>
      <c r="AG59" s="114"/>
      <c r="AH59" s="115"/>
      <c r="AI59" s="130">
        <f t="shared" si="3"/>
        <v>500</v>
      </c>
      <c r="AJ59" s="131"/>
      <c r="AK59" s="132"/>
      <c r="AL59" s="45">
        <f>AI59/AI103</f>
        <v>8.3061129552619963E-4</v>
      </c>
      <c r="AM59" s="133">
        <f>25282.46+AI59</f>
        <v>25782.46</v>
      </c>
      <c r="AN59" s="133"/>
    </row>
    <row r="60" spans="1:40" x14ac:dyDescent="0.25">
      <c r="A60" s="28" t="s">
        <v>45</v>
      </c>
      <c r="B60" s="213">
        <v>1500</v>
      </c>
      <c r="C60" s="213"/>
      <c r="D60" s="213"/>
      <c r="E60" s="113">
        <v>0</v>
      </c>
      <c r="F60" s="114"/>
      <c r="G60" s="115"/>
      <c r="H60" s="113">
        <v>0</v>
      </c>
      <c r="I60" s="114"/>
      <c r="J60" s="115"/>
      <c r="K60" s="113">
        <v>0</v>
      </c>
      <c r="L60" s="114"/>
      <c r="M60" s="115"/>
      <c r="N60" s="113">
        <v>0</v>
      </c>
      <c r="O60" s="114"/>
      <c r="P60" s="115"/>
      <c r="Q60" s="113">
        <v>0</v>
      </c>
      <c r="R60" s="114"/>
      <c r="S60" s="115"/>
      <c r="T60" s="113">
        <v>0</v>
      </c>
      <c r="U60" s="114"/>
      <c r="V60" s="115"/>
      <c r="W60" s="113">
        <v>0</v>
      </c>
      <c r="X60" s="114"/>
      <c r="Y60" s="115"/>
      <c r="Z60" s="113">
        <v>0</v>
      </c>
      <c r="AA60" s="114"/>
      <c r="AB60" s="115"/>
      <c r="AC60" s="113">
        <v>0</v>
      </c>
      <c r="AD60" s="114"/>
      <c r="AE60" s="115"/>
      <c r="AF60" s="113">
        <v>0</v>
      </c>
      <c r="AG60" s="114"/>
      <c r="AH60" s="115"/>
      <c r="AI60" s="130">
        <f t="shared" si="3"/>
        <v>0</v>
      </c>
      <c r="AJ60" s="131"/>
      <c r="AK60" s="132"/>
      <c r="AL60" s="45">
        <f>AI60/AI103</f>
        <v>0</v>
      </c>
      <c r="AM60" s="133">
        <f>1500+AI60</f>
        <v>1500</v>
      </c>
      <c r="AN60" s="133"/>
    </row>
    <row r="61" spans="1:40" x14ac:dyDescent="0.25">
      <c r="A61" s="28" t="s">
        <v>46</v>
      </c>
      <c r="B61" s="213">
        <v>5618.11</v>
      </c>
      <c r="C61" s="213"/>
      <c r="D61" s="213"/>
      <c r="E61" s="113">
        <v>0</v>
      </c>
      <c r="F61" s="114"/>
      <c r="G61" s="115"/>
      <c r="H61" s="113">
        <v>0</v>
      </c>
      <c r="I61" s="114"/>
      <c r="J61" s="115"/>
      <c r="K61" s="113">
        <v>0</v>
      </c>
      <c r="L61" s="114"/>
      <c r="M61" s="115"/>
      <c r="N61" s="113">
        <v>0</v>
      </c>
      <c r="O61" s="114"/>
      <c r="P61" s="115"/>
      <c r="Q61" s="113">
        <v>0</v>
      </c>
      <c r="R61" s="114"/>
      <c r="S61" s="115"/>
      <c r="T61" s="113">
        <v>0</v>
      </c>
      <c r="U61" s="114"/>
      <c r="V61" s="115"/>
      <c r="W61" s="113">
        <v>0</v>
      </c>
      <c r="X61" s="114"/>
      <c r="Y61" s="115"/>
      <c r="Z61" s="113">
        <v>0</v>
      </c>
      <c r="AA61" s="114"/>
      <c r="AB61" s="115"/>
      <c r="AC61" s="113">
        <v>0</v>
      </c>
      <c r="AD61" s="114"/>
      <c r="AE61" s="115"/>
      <c r="AF61" s="113">
        <v>0</v>
      </c>
      <c r="AG61" s="114"/>
      <c r="AH61" s="115"/>
      <c r="AI61" s="130">
        <f t="shared" si="3"/>
        <v>0</v>
      </c>
      <c r="AJ61" s="131"/>
      <c r="AK61" s="132"/>
      <c r="AL61" s="45">
        <f>AI61/AI103</f>
        <v>0</v>
      </c>
      <c r="AM61" s="133">
        <f>5618.11+AI61</f>
        <v>5618.11</v>
      </c>
      <c r="AN61" s="133"/>
    </row>
    <row r="62" spans="1:40" x14ac:dyDescent="0.25">
      <c r="A62" s="28" t="s">
        <v>47</v>
      </c>
      <c r="B62" s="213">
        <v>0</v>
      </c>
      <c r="C62" s="213"/>
      <c r="D62" s="213"/>
      <c r="E62" s="113">
        <v>0</v>
      </c>
      <c r="F62" s="114"/>
      <c r="G62" s="115"/>
      <c r="H62" s="113">
        <v>0</v>
      </c>
      <c r="I62" s="114"/>
      <c r="J62" s="115"/>
      <c r="K62" s="113">
        <v>0</v>
      </c>
      <c r="L62" s="114"/>
      <c r="M62" s="115"/>
      <c r="N62" s="113">
        <f>40</f>
        <v>40</v>
      </c>
      <c r="O62" s="114"/>
      <c r="P62" s="115"/>
      <c r="Q62" s="113">
        <v>0</v>
      </c>
      <c r="R62" s="114"/>
      <c r="S62" s="115"/>
      <c r="T62" s="113">
        <v>0</v>
      </c>
      <c r="U62" s="114"/>
      <c r="V62" s="115"/>
      <c r="W62" s="113">
        <v>0</v>
      </c>
      <c r="X62" s="114"/>
      <c r="Y62" s="115"/>
      <c r="Z62" s="113">
        <v>0</v>
      </c>
      <c r="AA62" s="114"/>
      <c r="AB62" s="115"/>
      <c r="AC62" s="113">
        <v>0</v>
      </c>
      <c r="AD62" s="114"/>
      <c r="AE62" s="115"/>
      <c r="AF62" s="113">
        <v>0</v>
      </c>
      <c r="AG62" s="114"/>
      <c r="AH62" s="115"/>
      <c r="AI62" s="130">
        <f t="shared" si="3"/>
        <v>40</v>
      </c>
      <c r="AJ62" s="131"/>
      <c r="AK62" s="132"/>
      <c r="AL62" s="45">
        <f>AI62/AI103</f>
        <v>6.6448903642095963E-5</v>
      </c>
      <c r="AM62" s="133">
        <f>0+AI62</f>
        <v>40</v>
      </c>
      <c r="AN62" s="133"/>
    </row>
    <row r="63" spans="1:40" x14ac:dyDescent="0.25">
      <c r="A63" s="28" t="s">
        <v>48</v>
      </c>
      <c r="B63" s="213">
        <v>2170</v>
      </c>
      <c r="C63" s="213"/>
      <c r="D63" s="213"/>
      <c r="E63" s="113">
        <v>0</v>
      </c>
      <c r="F63" s="114"/>
      <c r="G63" s="115"/>
      <c r="H63" s="113">
        <v>0</v>
      </c>
      <c r="I63" s="114"/>
      <c r="J63" s="115"/>
      <c r="K63" s="113">
        <v>0</v>
      </c>
      <c r="L63" s="114"/>
      <c r="M63" s="115"/>
      <c r="N63" s="113">
        <v>0</v>
      </c>
      <c r="O63" s="114"/>
      <c r="P63" s="115"/>
      <c r="Q63" s="113">
        <v>0</v>
      </c>
      <c r="R63" s="114"/>
      <c r="S63" s="115"/>
      <c r="T63" s="113">
        <v>0</v>
      </c>
      <c r="U63" s="114"/>
      <c r="V63" s="115"/>
      <c r="W63" s="113">
        <v>0</v>
      </c>
      <c r="X63" s="114"/>
      <c r="Y63" s="115"/>
      <c r="Z63" s="113">
        <v>0</v>
      </c>
      <c r="AA63" s="114"/>
      <c r="AB63" s="115"/>
      <c r="AC63" s="113">
        <v>0</v>
      </c>
      <c r="AD63" s="114"/>
      <c r="AE63" s="115"/>
      <c r="AF63" s="113">
        <v>0</v>
      </c>
      <c r="AG63" s="114"/>
      <c r="AH63" s="115"/>
      <c r="AI63" s="130">
        <f t="shared" si="3"/>
        <v>0</v>
      </c>
      <c r="AJ63" s="131"/>
      <c r="AK63" s="132"/>
      <c r="AL63" s="45">
        <f>AI63/AI103</f>
        <v>0</v>
      </c>
      <c r="AM63" s="133">
        <f>2170+AI63</f>
        <v>2170</v>
      </c>
      <c r="AN63" s="133"/>
    </row>
    <row r="64" spans="1:40" x14ac:dyDescent="0.25">
      <c r="A64" s="27" t="s">
        <v>49</v>
      </c>
      <c r="B64" s="119">
        <f>SUM(B65:D68)</f>
        <v>192764.56999999998</v>
      </c>
      <c r="C64" s="119"/>
      <c r="D64" s="119"/>
      <c r="E64" s="116">
        <f>SUM(E65:G68)</f>
        <v>13428.149999999998</v>
      </c>
      <c r="F64" s="117"/>
      <c r="G64" s="118"/>
      <c r="H64" s="116">
        <f>SUM(H65:J68)</f>
        <v>12011.390000000001</v>
      </c>
      <c r="I64" s="117"/>
      <c r="J64" s="118"/>
      <c r="K64" s="116">
        <f>SUM(K65:M68)</f>
        <v>1386.5400000000002</v>
      </c>
      <c r="L64" s="117"/>
      <c r="M64" s="118"/>
      <c r="N64" s="116">
        <f>SUM(N65:P68)</f>
        <v>13324.27</v>
      </c>
      <c r="O64" s="117"/>
      <c r="P64" s="118"/>
      <c r="Q64" s="116">
        <f>SUM(Q65:S68)</f>
        <v>3314.84</v>
      </c>
      <c r="R64" s="117"/>
      <c r="S64" s="118"/>
      <c r="T64" s="116">
        <f>SUM(T65:V68)</f>
        <v>12706.07</v>
      </c>
      <c r="U64" s="117"/>
      <c r="V64" s="118"/>
      <c r="W64" s="116">
        <f>SUM(W65:Y68)</f>
        <v>959.34999999999991</v>
      </c>
      <c r="X64" s="117"/>
      <c r="Y64" s="118"/>
      <c r="Z64" s="116">
        <f>SUM(Z65:AB68)</f>
        <v>13477.11</v>
      </c>
      <c r="AA64" s="117"/>
      <c r="AB64" s="118"/>
      <c r="AC64" s="116">
        <f>SUM(AC65:AE68)</f>
        <v>1015.9</v>
      </c>
      <c r="AD64" s="117"/>
      <c r="AE64" s="118"/>
      <c r="AF64" s="116">
        <f>SUM(AF65:AH68)</f>
        <v>15040.84</v>
      </c>
      <c r="AG64" s="117"/>
      <c r="AH64" s="118"/>
      <c r="AI64" s="217">
        <f>SUM(AI65:AK68)</f>
        <v>86664.459999999992</v>
      </c>
      <c r="AJ64" s="218"/>
      <c r="AK64" s="219"/>
      <c r="AL64" s="44">
        <f>AI64/AI103</f>
        <v>0.143968958793357</v>
      </c>
      <c r="AM64" s="220">
        <f>SUM(AM65:AN68)</f>
        <v>279429.02999999997</v>
      </c>
      <c r="AN64" s="220"/>
    </row>
    <row r="65" spans="1:40" x14ac:dyDescent="0.25">
      <c r="A65" s="28" t="s">
        <v>50</v>
      </c>
      <c r="B65" s="213">
        <v>120948.56</v>
      </c>
      <c r="C65" s="213"/>
      <c r="D65" s="213"/>
      <c r="E65" s="113">
        <f>9.5+9.5+39.8+9.5+11623.59+3.98+42+1+1+9.5</f>
        <v>11749.369999999999</v>
      </c>
      <c r="F65" s="114"/>
      <c r="G65" s="115"/>
      <c r="H65" s="113">
        <f>89.55+9.5+9.5+45.77+42+11502.2+27.86</f>
        <v>11726.380000000001</v>
      </c>
      <c r="I65" s="114"/>
      <c r="J65" s="115"/>
      <c r="K65" s="113">
        <f>9.5+7.96+9.5+9.5+9.5+11.94+145.27+9.5+250.74+42+1.99+9.5</f>
        <v>516.90000000000009</v>
      </c>
      <c r="L65" s="114"/>
      <c r="M65" s="115"/>
      <c r="N65" s="113">
        <f>11851.69</f>
        <v>11851.69</v>
      </c>
      <c r="O65" s="114"/>
      <c r="P65" s="115"/>
      <c r="Q65" s="113">
        <f>9.95+10+10+15.92+36.5+10+13.93+69.65</f>
        <v>175.95000000000002</v>
      </c>
      <c r="R65" s="114"/>
      <c r="S65" s="115"/>
      <c r="T65" s="113">
        <f>1.99+7.96+10+1.99+10+1.99+1.99+10+10+11589.76+3.98</f>
        <v>11649.66</v>
      </c>
      <c r="U65" s="114"/>
      <c r="V65" s="115"/>
      <c r="W65" s="113">
        <f>35.82+11.94+10+1.99+10+27.86</f>
        <v>97.61</v>
      </c>
      <c r="X65" s="114"/>
      <c r="Y65" s="115"/>
      <c r="Z65" s="113">
        <f>10+7.96+5.97+12535.01+10</f>
        <v>12568.94</v>
      </c>
      <c r="AA65" s="114"/>
      <c r="AB65" s="115"/>
      <c r="AC65" s="113">
        <f>1.99+10+10+469.64+147.26+10+10</f>
        <v>658.89</v>
      </c>
      <c r="AD65" s="114"/>
      <c r="AE65" s="115"/>
      <c r="AF65" s="113">
        <f>10+10+89.55+10+5.97+13729.01+10</f>
        <v>13864.53</v>
      </c>
      <c r="AG65" s="114"/>
      <c r="AH65" s="115"/>
      <c r="AI65" s="130">
        <f>0+E65+H65+K65+N65+Q65+T65+W65+Z65+AC65+AF65</f>
        <v>74859.92</v>
      </c>
      <c r="AJ65" s="131"/>
      <c r="AK65" s="132"/>
      <c r="AL65" s="45">
        <f>AI65/AI103</f>
        <v>0.12435899026837531</v>
      </c>
      <c r="AM65" s="133">
        <f>120948.56+AI65</f>
        <v>195808.47999999998</v>
      </c>
      <c r="AN65" s="133"/>
    </row>
    <row r="66" spans="1:40" x14ac:dyDescent="0.25">
      <c r="A66" s="28" t="s">
        <v>112</v>
      </c>
      <c r="B66" s="213">
        <v>47642.8</v>
      </c>
      <c r="C66" s="213"/>
      <c r="D66" s="213"/>
      <c r="E66" s="113">
        <f>77.46+240.13+70.87+219.71+77.46+70.87+240.13+219.71+203.66+203.66</f>
        <v>1623.66</v>
      </c>
      <c r="F66" s="114"/>
      <c r="G66" s="115"/>
      <c r="H66" s="113">
        <f>113.42+94.16</f>
        <v>207.57999999999998</v>
      </c>
      <c r="I66" s="114"/>
      <c r="J66" s="115"/>
      <c r="K66" s="113">
        <f>67.5+77.46+209.25+159.05+252.91</f>
        <v>766.17</v>
      </c>
      <c r="L66" s="114"/>
      <c r="M66" s="115"/>
      <c r="N66" s="113">
        <f>240.13+209.25+77.46+67.5+252.91</f>
        <v>847.25</v>
      </c>
      <c r="O66" s="114"/>
      <c r="P66" s="115"/>
      <c r="Q66" s="113">
        <f>209.25+67.5+240.13+77.46+252.91</f>
        <v>847.25</v>
      </c>
      <c r="R66" s="114"/>
      <c r="S66" s="115"/>
      <c r="T66" s="113">
        <f>67.5+209.25+77.46+240.13+56.2+97.25+210.76</f>
        <v>958.55</v>
      </c>
      <c r="U66" s="114"/>
      <c r="V66" s="115"/>
      <c r="W66" s="113">
        <f>240.13+77.46+209.25+67.5+219.74</f>
        <v>814.07999999999993</v>
      </c>
      <c r="X66" s="114"/>
      <c r="Y66" s="115"/>
      <c r="Z66" s="113">
        <f>77.46+67.5+240.13+209.25+270.09</f>
        <v>864.42999999999984</v>
      </c>
      <c r="AA66" s="114"/>
      <c r="AB66" s="115"/>
      <c r="AC66" s="113">
        <f>240.13+77.46</f>
        <v>317.58999999999997</v>
      </c>
      <c r="AD66" s="114"/>
      <c r="AE66" s="115"/>
      <c r="AF66" s="113">
        <f>135+240.13+418.5+77.46+142.82+59.97</f>
        <v>1073.8800000000001</v>
      </c>
      <c r="AG66" s="114"/>
      <c r="AH66" s="115"/>
      <c r="AI66" s="130">
        <f t="shared" ref="AI66:AI68" si="4">0+E66+H66+K66+N66+Q66+T66+W66+Z66+AC66+AF66</f>
        <v>8320.4399999999987</v>
      </c>
      <c r="AJ66" s="131"/>
      <c r="AK66" s="132"/>
      <c r="AL66" s="45">
        <f>AI66/AI103</f>
        <v>1.3822102895496022E-2</v>
      </c>
      <c r="AM66" s="133">
        <f>47642.8+AI66</f>
        <v>55963.240000000005</v>
      </c>
      <c r="AN66" s="133"/>
    </row>
    <row r="67" spans="1:40" x14ac:dyDescent="0.25">
      <c r="A67" s="28" t="s">
        <v>51</v>
      </c>
      <c r="B67" s="213">
        <v>24147.84</v>
      </c>
      <c r="C67" s="213"/>
      <c r="D67" s="213"/>
      <c r="E67" s="113">
        <f>48.46</f>
        <v>48.46</v>
      </c>
      <c r="F67" s="114"/>
      <c r="G67" s="115"/>
      <c r="H67" s="113">
        <f>72.49</f>
        <v>72.489999999999995</v>
      </c>
      <c r="I67" s="114"/>
      <c r="J67" s="115"/>
      <c r="K67" s="113">
        <f>103.47</f>
        <v>103.47</v>
      </c>
      <c r="L67" s="114"/>
      <c r="M67" s="115"/>
      <c r="N67" s="113">
        <f>163</f>
        <v>163</v>
      </c>
      <c r="O67" s="114"/>
      <c r="P67" s="115"/>
      <c r="Q67" s="113">
        <f>808.1+1448.28+35.26</f>
        <v>2291.6400000000003</v>
      </c>
      <c r="R67" s="114"/>
      <c r="S67" s="115"/>
      <c r="T67" s="113">
        <f>97.86</f>
        <v>97.86</v>
      </c>
      <c r="U67" s="114"/>
      <c r="V67" s="115"/>
      <c r="W67" s="113">
        <f>46.61</f>
        <v>46.61</v>
      </c>
      <c r="X67" s="114"/>
      <c r="Y67" s="115"/>
      <c r="Z67" s="113">
        <f>43.74</f>
        <v>43.74</v>
      </c>
      <c r="AA67" s="114"/>
      <c r="AB67" s="115"/>
      <c r="AC67" s="113">
        <f>39.42</f>
        <v>39.42</v>
      </c>
      <c r="AD67" s="114"/>
      <c r="AE67" s="115"/>
      <c r="AF67" s="113">
        <f>102.43</f>
        <v>102.43</v>
      </c>
      <c r="AG67" s="114"/>
      <c r="AH67" s="115"/>
      <c r="AI67" s="130">
        <f t="shared" si="4"/>
        <v>3009.1200000000003</v>
      </c>
      <c r="AJ67" s="131"/>
      <c r="AK67" s="132"/>
      <c r="AL67" s="45">
        <f>AI67/AI103</f>
        <v>4.9988181231875959E-3</v>
      </c>
      <c r="AM67" s="133">
        <f>24147.84+AI67</f>
        <v>27156.959999999999</v>
      </c>
      <c r="AN67" s="133"/>
    </row>
    <row r="68" spans="1:40" x14ac:dyDescent="0.25">
      <c r="A68" s="28" t="s">
        <v>52</v>
      </c>
      <c r="B68" s="213">
        <v>25.37</v>
      </c>
      <c r="C68" s="213"/>
      <c r="D68" s="213"/>
      <c r="E68" s="113">
        <f>6.66</f>
        <v>6.66</v>
      </c>
      <c r="F68" s="114"/>
      <c r="G68" s="115"/>
      <c r="H68" s="113">
        <f>1.37+1.09+2.48</f>
        <v>4.9399999999999995</v>
      </c>
      <c r="I68" s="114"/>
      <c r="J68" s="115"/>
      <c r="K68" s="113">
        <v>0</v>
      </c>
      <c r="L68" s="114"/>
      <c r="M68" s="115"/>
      <c r="N68" s="113">
        <f>462.33</f>
        <v>462.33</v>
      </c>
      <c r="O68" s="114"/>
      <c r="P68" s="115"/>
      <c r="Q68" s="113">
        <v>0</v>
      </c>
      <c r="R68" s="114"/>
      <c r="S68" s="115"/>
      <c r="T68" s="113">
        <v>0</v>
      </c>
      <c r="U68" s="114"/>
      <c r="V68" s="115"/>
      <c r="W68" s="113">
        <f>1.05</f>
        <v>1.05</v>
      </c>
      <c r="X68" s="114"/>
      <c r="Y68" s="115"/>
      <c r="Z68" s="113">
        <v>0</v>
      </c>
      <c r="AA68" s="114"/>
      <c r="AB68" s="115"/>
      <c r="AC68" s="113">
        <v>0</v>
      </c>
      <c r="AD68" s="114"/>
      <c r="AE68" s="115"/>
      <c r="AF68" s="113">
        <v>0</v>
      </c>
      <c r="AG68" s="114"/>
      <c r="AH68" s="115"/>
      <c r="AI68" s="130">
        <f t="shared" si="4"/>
        <v>474.98</v>
      </c>
      <c r="AJ68" s="131"/>
      <c r="AK68" s="132"/>
      <c r="AL68" s="45">
        <f>AI68/AI103</f>
        <v>7.8904750629806865E-4</v>
      </c>
      <c r="AM68" s="133">
        <f>25.37+AI68</f>
        <v>500.35</v>
      </c>
      <c r="AN68" s="133"/>
    </row>
    <row r="69" spans="1:40" x14ac:dyDescent="0.25">
      <c r="A69" s="27" t="s">
        <v>53</v>
      </c>
      <c r="B69" s="119">
        <f>SUM(B70:D83)</f>
        <v>379800.62</v>
      </c>
      <c r="C69" s="119"/>
      <c r="D69" s="119"/>
      <c r="E69" s="116">
        <f>SUM(E70:G83)</f>
        <v>11747.81</v>
      </c>
      <c r="F69" s="117"/>
      <c r="G69" s="118"/>
      <c r="H69" s="116">
        <f>SUM(H70:J83)</f>
        <v>9765.11</v>
      </c>
      <c r="I69" s="117"/>
      <c r="J69" s="118"/>
      <c r="K69" s="116">
        <f>SUM(K70:M83)</f>
        <v>11378.32</v>
      </c>
      <c r="L69" s="117"/>
      <c r="M69" s="118"/>
      <c r="N69" s="116">
        <f>SUM(N70:P83)</f>
        <v>10209.619999999999</v>
      </c>
      <c r="O69" s="117"/>
      <c r="P69" s="118"/>
      <c r="Q69" s="116">
        <f>SUM(Q70:S83)</f>
        <v>10249.41</v>
      </c>
      <c r="R69" s="117"/>
      <c r="S69" s="118"/>
      <c r="T69" s="116">
        <f>SUM(T70:V83)</f>
        <v>10155.92</v>
      </c>
      <c r="U69" s="117"/>
      <c r="V69" s="118"/>
      <c r="W69" s="116">
        <f>SUM(W70:Y83)</f>
        <v>12112.19</v>
      </c>
      <c r="X69" s="117"/>
      <c r="Y69" s="118"/>
      <c r="Z69" s="116">
        <f>SUM(Z70:AB83)</f>
        <v>9880.83</v>
      </c>
      <c r="AA69" s="117"/>
      <c r="AB69" s="118"/>
      <c r="AC69" s="116">
        <f>SUM(AC70:AE83)</f>
        <v>11844.41</v>
      </c>
      <c r="AD69" s="117"/>
      <c r="AE69" s="118"/>
      <c r="AF69" s="116">
        <f>SUM(AF70:AH83)</f>
        <v>13633.25</v>
      </c>
      <c r="AG69" s="117"/>
      <c r="AH69" s="118"/>
      <c r="AI69" s="217">
        <f>SUM(AI70:AK83)</f>
        <v>110976.87</v>
      </c>
      <c r="AJ69" s="218"/>
      <c r="AK69" s="219"/>
      <c r="AL69" s="44">
        <f>AI69/AI103</f>
        <v>0.18435728352828526</v>
      </c>
      <c r="AM69" s="220">
        <f>SUM(AM70:AN83)</f>
        <v>490777.49</v>
      </c>
      <c r="AN69" s="220"/>
    </row>
    <row r="70" spans="1:40" x14ac:dyDescent="0.25">
      <c r="A70" s="30" t="s">
        <v>54</v>
      </c>
      <c r="B70" s="213">
        <v>9608.91</v>
      </c>
      <c r="C70" s="213"/>
      <c r="D70" s="213"/>
      <c r="E70" s="113">
        <v>0</v>
      </c>
      <c r="F70" s="114"/>
      <c r="G70" s="115"/>
      <c r="H70" s="113">
        <v>0</v>
      </c>
      <c r="I70" s="114"/>
      <c r="J70" s="115"/>
      <c r="K70" s="113">
        <v>0</v>
      </c>
      <c r="L70" s="114"/>
      <c r="M70" s="115"/>
      <c r="N70" s="113">
        <v>0</v>
      </c>
      <c r="O70" s="114"/>
      <c r="P70" s="115"/>
      <c r="Q70" s="113">
        <v>0</v>
      </c>
      <c r="R70" s="114"/>
      <c r="S70" s="115"/>
      <c r="T70" s="113">
        <v>0</v>
      </c>
      <c r="U70" s="114"/>
      <c r="V70" s="115"/>
      <c r="W70" s="113">
        <v>0</v>
      </c>
      <c r="X70" s="114"/>
      <c r="Y70" s="115"/>
      <c r="Z70" s="113">
        <v>0</v>
      </c>
      <c r="AA70" s="114"/>
      <c r="AB70" s="115"/>
      <c r="AC70" s="113">
        <v>0</v>
      </c>
      <c r="AD70" s="114"/>
      <c r="AE70" s="115"/>
      <c r="AF70" s="113">
        <v>0</v>
      </c>
      <c r="AG70" s="114"/>
      <c r="AH70" s="115"/>
      <c r="AI70" s="130">
        <f>0+E70+H70+K70+N70+Q70+T70+W70+Z70+AC70+AF70</f>
        <v>0</v>
      </c>
      <c r="AJ70" s="131"/>
      <c r="AK70" s="132"/>
      <c r="AL70" s="45">
        <f>AI70/AI103</f>
        <v>0</v>
      </c>
      <c r="AM70" s="133">
        <f>9608.91+AI70</f>
        <v>9608.91</v>
      </c>
      <c r="AN70" s="133"/>
    </row>
    <row r="71" spans="1:40" x14ac:dyDescent="0.25">
      <c r="A71" s="30" t="s">
        <v>156</v>
      </c>
      <c r="B71" s="213">
        <v>9110</v>
      </c>
      <c r="C71" s="213"/>
      <c r="D71" s="213"/>
      <c r="E71" s="113">
        <v>0</v>
      </c>
      <c r="F71" s="114"/>
      <c r="G71" s="115"/>
      <c r="H71" s="113">
        <v>0</v>
      </c>
      <c r="I71" s="114"/>
      <c r="J71" s="115"/>
      <c r="K71" s="113">
        <v>0</v>
      </c>
      <c r="L71" s="114"/>
      <c r="M71" s="115"/>
      <c r="N71" s="113">
        <v>0</v>
      </c>
      <c r="O71" s="114"/>
      <c r="P71" s="115"/>
      <c r="Q71" s="113">
        <v>0</v>
      </c>
      <c r="R71" s="114"/>
      <c r="S71" s="115"/>
      <c r="T71" s="113">
        <v>0</v>
      </c>
      <c r="U71" s="114"/>
      <c r="V71" s="115"/>
      <c r="W71" s="113">
        <v>0</v>
      </c>
      <c r="X71" s="114"/>
      <c r="Y71" s="115"/>
      <c r="Z71" s="113">
        <v>0</v>
      </c>
      <c r="AA71" s="114"/>
      <c r="AB71" s="115"/>
      <c r="AC71" s="113">
        <v>0</v>
      </c>
      <c r="AD71" s="114"/>
      <c r="AE71" s="115"/>
      <c r="AF71" s="113">
        <f>1709.05</f>
        <v>1709.05</v>
      </c>
      <c r="AG71" s="114"/>
      <c r="AH71" s="115"/>
      <c r="AI71" s="130">
        <f t="shared" ref="AI71:AI83" si="5">0+E71+H71+K71+N71+Q71+T71+W71+Z71+AC71+AF71</f>
        <v>1709.05</v>
      </c>
      <c r="AJ71" s="131"/>
      <c r="AK71" s="132"/>
      <c r="AL71" s="45">
        <f>AI71/AI103</f>
        <v>2.8391124692381028E-3</v>
      </c>
      <c r="AM71" s="133">
        <f>9110+AI71</f>
        <v>10819.05</v>
      </c>
      <c r="AN71" s="133"/>
    </row>
    <row r="72" spans="1:40" x14ac:dyDescent="0.25">
      <c r="A72" s="30" t="s">
        <v>55</v>
      </c>
      <c r="B72" s="213">
        <v>4130.22</v>
      </c>
      <c r="C72" s="213"/>
      <c r="D72" s="213"/>
      <c r="E72" s="113">
        <f>271.63</f>
        <v>271.63</v>
      </c>
      <c r="F72" s="114"/>
      <c r="G72" s="115"/>
      <c r="H72" s="113">
        <f>271.63+1285.2</f>
        <v>1556.83</v>
      </c>
      <c r="I72" s="114"/>
      <c r="J72" s="115"/>
      <c r="K72" s="113">
        <f>271.63</f>
        <v>271.63</v>
      </c>
      <c r="L72" s="114"/>
      <c r="M72" s="115"/>
      <c r="N72" s="113">
        <v>0</v>
      </c>
      <c r="O72" s="114"/>
      <c r="P72" s="115"/>
      <c r="Q72" s="113">
        <v>0</v>
      </c>
      <c r="R72" s="114"/>
      <c r="S72" s="115"/>
      <c r="T72" s="113">
        <v>0</v>
      </c>
      <c r="U72" s="114"/>
      <c r="V72" s="115"/>
      <c r="W72" s="113">
        <v>0</v>
      </c>
      <c r="X72" s="114"/>
      <c r="Y72" s="115"/>
      <c r="Z72" s="113">
        <v>0</v>
      </c>
      <c r="AA72" s="114"/>
      <c r="AB72" s="115"/>
      <c r="AC72" s="113">
        <v>0</v>
      </c>
      <c r="AD72" s="114"/>
      <c r="AE72" s="115"/>
      <c r="AF72" s="113">
        <v>0</v>
      </c>
      <c r="AG72" s="114"/>
      <c r="AH72" s="115"/>
      <c r="AI72" s="130">
        <f t="shared" si="5"/>
        <v>2100.09</v>
      </c>
      <c r="AJ72" s="131"/>
      <c r="AK72" s="132"/>
      <c r="AL72" s="45">
        <f>AI72/AI103</f>
        <v>3.4887169512432333E-3</v>
      </c>
      <c r="AM72" s="133">
        <f>4130.22+AI72</f>
        <v>6230.31</v>
      </c>
      <c r="AN72" s="133"/>
    </row>
    <row r="73" spans="1:40" x14ac:dyDescent="0.25">
      <c r="A73" s="30" t="s">
        <v>123</v>
      </c>
      <c r="B73" s="130">
        <v>0</v>
      </c>
      <c r="C73" s="131"/>
      <c r="D73" s="132"/>
      <c r="E73" s="113">
        <v>0</v>
      </c>
      <c r="F73" s="114"/>
      <c r="G73" s="115"/>
      <c r="H73" s="113">
        <v>99</v>
      </c>
      <c r="I73" s="114"/>
      <c r="J73" s="115"/>
      <c r="K73" s="113">
        <v>0</v>
      </c>
      <c r="L73" s="114"/>
      <c r="M73" s="115"/>
      <c r="N73" s="113">
        <v>0</v>
      </c>
      <c r="O73" s="114"/>
      <c r="P73" s="115"/>
      <c r="Q73" s="113">
        <v>0</v>
      </c>
      <c r="R73" s="114"/>
      <c r="S73" s="115"/>
      <c r="T73" s="113">
        <v>0</v>
      </c>
      <c r="U73" s="114"/>
      <c r="V73" s="115"/>
      <c r="W73" s="113">
        <v>0</v>
      </c>
      <c r="X73" s="114"/>
      <c r="Y73" s="115"/>
      <c r="Z73" s="113">
        <v>0</v>
      </c>
      <c r="AA73" s="114"/>
      <c r="AB73" s="115"/>
      <c r="AC73" s="113">
        <v>0</v>
      </c>
      <c r="AD73" s="114"/>
      <c r="AE73" s="115"/>
      <c r="AF73" s="113">
        <v>0</v>
      </c>
      <c r="AG73" s="114"/>
      <c r="AH73" s="115"/>
      <c r="AI73" s="130">
        <f t="shared" si="5"/>
        <v>99</v>
      </c>
      <c r="AJ73" s="131"/>
      <c r="AK73" s="132"/>
      <c r="AL73" s="45">
        <f>AI73/AI103</f>
        <v>1.6446103651418753E-4</v>
      </c>
      <c r="AM73" s="214">
        <f>0+AI73</f>
        <v>99</v>
      </c>
      <c r="AN73" s="216"/>
    </row>
    <row r="74" spans="1:40" x14ac:dyDescent="0.25">
      <c r="A74" s="28" t="s">
        <v>56</v>
      </c>
      <c r="B74" s="213">
        <v>6043.01</v>
      </c>
      <c r="C74" s="213"/>
      <c r="D74" s="213"/>
      <c r="E74" s="113">
        <f>191.6+35.42</f>
        <v>227.01999999999998</v>
      </c>
      <c r="F74" s="114"/>
      <c r="G74" s="115"/>
      <c r="H74" s="113">
        <f>51.3</f>
        <v>51.3</v>
      </c>
      <c r="I74" s="114"/>
      <c r="J74" s="115"/>
      <c r="K74" s="113">
        <v>0</v>
      </c>
      <c r="L74" s="114"/>
      <c r="M74" s="115"/>
      <c r="N74" s="113">
        <v>0</v>
      </c>
      <c r="O74" s="114"/>
      <c r="P74" s="115"/>
      <c r="Q74" s="113">
        <f>43.8</f>
        <v>43.8</v>
      </c>
      <c r="R74" s="114"/>
      <c r="S74" s="115"/>
      <c r="T74" s="113">
        <v>0</v>
      </c>
      <c r="U74" s="114"/>
      <c r="V74" s="115"/>
      <c r="W74" s="113">
        <f>47.8</f>
        <v>47.8</v>
      </c>
      <c r="X74" s="114"/>
      <c r="Y74" s="115"/>
      <c r="Z74" s="113">
        <f>48.3+179.8</f>
        <v>228.10000000000002</v>
      </c>
      <c r="AA74" s="114"/>
      <c r="AB74" s="115"/>
      <c r="AC74" s="113">
        <f>31.9</f>
        <v>31.9</v>
      </c>
      <c r="AD74" s="114"/>
      <c r="AE74" s="115"/>
      <c r="AF74" s="113">
        <v>0</v>
      </c>
      <c r="AG74" s="114"/>
      <c r="AH74" s="115"/>
      <c r="AI74" s="130">
        <f t="shared" si="5"/>
        <v>629.91999999999996</v>
      </c>
      <c r="AJ74" s="131"/>
      <c r="AK74" s="132"/>
      <c r="AL74" s="45">
        <f>AI74/AI103</f>
        <v>1.0464373345557272E-3</v>
      </c>
      <c r="AM74" s="133">
        <f>6043.01+AI74</f>
        <v>6672.93</v>
      </c>
      <c r="AN74" s="133"/>
    </row>
    <row r="75" spans="1:40" x14ac:dyDescent="0.25">
      <c r="A75" s="30" t="s">
        <v>57</v>
      </c>
      <c r="B75" s="213">
        <v>53374.36</v>
      </c>
      <c r="C75" s="213"/>
      <c r="D75" s="213"/>
      <c r="E75" s="113">
        <f>1263.86+290.51</f>
        <v>1554.37</v>
      </c>
      <c r="F75" s="114"/>
      <c r="G75" s="115"/>
      <c r="H75" s="113">
        <f>1413.96+54.44</f>
        <v>1468.4</v>
      </c>
      <c r="I75" s="114"/>
      <c r="J75" s="115"/>
      <c r="K75" s="113">
        <f>1413.96+54.26</f>
        <v>1468.22</v>
      </c>
      <c r="L75" s="114"/>
      <c r="M75" s="115"/>
      <c r="N75" s="113">
        <f>1414.91+54.37</f>
        <v>1469.28</v>
      </c>
      <c r="O75" s="114"/>
      <c r="P75" s="115"/>
      <c r="Q75" s="113">
        <f>1416.52+54.46</f>
        <v>1470.98</v>
      </c>
      <c r="R75" s="114"/>
      <c r="S75" s="115"/>
      <c r="T75" s="113">
        <f>1416.52+54.39</f>
        <v>1470.91</v>
      </c>
      <c r="U75" s="114"/>
      <c r="V75" s="115"/>
      <c r="W75" s="113">
        <f>54.38+1416.52</f>
        <v>1470.9</v>
      </c>
      <c r="X75" s="114"/>
      <c r="Y75" s="115"/>
      <c r="Z75" s="113">
        <f>1416.52+57.32</f>
        <v>1473.84</v>
      </c>
      <c r="AA75" s="114"/>
      <c r="AB75" s="115"/>
      <c r="AC75" s="113">
        <f>1490.55+60.27</f>
        <v>1550.82</v>
      </c>
      <c r="AD75" s="114"/>
      <c r="AE75" s="115"/>
      <c r="AF75" s="113">
        <f>1490.55+136.47</f>
        <v>1627.02</v>
      </c>
      <c r="AG75" s="114"/>
      <c r="AH75" s="115"/>
      <c r="AI75" s="130">
        <f t="shared" si="5"/>
        <v>15024.74</v>
      </c>
      <c r="AJ75" s="131"/>
      <c r="AK75" s="132"/>
      <c r="AL75" s="45">
        <f>AI75/AI103</f>
        <v>2.4959437512688625E-2</v>
      </c>
      <c r="AM75" s="133">
        <f>53374.36+AI75</f>
        <v>68399.100000000006</v>
      </c>
      <c r="AN75" s="133"/>
    </row>
    <row r="76" spans="1:40" x14ac:dyDescent="0.25">
      <c r="A76" s="30" t="s">
        <v>58</v>
      </c>
      <c r="B76" s="213">
        <v>13234.67</v>
      </c>
      <c r="C76" s="213"/>
      <c r="D76" s="213"/>
      <c r="E76" s="113">
        <f>114.99+49.99+154.41</f>
        <v>319.39</v>
      </c>
      <c r="F76" s="114"/>
      <c r="G76" s="115"/>
      <c r="H76" s="113">
        <f>114.99+49.99+155.27</f>
        <v>320.25</v>
      </c>
      <c r="I76" s="114"/>
      <c r="J76" s="115"/>
      <c r="K76" s="113">
        <f>49.99+114.99+149.34</f>
        <v>314.32</v>
      </c>
      <c r="L76" s="114"/>
      <c r="M76" s="115"/>
      <c r="N76" s="113">
        <f>52.23+114.99+116.06</f>
        <v>283.27999999999997</v>
      </c>
      <c r="O76" s="114"/>
      <c r="P76" s="115"/>
      <c r="Q76" s="113">
        <f>52.23+114.99</f>
        <v>167.22</v>
      </c>
      <c r="R76" s="114"/>
      <c r="S76" s="115"/>
      <c r="T76" s="113">
        <f>59.66+52.23+114.99</f>
        <v>226.88</v>
      </c>
      <c r="U76" s="114"/>
      <c r="V76" s="115"/>
      <c r="W76" s="113">
        <f>58.3+114.99+52.23+97.26</f>
        <v>322.77999999999997</v>
      </c>
      <c r="X76" s="114"/>
      <c r="Y76" s="115"/>
      <c r="Z76" s="113">
        <f>52.23+114.47</f>
        <v>166.7</v>
      </c>
      <c r="AA76" s="114"/>
      <c r="AB76" s="115"/>
      <c r="AC76" s="113">
        <f>52.23+59.58+114.99+74.9</f>
        <v>301.70000000000005</v>
      </c>
      <c r="AD76" s="114"/>
      <c r="AE76" s="115"/>
      <c r="AF76" s="113">
        <f>52.23+114.99+177.57</f>
        <v>344.78999999999996</v>
      </c>
      <c r="AG76" s="114"/>
      <c r="AH76" s="115"/>
      <c r="AI76" s="130">
        <f t="shared" si="5"/>
        <v>2767.3100000000004</v>
      </c>
      <c r="AJ76" s="131"/>
      <c r="AK76" s="132"/>
      <c r="AL76" s="45">
        <f>AI76/AI103</f>
        <v>4.5971178884452154E-3</v>
      </c>
      <c r="AM76" s="133">
        <f>13234.67+AI76</f>
        <v>16001.98</v>
      </c>
      <c r="AN76" s="133"/>
    </row>
    <row r="77" spans="1:40" x14ac:dyDescent="0.25">
      <c r="A77" s="30" t="s">
        <v>59</v>
      </c>
      <c r="B77" s="213">
        <v>7492.77</v>
      </c>
      <c r="C77" s="213"/>
      <c r="D77" s="213"/>
      <c r="E77" s="113">
        <f>23+11.39+23+23+11.39</f>
        <v>91.78</v>
      </c>
      <c r="F77" s="114"/>
      <c r="G77" s="115"/>
      <c r="H77" s="113">
        <f>10.8+23+23+26.9</f>
        <v>83.699999999999989</v>
      </c>
      <c r="I77" s="114"/>
      <c r="J77" s="115"/>
      <c r="K77" s="113">
        <f>23+23</f>
        <v>46</v>
      </c>
      <c r="L77" s="114"/>
      <c r="M77" s="115"/>
      <c r="N77" s="113">
        <v>0</v>
      </c>
      <c r="O77" s="114"/>
      <c r="P77" s="115"/>
      <c r="Q77" s="113">
        <v>0</v>
      </c>
      <c r="R77" s="114"/>
      <c r="S77" s="115"/>
      <c r="T77" s="113">
        <v>0</v>
      </c>
      <c r="U77" s="114"/>
      <c r="V77" s="115"/>
      <c r="W77" s="113">
        <f>14.99</f>
        <v>14.99</v>
      </c>
      <c r="X77" s="114"/>
      <c r="Y77" s="115"/>
      <c r="Z77" s="113">
        <f>23</f>
        <v>23</v>
      </c>
      <c r="AA77" s="114"/>
      <c r="AB77" s="115"/>
      <c r="AC77" s="113">
        <f>23+23</f>
        <v>46</v>
      </c>
      <c r="AD77" s="114"/>
      <c r="AE77" s="115"/>
      <c r="AF77" s="113">
        <f>22+23</f>
        <v>45</v>
      </c>
      <c r="AG77" s="114"/>
      <c r="AH77" s="115"/>
      <c r="AI77" s="130">
        <f t="shared" si="5"/>
        <v>350.47</v>
      </c>
      <c r="AJ77" s="131"/>
      <c r="AK77" s="132"/>
      <c r="AL77" s="45">
        <f>AI77/AI103</f>
        <v>5.8220868148613442E-4</v>
      </c>
      <c r="AM77" s="133">
        <f>7492.77+AI77</f>
        <v>7843.2400000000007</v>
      </c>
      <c r="AN77" s="133"/>
    </row>
    <row r="78" spans="1:40" x14ac:dyDescent="0.25">
      <c r="A78" s="30" t="s">
        <v>60</v>
      </c>
      <c r="B78" s="213">
        <v>4171.6000000000004</v>
      </c>
      <c r="C78" s="213"/>
      <c r="D78" s="213"/>
      <c r="E78" s="113">
        <v>0</v>
      </c>
      <c r="F78" s="114"/>
      <c r="G78" s="115"/>
      <c r="H78" s="113">
        <v>0</v>
      </c>
      <c r="I78" s="114"/>
      <c r="J78" s="115"/>
      <c r="K78" s="113">
        <v>0</v>
      </c>
      <c r="L78" s="114"/>
      <c r="M78" s="115"/>
      <c r="N78" s="113">
        <v>0</v>
      </c>
      <c r="O78" s="114"/>
      <c r="P78" s="115"/>
      <c r="Q78" s="113">
        <v>0</v>
      </c>
      <c r="R78" s="114"/>
      <c r="S78" s="115"/>
      <c r="T78" s="113">
        <v>0</v>
      </c>
      <c r="U78" s="114"/>
      <c r="V78" s="115"/>
      <c r="W78" s="113">
        <v>0</v>
      </c>
      <c r="X78" s="114"/>
      <c r="Y78" s="115"/>
      <c r="Z78" s="113">
        <v>0</v>
      </c>
      <c r="AA78" s="114"/>
      <c r="AB78" s="115"/>
      <c r="AC78" s="113">
        <v>0</v>
      </c>
      <c r="AD78" s="114"/>
      <c r="AE78" s="115"/>
      <c r="AF78" s="113">
        <v>0</v>
      </c>
      <c r="AG78" s="114"/>
      <c r="AH78" s="115"/>
      <c r="AI78" s="130">
        <f t="shared" si="5"/>
        <v>0</v>
      </c>
      <c r="AJ78" s="131"/>
      <c r="AK78" s="132"/>
      <c r="AL78" s="45">
        <f>AI78/AI103</f>
        <v>0</v>
      </c>
      <c r="AM78" s="133">
        <f>4171.6+AI78</f>
        <v>4171.6000000000004</v>
      </c>
      <c r="AN78" s="133"/>
    </row>
    <row r="79" spans="1:40" x14ac:dyDescent="0.25">
      <c r="A79" s="30" t="s">
        <v>61</v>
      </c>
      <c r="B79" s="213">
        <v>3563.88</v>
      </c>
      <c r="C79" s="213"/>
      <c r="D79" s="213"/>
      <c r="E79" s="113">
        <f>4.99+32.58+19.77+100</f>
        <v>157.34</v>
      </c>
      <c r="F79" s="114"/>
      <c r="G79" s="115"/>
      <c r="H79" s="113">
        <f>27.9</f>
        <v>27.9</v>
      </c>
      <c r="I79" s="114"/>
      <c r="J79" s="115"/>
      <c r="K79" s="113">
        <v>0</v>
      </c>
      <c r="L79" s="114"/>
      <c r="M79" s="115"/>
      <c r="N79" s="113">
        <v>0</v>
      </c>
      <c r="O79" s="114"/>
      <c r="P79" s="115"/>
      <c r="Q79" s="113">
        <v>0</v>
      </c>
      <c r="R79" s="114"/>
      <c r="S79" s="115"/>
      <c r="T79" s="113">
        <v>0</v>
      </c>
      <c r="U79" s="114"/>
      <c r="V79" s="115"/>
      <c r="W79" s="113">
        <v>0</v>
      </c>
      <c r="X79" s="114"/>
      <c r="Y79" s="115"/>
      <c r="Z79" s="113">
        <v>0</v>
      </c>
      <c r="AA79" s="114"/>
      <c r="AB79" s="115"/>
      <c r="AC79" s="113">
        <f>100</f>
        <v>100</v>
      </c>
      <c r="AD79" s="114"/>
      <c r="AE79" s="115"/>
      <c r="AF79" s="113">
        <v>0</v>
      </c>
      <c r="AG79" s="114"/>
      <c r="AH79" s="115"/>
      <c r="AI79" s="130">
        <f t="shared" si="5"/>
        <v>285.24</v>
      </c>
      <c r="AJ79" s="131"/>
      <c r="AK79" s="132"/>
      <c r="AL79" s="45">
        <f>AI79/AI103</f>
        <v>4.7384713187178634E-4</v>
      </c>
      <c r="AM79" s="133">
        <f>3563.88+AI79</f>
        <v>3849.12</v>
      </c>
      <c r="AN79" s="133"/>
    </row>
    <row r="80" spans="1:40" x14ac:dyDescent="0.25">
      <c r="A80" s="30" t="s">
        <v>114</v>
      </c>
      <c r="B80" s="130">
        <v>0</v>
      </c>
      <c r="C80" s="131"/>
      <c r="D80" s="132"/>
      <c r="E80" s="113">
        <f>2359.55</f>
        <v>2359.5500000000002</v>
      </c>
      <c r="F80" s="114"/>
      <c r="G80" s="115"/>
      <c r="H80" s="113">
        <v>0</v>
      </c>
      <c r="I80" s="114"/>
      <c r="J80" s="115"/>
      <c r="K80" s="113">
        <v>0</v>
      </c>
      <c r="L80" s="114"/>
      <c r="M80" s="115"/>
      <c r="N80" s="113">
        <v>0</v>
      </c>
      <c r="O80" s="114"/>
      <c r="P80" s="115"/>
      <c r="Q80" s="113">
        <v>0</v>
      </c>
      <c r="R80" s="114"/>
      <c r="S80" s="115"/>
      <c r="T80" s="113">
        <v>0</v>
      </c>
      <c r="U80" s="114"/>
      <c r="V80" s="115"/>
      <c r="W80" s="113">
        <v>0</v>
      </c>
      <c r="X80" s="114"/>
      <c r="Y80" s="115"/>
      <c r="Z80" s="113">
        <v>0</v>
      </c>
      <c r="AA80" s="114"/>
      <c r="AB80" s="115"/>
      <c r="AC80" s="113">
        <v>0</v>
      </c>
      <c r="AD80" s="114"/>
      <c r="AE80" s="115"/>
      <c r="AF80" s="113">
        <v>0</v>
      </c>
      <c r="AG80" s="114"/>
      <c r="AH80" s="115"/>
      <c r="AI80" s="130">
        <f t="shared" si="5"/>
        <v>2359.5500000000002</v>
      </c>
      <c r="AJ80" s="131"/>
      <c r="AK80" s="132"/>
      <c r="AL80" s="45">
        <f>AI80/AI103</f>
        <v>3.9197377647176889E-3</v>
      </c>
      <c r="AM80" s="133">
        <f>0+AI80</f>
        <v>2359.5500000000002</v>
      </c>
      <c r="AN80" s="133"/>
    </row>
    <row r="81" spans="1:40" x14ac:dyDescent="0.25">
      <c r="A81" s="30" t="s">
        <v>62</v>
      </c>
      <c r="B81" s="213">
        <v>2056.7600000000002</v>
      </c>
      <c r="C81" s="213"/>
      <c r="D81" s="213"/>
      <c r="E81" s="113">
        <v>0</v>
      </c>
      <c r="F81" s="114"/>
      <c r="G81" s="115"/>
      <c r="H81" s="113">
        <v>0</v>
      </c>
      <c r="I81" s="114"/>
      <c r="J81" s="115"/>
      <c r="K81" s="113">
        <v>0</v>
      </c>
      <c r="L81" s="114"/>
      <c r="M81" s="115"/>
      <c r="N81" s="113">
        <v>0</v>
      </c>
      <c r="O81" s="114"/>
      <c r="P81" s="115"/>
      <c r="Q81" s="113">
        <v>0</v>
      </c>
      <c r="R81" s="114"/>
      <c r="S81" s="115"/>
      <c r="T81" s="113">
        <v>0</v>
      </c>
      <c r="U81" s="114"/>
      <c r="V81" s="115"/>
      <c r="W81" s="113">
        <v>0</v>
      </c>
      <c r="X81" s="114"/>
      <c r="Y81" s="115"/>
      <c r="Z81" s="113">
        <v>0</v>
      </c>
      <c r="AA81" s="114"/>
      <c r="AB81" s="115"/>
      <c r="AC81" s="113">
        <v>0</v>
      </c>
      <c r="AD81" s="114"/>
      <c r="AE81" s="115"/>
      <c r="AF81" s="113">
        <v>0</v>
      </c>
      <c r="AG81" s="114"/>
      <c r="AH81" s="115"/>
      <c r="AI81" s="130">
        <f t="shared" si="5"/>
        <v>0</v>
      </c>
      <c r="AJ81" s="131"/>
      <c r="AK81" s="132"/>
      <c r="AL81" s="45">
        <f>AI81/AI103</f>
        <v>0</v>
      </c>
      <c r="AM81" s="133">
        <f>2056.76+AI81</f>
        <v>2056.7600000000002</v>
      </c>
      <c r="AN81" s="133"/>
    </row>
    <row r="82" spans="1:40" x14ac:dyDescent="0.25">
      <c r="A82" s="30" t="s">
        <v>63</v>
      </c>
      <c r="B82" s="213">
        <v>147202.01999999999</v>
      </c>
      <c r="C82" s="213"/>
      <c r="D82" s="213"/>
      <c r="E82" s="113">
        <f>1386.11+400</f>
        <v>1786.11</v>
      </c>
      <c r="F82" s="114"/>
      <c r="G82" s="115"/>
      <c r="H82" s="113">
        <f>600+1904.25+2113.13</f>
        <v>4617.38</v>
      </c>
      <c r="I82" s="114"/>
      <c r="J82" s="115"/>
      <c r="K82" s="113">
        <f>600+2242.97+2528.19</f>
        <v>5371.16</v>
      </c>
      <c r="L82" s="114"/>
      <c r="M82" s="115"/>
      <c r="N82" s="113">
        <f>600+2571.62+2246.21</f>
        <v>5417.83</v>
      </c>
      <c r="O82" s="114"/>
      <c r="P82" s="115"/>
      <c r="Q82" s="113">
        <f>600+2654.97+2246.21</f>
        <v>5501.18</v>
      </c>
      <c r="R82" s="114"/>
      <c r="S82" s="115"/>
      <c r="T82" s="113">
        <f>600+2759.14+2246.23</f>
        <v>5605.37</v>
      </c>
      <c r="U82" s="114"/>
      <c r="V82" s="115"/>
      <c r="W82" s="113">
        <f>2759.14+2441.19+600+1280.38</f>
        <v>7080.71</v>
      </c>
      <c r="X82" s="114"/>
      <c r="Y82" s="115"/>
      <c r="Z82" s="113">
        <f>600+1876.62+2246.23</f>
        <v>4722.8500000000004</v>
      </c>
      <c r="AA82" s="114"/>
      <c r="AB82" s="115"/>
      <c r="AC82" s="113">
        <f>600+2759.14+2246.23</f>
        <v>5605.37</v>
      </c>
      <c r="AD82" s="114"/>
      <c r="AE82" s="115"/>
      <c r="AF82" s="113">
        <f>600+2999.19+2285.84</f>
        <v>5885.0300000000007</v>
      </c>
      <c r="AG82" s="114"/>
      <c r="AH82" s="115"/>
      <c r="AI82" s="130">
        <f t="shared" si="5"/>
        <v>51592.99</v>
      </c>
      <c r="AJ82" s="131"/>
      <c r="AK82" s="132"/>
      <c r="AL82" s="45">
        <f>AI82/AI103</f>
        <v>8.570744052794052E-2</v>
      </c>
      <c r="AM82" s="133">
        <f>147202.02+AI82</f>
        <v>198795.00999999998</v>
      </c>
      <c r="AN82" s="133"/>
    </row>
    <row r="83" spans="1:40" x14ac:dyDescent="0.25">
      <c r="A83" s="30" t="s">
        <v>111</v>
      </c>
      <c r="B83" s="213">
        <v>119812.42</v>
      </c>
      <c r="C83" s="213"/>
      <c r="D83" s="213"/>
      <c r="E83" s="113">
        <f>35+47+47+14.1+94+488.27+380.7+503+47.63+66.81+66.81+31.4+45.25+47.63+1493.53+1493.53+78.96</f>
        <v>4980.62</v>
      </c>
      <c r="F83" s="114"/>
      <c r="G83" s="115"/>
      <c r="H83" s="113">
        <f>183.3+201.63+528+606.3+21.12</f>
        <v>1540.35</v>
      </c>
      <c r="I83" s="114"/>
      <c r="J83" s="115"/>
      <c r="K83" s="113">
        <f>184.98+532+449.62+93.29+61.2+371.3+677+1537.6</f>
        <v>3906.99</v>
      </c>
      <c r="L83" s="114"/>
      <c r="M83" s="115"/>
      <c r="N83" s="113">
        <f>449.62+97.24+1754.17+61.2+677</f>
        <v>3039.23</v>
      </c>
      <c r="O83" s="114"/>
      <c r="P83" s="115"/>
      <c r="Q83" s="113">
        <f>449.62+97.24+56.2+1754.17+709</f>
        <v>3066.23</v>
      </c>
      <c r="R83" s="114"/>
      <c r="S83" s="115"/>
      <c r="T83" s="113">
        <f>449.62+1854.14+549</f>
        <v>2852.76</v>
      </c>
      <c r="U83" s="114"/>
      <c r="V83" s="115"/>
      <c r="W83" s="113">
        <f>58.59+113.06+449.62+19.16+1835.58+699</f>
        <v>3175.0099999999998</v>
      </c>
      <c r="X83" s="114"/>
      <c r="Y83" s="115"/>
      <c r="Z83" s="113">
        <f>480.15+27.75+60.01+1891.33+108.1+699</f>
        <v>3266.3399999999997</v>
      </c>
      <c r="AA83" s="114"/>
      <c r="AB83" s="115"/>
      <c r="AC83" s="113">
        <f>449.62+500+97.25+2007.05+699+399.5+56.2</f>
        <v>4208.62</v>
      </c>
      <c r="AD83" s="114"/>
      <c r="AE83" s="115"/>
      <c r="AF83" s="113">
        <f>479.76+2158.5+815.4+568.7</f>
        <v>4022.3600000000006</v>
      </c>
      <c r="AG83" s="114"/>
      <c r="AH83" s="115"/>
      <c r="AI83" s="130">
        <f t="shared" si="5"/>
        <v>34058.509999999995</v>
      </c>
      <c r="AJ83" s="131"/>
      <c r="AK83" s="132"/>
      <c r="AL83" s="45">
        <f>AI83/AI103</f>
        <v>5.6578766229584042E-2</v>
      </c>
      <c r="AM83" s="133">
        <f>119812.42+AI83</f>
        <v>153870.93</v>
      </c>
      <c r="AN83" s="133"/>
    </row>
    <row r="84" spans="1:40" x14ac:dyDescent="0.25">
      <c r="A84" s="27" t="s">
        <v>64</v>
      </c>
      <c r="B84" s="119">
        <f>SUM(B85:D89)</f>
        <v>21260.080000000002</v>
      </c>
      <c r="C84" s="119"/>
      <c r="D84" s="119"/>
      <c r="E84" s="116">
        <f>SUM(E85:G89)</f>
        <v>189.5</v>
      </c>
      <c r="F84" s="117"/>
      <c r="G84" s="118"/>
      <c r="H84" s="116">
        <f>SUM(H85:J89)</f>
        <v>34</v>
      </c>
      <c r="I84" s="117"/>
      <c r="J84" s="118"/>
      <c r="K84" s="116">
        <f>SUM(K85:M89)</f>
        <v>165.2</v>
      </c>
      <c r="L84" s="117"/>
      <c r="M84" s="118"/>
      <c r="N84" s="116">
        <f>SUM(N85:P89)</f>
        <v>0</v>
      </c>
      <c r="O84" s="117"/>
      <c r="P84" s="118"/>
      <c r="Q84" s="116">
        <f>SUM(Q85:S89)</f>
        <v>174.45999999999998</v>
      </c>
      <c r="R84" s="117"/>
      <c r="S84" s="118"/>
      <c r="T84" s="116">
        <f>SUM(T85:V89)</f>
        <v>237.11</v>
      </c>
      <c r="U84" s="117"/>
      <c r="V84" s="118"/>
      <c r="W84" s="116">
        <f>SUM(W85:Y89)</f>
        <v>116.2</v>
      </c>
      <c r="X84" s="117"/>
      <c r="Y84" s="118"/>
      <c r="Z84" s="116">
        <f>SUM(Z85:AB89)</f>
        <v>285.23</v>
      </c>
      <c r="AA84" s="117"/>
      <c r="AB84" s="118"/>
      <c r="AC84" s="116">
        <f>SUM(AC85:AE89)</f>
        <v>67.099999999999994</v>
      </c>
      <c r="AD84" s="117"/>
      <c r="AE84" s="118"/>
      <c r="AF84" s="116">
        <f>SUM(AF85:AH89)</f>
        <v>17</v>
      </c>
      <c r="AG84" s="117"/>
      <c r="AH84" s="118"/>
      <c r="AI84" s="217">
        <f>SUM(AI85:AK89)</f>
        <v>1285.7999999999997</v>
      </c>
      <c r="AJ84" s="218"/>
      <c r="AK84" s="219"/>
      <c r="AL84" s="44">
        <f>AI84/AI103</f>
        <v>2.1360000075751743E-3</v>
      </c>
      <c r="AM84" s="220">
        <f>SUM(AM85:AN89)</f>
        <v>22545.88</v>
      </c>
      <c r="AN84" s="220"/>
    </row>
    <row r="85" spans="1:40" x14ac:dyDescent="0.25">
      <c r="A85" s="28" t="s">
        <v>65</v>
      </c>
      <c r="B85" s="213">
        <v>4832.0600000000004</v>
      </c>
      <c r="C85" s="213"/>
      <c r="D85" s="213"/>
      <c r="E85" s="113">
        <v>0</v>
      </c>
      <c r="F85" s="114"/>
      <c r="G85" s="115"/>
      <c r="H85" s="113">
        <v>0</v>
      </c>
      <c r="I85" s="114"/>
      <c r="J85" s="115"/>
      <c r="K85" s="113">
        <v>0</v>
      </c>
      <c r="L85" s="114"/>
      <c r="M85" s="115"/>
      <c r="N85" s="113">
        <v>0</v>
      </c>
      <c r="O85" s="114"/>
      <c r="P85" s="115"/>
      <c r="Q85" s="113">
        <v>0</v>
      </c>
      <c r="R85" s="114"/>
      <c r="S85" s="115"/>
      <c r="T85" s="113">
        <v>0</v>
      </c>
      <c r="U85" s="114"/>
      <c r="V85" s="115"/>
      <c r="W85" s="113">
        <v>0</v>
      </c>
      <c r="X85" s="114"/>
      <c r="Y85" s="115"/>
      <c r="Z85" s="113">
        <v>0</v>
      </c>
      <c r="AA85" s="114"/>
      <c r="AB85" s="115"/>
      <c r="AC85" s="113">
        <v>0</v>
      </c>
      <c r="AD85" s="114"/>
      <c r="AE85" s="115"/>
      <c r="AF85" s="113">
        <v>0</v>
      </c>
      <c r="AG85" s="114"/>
      <c r="AH85" s="115"/>
      <c r="AI85" s="130">
        <f>0+E85+H85+K85+N85+Q85+T85+W85+Z85+AC85+AF85</f>
        <v>0</v>
      </c>
      <c r="AJ85" s="131"/>
      <c r="AK85" s="132"/>
      <c r="AL85" s="45">
        <f>AI85/AI103</f>
        <v>0</v>
      </c>
      <c r="AM85" s="133">
        <f>4832.06+AI85</f>
        <v>4832.0600000000004</v>
      </c>
      <c r="AN85" s="133"/>
    </row>
    <row r="86" spans="1:40" x14ac:dyDescent="0.25">
      <c r="A86" s="28" t="s">
        <v>66</v>
      </c>
      <c r="B86" s="130">
        <v>0</v>
      </c>
      <c r="C86" s="131"/>
      <c r="D86" s="132"/>
      <c r="E86" s="113">
        <v>0</v>
      </c>
      <c r="F86" s="114"/>
      <c r="G86" s="115"/>
      <c r="H86" s="113">
        <v>0</v>
      </c>
      <c r="I86" s="114"/>
      <c r="J86" s="115"/>
      <c r="K86" s="113">
        <v>0</v>
      </c>
      <c r="L86" s="114"/>
      <c r="M86" s="115"/>
      <c r="N86" s="113">
        <v>0</v>
      </c>
      <c r="O86" s="114"/>
      <c r="P86" s="115"/>
      <c r="Q86" s="113">
        <v>0</v>
      </c>
      <c r="R86" s="114"/>
      <c r="S86" s="115"/>
      <c r="T86" s="113">
        <v>0</v>
      </c>
      <c r="U86" s="114"/>
      <c r="V86" s="115"/>
      <c r="W86" s="113">
        <v>0</v>
      </c>
      <c r="X86" s="114"/>
      <c r="Y86" s="115"/>
      <c r="Z86" s="113">
        <v>0</v>
      </c>
      <c r="AA86" s="114"/>
      <c r="AB86" s="115"/>
      <c r="AC86" s="113">
        <v>0</v>
      </c>
      <c r="AD86" s="114"/>
      <c r="AE86" s="115"/>
      <c r="AF86" s="113">
        <v>0</v>
      </c>
      <c r="AG86" s="114"/>
      <c r="AH86" s="115"/>
      <c r="AI86" s="130">
        <f t="shared" ref="AI86:AI89" si="6">0+E86+H86+K86+N86+Q86+T86+W86+Z86+AC86+AF86</f>
        <v>0</v>
      </c>
      <c r="AJ86" s="131"/>
      <c r="AK86" s="132"/>
      <c r="AL86" s="45">
        <f>AI86/AI103</f>
        <v>0</v>
      </c>
      <c r="AM86" s="133">
        <f>0+AI86</f>
        <v>0</v>
      </c>
      <c r="AN86" s="133"/>
    </row>
    <row r="87" spans="1:40" x14ac:dyDescent="0.25">
      <c r="A87" s="28" t="s">
        <v>67</v>
      </c>
      <c r="B87" s="130">
        <v>1100</v>
      </c>
      <c r="C87" s="131"/>
      <c r="D87" s="132"/>
      <c r="E87" s="113">
        <f>17</f>
        <v>17</v>
      </c>
      <c r="F87" s="114"/>
      <c r="G87" s="115"/>
      <c r="H87" s="113">
        <f>17+17</f>
        <v>34</v>
      </c>
      <c r="I87" s="114"/>
      <c r="J87" s="115"/>
      <c r="K87" s="113">
        <f>17+27</f>
        <v>44</v>
      </c>
      <c r="L87" s="114"/>
      <c r="M87" s="115"/>
      <c r="N87" s="113">
        <v>0</v>
      </c>
      <c r="O87" s="114"/>
      <c r="P87" s="115"/>
      <c r="Q87" s="113">
        <f>17+15</f>
        <v>32</v>
      </c>
      <c r="R87" s="114"/>
      <c r="S87" s="115"/>
      <c r="T87" s="113">
        <f>17+15+31.04+29.71+17.66</f>
        <v>110.41</v>
      </c>
      <c r="U87" s="114"/>
      <c r="V87" s="115"/>
      <c r="W87" s="113">
        <f>15+17</f>
        <v>32</v>
      </c>
      <c r="X87" s="114"/>
      <c r="Y87" s="115"/>
      <c r="Z87" s="113">
        <f>17+14</f>
        <v>31</v>
      </c>
      <c r="AA87" s="114"/>
      <c r="AB87" s="115"/>
      <c r="AC87" s="113">
        <f>17+15</f>
        <v>32</v>
      </c>
      <c r="AD87" s="114"/>
      <c r="AE87" s="115"/>
      <c r="AF87" s="113">
        <f>17</f>
        <v>17</v>
      </c>
      <c r="AG87" s="114"/>
      <c r="AH87" s="115"/>
      <c r="AI87" s="130">
        <f t="shared" si="6"/>
        <v>349.40999999999997</v>
      </c>
      <c r="AJ87" s="131"/>
      <c r="AK87" s="132"/>
      <c r="AL87" s="45">
        <f>AI87/AI103</f>
        <v>5.804477855396187E-4</v>
      </c>
      <c r="AM87" s="133">
        <f>1100+AI87</f>
        <v>1449.4099999999999</v>
      </c>
      <c r="AN87" s="133"/>
    </row>
    <row r="88" spans="1:40" x14ac:dyDescent="0.25">
      <c r="A88" s="28" t="s">
        <v>68</v>
      </c>
      <c r="B88" s="130">
        <v>14793.96</v>
      </c>
      <c r="C88" s="131"/>
      <c r="D88" s="132"/>
      <c r="E88" s="113">
        <f>35.1+107.4</f>
        <v>142.5</v>
      </c>
      <c r="F88" s="114"/>
      <c r="G88" s="115"/>
      <c r="H88" s="113">
        <v>0</v>
      </c>
      <c r="I88" s="114"/>
      <c r="J88" s="115"/>
      <c r="K88" s="113">
        <f>44.3+35.1</f>
        <v>79.400000000000006</v>
      </c>
      <c r="L88" s="114"/>
      <c r="M88" s="115"/>
      <c r="N88" s="113">
        <v>0</v>
      </c>
      <c r="O88" s="114"/>
      <c r="P88" s="115"/>
      <c r="Q88" s="113">
        <f>9.2+35.1+38.2</f>
        <v>82.5</v>
      </c>
      <c r="R88" s="114"/>
      <c r="S88" s="115"/>
      <c r="T88" s="113">
        <f>45.8+80.9</f>
        <v>126.7</v>
      </c>
      <c r="U88" s="114"/>
      <c r="V88" s="115"/>
      <c r="W88" s="113">
        <f>49.1+35.1</f>
        <v>84.2</v>
      </c>
      <c r="X88" s="114"/>
      <c r="Y88" s="115"/>
      <c r="Z88" s="113">
        <f>74.1+35.1+12.85+70.2+20.35</f>
        <v>212.6</v>
      </c>
      <c r="AA88" s="114"/>
      <c r="AB88" s="115"/>
      <c r="AC88" s="113">
        <f>35.1</f>
        <v>35.1</v>
      </c>
      <c r="AD88" s="114"/>
      <c r="AE88" s="115"/>
      <c r="AF88" s="113">
        <v>0</v>
      </c>
      <c r="AG88" s="114"/>
      <c r="AH88" s="115"/>
      <c r="AI88" s="130">
        <f t="shared" si="6"/>
        <v>763</v>
      </c>
      <c r="AJ88" s="131"/>
      <c r="AK88" s="132"/>
      <c r="AL88" s="45">
        <f>AI88/AI103</f>
        <v>1.2675128369729807E-3</v>
      </c>
      <c r="AM88" s="133">
        <f>14793.96+AI88</f>
        <v>15556.96</v>
      </c>
      <c r="AN88" s="133"/>
    </row>
    <row r="89" spans="1:40" x14ac:dyDescent="0.25">
      <c r="A89" s="28" t="s">
        <v>69</v>
      </c>
      <c r="B89" s="130">
        <v>534.05999999999995</v>
      </c>
      <c r="C89" s="131"/>
      <c r="D89" s="132"/>
      <c r="E89" s="113">
        <f>16+14</f>
        <v>30</v>
      </c>
      <c r="F89" s="114"/>
      <c r="G89" s="115"/>
      <c r="H89" s="113">
        <v>0</v>
      </c>
      <c r="I89" s="114"/>
      <c r="J89" s="115"/>
      <c r="K89" s="113">
        <f>11.6+15.2+15</f>
        <v>41.8</v>
      </c>
      <c r="L89" s="114"/>
      <c r="M89" s="115"/>
      <c r="N89" s="113">
        <v>0</v>
      </c>
      <c r="O89" s="114"/>
      <c r="P89" s="115"/>
      <c r="Q89" s="113">
        <f>11+15.3+33.66</f>
        <v>59.959999999999994</v>
      </c>
      <c r="R89" s="114"/>
      <c r="S89" s="115"/>
      <c r="T89" s="113">
        <v>0</v>
      </c>
      <c r="U89" s="114"/>
      <c r="V89" s="115"/>
      <c r="W89" s="113">
        <v>0</v>
      </c>
      <c r="X89" s="114"/>
      <c r="Y89" s="115"/>
      <c r="Z89" s="113">
        <f>33.23+8.4</f>
        <v>41.629999999999995</v>
      </c>
      <c r="AA89" s="114"/>
      <c r="AB89" s="115"/>
      <c r="AC89" s="113">
        <v>0</v>
      </c>
      <c r="AD89" s="114"/>
      <c r="AE89" s="115"/>
      <c r="AF89" s="113">
        <v>0</v>
      </c>
      <c r="AG89" s="114"/>
      <c r="AH89" s="115"/>
      <c r="AI89" s="130">
        <f t="shared" si="6"/>
        <v>173.39</v>
      </c>
      <c r="AJ89" s="131"/>
      <c r="AK89" s="132"/>
      <c r="AL89" s="45">
        <f>AI89/AI103</f>
        <v>2.8803938506257549E-4</v>
      </c>
      <c r="AM89" s="133">
        <f>534.06+AI89</f>
        <v>707.44999999999993</v>
      </c>
      <c r="AN89" s="133"/>
    </row>
    <row r="90" spans="1:40" x14ac:dyDescent="0.25">
      <c r="A90" s="27" t="s">
        <v>70</v>
      </c>
      <c r="B90" s="217">
        <f>SUM(B91:D94)</f>
        <v>273602.88</v>
      </c>
      <c r="C90" s="218"/>
      <c r="D90" s="219"/>
      <c r="E90" s="116">
        <f>SUM(E91:G94)</f>
        <v>10089.06</v>
      </c>
      <c r="F90" s="117"/>
      <c r="G90" s="118"/>
      <c r="H90" s="116">
        <f t="shared" ref="H90" si="7">SUM(H91:J94)</f>
        <v>200</v>
      </c>
      <c r="I90" s="117"/>
      <c r="J90" s="118"/>
      <c r="K90" s="116">
        <f t="shared" ref="K90" si="8">SUM(K91:M94)</f>
        <v>300</v>
      </c>
      <c r="L90" s="117"/>
      <c r="M90" s="118"/>
      <c r="N90" s="116">
        <f t="shared" ref="N90" si="9">SUM(N91:P94)</f>
        <v>0</v>
      </c>
      <c r="O90" s="117"/>
      <c r="P90" s="118"/>
      <c r="Q90" s="116">
        <f t="shared" ref="Q90" si="10">SUM(Q91:S94)</f>
        <v>5783.0499999999993</v>
      </c>
      <c r="R90" s="117"/>
      <c r="S90" s="118"/>
      <c r="T90" s="116">
        <f t="shared" ref="T90" si="11">SUM(T91:V94)</f>
        <v>0</v>
      </c>
      <c r="U90" s="117"/>
      <c r="V90" s="118"/>
      <c r="W90" s="116">
        <f t="shared" ref="W90" si="12">SUM(W91:Y94)</f>
        <v>0</v>
      </c>
      <c r="X90" s="117"/>
      <c r="Y90" s="118"/>
      <c r="Z90" s="116">
        <f t="shared" ref="Z90" si="13">SUM(Z91:AB94)</f>
        <v>461</v>
      </c>
      <c r="AA90" s="117"/>
      <c r="AB90" s="118"/>
      <c r="AC90" s="116">
        <f t="shared" ref="AC90" si="14">SUM(AC91:AE94)</f>
        <v>0</v>
      </c>
      <c r="AD90" s="117"/>
      <c r="AE90" s="118"/>
      <c r="AF90" s="116">
        <f t="shared" ref="AF90" si="15">SUM(AF91:AH94)</f>
        <v>0</v>
      </c>
      <c r="AG90" s="117"/>
      <c r="AH90" s="118"/>
      <c r="AI90" s="217">
        <f>SUM(AI91:AK94)</f>
        <v>16833.11</v>
      </c>
      <c r="AJ90" s="218"/>
      <c r="AK90" s="219"/>
      <c r="AL90" s="44">
        <f>AI90/AI103</f>
        <v>2.7963542609670052E-2</v>
      </c>
      <c r="AM90" s="220">
        <f>SUM(AM91:AN94)</f>
        <v>290435.99</v>
      </c>
      <c r="AN90" s="220"/>
    </row>
    <row r="91" spans="1:40" x14ac:dyDescent="0.25">
      <c r="A91" s="28" t="s">
        <v>117</v>
      </c>
      <c r="B91" s="130">
        <f>93359.5</f>
        <v>93359.5</v>
      </c>
      <c r="C91" s="131"/>
      <c r="D91" s="132"/>
      <c r="E91" s="113">
        <f>9027.03+667.8</f>
        <v>9694.83</v>
      </c>
      <c r="F91" s="114"/>
      <c r="G91" s="115"/>
      <c r="H91" s="113">
        <v>0</v>
      </c>
      <c r="I91" s="114"/>
      <c r="J91" s="115"/>
      <c r="K91" s="113">
        <v>0</v>
      </c>
      <c r="L91" s="114"/>
      <c r="M91" s="115"/>
      <c r="N91" s="113">
        <v>0</v>
      </c>
      <c r="O91" s="114"/>
      <c r="P91" s="115"/>
      <c r="Q91" s="113">
        <f>4279.9+1503.15</f>
        <v>5783.0499999999993</v>
      </c>
      <c r="R91" s="114"/>
      <c r="S91" s="115"/>
      <c r="T91" s="113">
        <v>0</v>
      </c>
      <c r="U91" s="114"/>
      <c r="V91" s="115"/>
      <c r="W91" s="113">
        <v>0</v>
      </c>
      <c r="X91" s="114"/>
      <c r="Y91" s="115"/>
      <c r="Z91" s="113">
        <f>200+201</f>
        <v>401</v>
      </c>
      <c r="AA91" s="114"/>
      <c r="AB91" s="115"/>
      <c r="AC91" s="113">
        <v>0</v>
      </c>
      <c r="AD91" s="114"/>
      <c r="AE91" s="115"/>
      <c r="AF91" s="113">
        <v>0</v>
      </c>
      <c r="AG91" s="114"/>
      <c r="AH91" s="115"/>
      <c r="AI91" s="130">
        <f>0+E91+H91+K91+N91+Q91+T91+W91+Z91+AC91+AF91</f>
        <v>15878.88</v>
      </c>
      <c r="AJ91" s="131"/>
      <c r="AK91" s="132"/>
      <c r="AL91" s="45">
        <f>AI91/AI103</f>
        <v>2.6378354176610119E-2</v>
      </c>
      <c r="AM91" s="133">
        <f>93359.5+AI91</f>
        <v>109238.38</v>
      </c>
      <c r="AN91" s="133"/>
    </row>
    <row r="92" spans="1:40" x14ac:dyDescent="0.25">
      <c r="A92" s="28" t="s">
        <v>71</v>
      </c>
      <c r="B92" s="130">
        <v>1000</v>
      </c>
      <c r="C92" s="131"/>
      <c r="D92" s="132"/>
      <c r="E92" s="113">
        <v>0</v>
      </c>
      <c r="F92" s="114"/>
      <c r="G92" s="115"/>
      <c r="H92" s="113">
        <f>200</f>
        <v>200</v>
      </c>
      <c r="I92" s="114"/>
      <c r="J92" s="115"/>
      <c r="K92" s="113">
        <v>0</v>
      </c>
      <c r="L92" s="114"/>
      <c r="M92" s="115"/>
      <c r="N92" s="113">
        <v>0</v>
      </c>
      <c r="O92" s="114"/>
      <c r="P92" s="115"/>
      <c r="Q92" s="113">
        <v>0</v>
      </c>
      <c r="R92" s="114"/>
      <c r="S92" s="115"/>
      <c r="T92" s="113">
        <v>0</v>
      </c>
      <c r="U92" s="114"/>
      <c r="V92" s="115"/>
      <c r="W92" s="113">
        <v>0</v>
      </c>
      <c r="X92" s="114"/>
      <c r="Y92" s="115"/>
      <c r="Z92" s="113">
        <v>0</v>
      </c>
      <c r="AA92" s="114"/>
      <c r="AB92" s="115"/>
      <c r="AC92" s="113">
        <v>0</v>
      </c>
      <c r="AD92" s="114"/>
      <c r="AE92" s="115"/>
      <c r="AF92" s="113">
        <v>0</v>
      </c>
      <c r="AG92" s="114"/>
      <c r="AH92" s="115"/>
      <c r="AI92" s="130">
        <f t="shared" ref="AI92:AI94" si="16">0+E92+H92+K92+N92+Q92+T92+W92+Z92+AC92+AF92</f>
        <v>200</v>
      </c>
      <c r="AJ92" s="131"/>
      <c r="AK92" s="132"/>
      <c r="AL92" s="45">
        <f>AI92/AI103</f>
        <v>3.3224451821047983E-4</v>
      </c>
      <c r="AM92" s="133">
        <f>1000+AI92</f>
        <v>1200</v>
      </c>
      <c r="AN92" s="133"/>
    </row>
    <row r="93" spans="1:40" x14ac:dyDescent="0.25">
      <c r="A93" s="28" t="s">
        <v>72</v>
      </c>
      <c r="B93" s="130">
        <v>179183.38</v>
      </c>
      <c r="C93" s="131"/>
      <c r="D93" s="132"/>
      <c r="E93" s="113">
        <f>20+20+20+20+20+20+100+174.23</f>
        <v>394.23</v>
      </c>
      <c r="F93" s="114"/>
      <c r="G93" s="115"/>
      <c r="H93" s="113">
        <v>0</v>
      </c>
      <c r="I93" s="114"/>
      <c r="J93" s="115"/>
      <c r="K93" s="113">
        <f>120+180</f>
        <v>300</v>
      </c>
      <c r="L93" s="114"/>
      <c r="M93" s="115"/>
      <c r="N93" s="113">
        <v>0</v>
      </c>
      <c r="O93" s="114"/>
      <c r="P93" s="115"/>
      <c r="Q93" s="113">
        <v>0</v>
      </c>
      <c r="R93" s="114"/>
      <c r="S93" s="115"/>
      <c r="T93" s="113">
        <v>0</v>
      </c>
      <c r="U93" s="114"/>
      <c r="V93" s="115"/>
      <c r="W93" s="113">
        <v>0</v>
      </c>
      <c r="X93" s="114"/>
      <c r="Y93" s="115"/>
      <c r="Z93" s="113">
        <v>0</v>
      </c>
      <c r="AA93" s="114"/>
      <c r="AB93" s="115"/>
      <c r="AC93" s="113">
        <v>0</v>
      </c>
      <c r="AD93" s="114"/>
      <c r="AE93" s="115"/>
      <c r="AF93" s="113">
        <v>0</v>
      </c>
      <c r="AG93" s="114"/>
      <c r="AH93" s="115"/>
      <c r="AI93" s="130">
        <f t="shared" si="16"/>
        <v>694.23</v>
      </c>
      <c r="AJ93" s="131"/>
      <c r="AK93" s="132"/>
      <c r="AL93" s="45">
        <f>AI93/AI103</f>
        <v>1.1532705593863071E-3</v>
      </c>
      <c r="AM93" s="133">
        <f>179183.38+AI93</f>
        <v>179877.61000000002</v>
      </c>
      <c r="AN93" s="133"/>
    </row>
    <row r="94" spans="1:40" x14ac:dyDescent="0.25">
      <c r="A94" s="28" t="s">
        <v>73</v>
      </c>
      <c r="B94" s="130">
        <v>60</v>
      </c>
      <c r="C94" s="131"/>
      <c r="D94" s="132"/>
      <c r="E94" s="113">
        <v>0</v>
      </c>
      <c r="F94" s="114"/>
      <c r="G94" s="115"/>
      <c r="H94" s="113">
        <v>0</v>
      </c>
      <c r="I94" s="114"/>
      <c r="J94" s="115"/>
      <c r="K94" s="113">
        <v>0</v>
      </c>
      <c r="L94" s="114"/>
      <c r="M94" s="115"/>
      <c r="N94" s="113">
        <v>0</v>
      </c>
      <c r="O94" s="114"/>
      <c r="P94" s="115"/>
      <c r="Q94" s="113">
        <v>0</v>
      </c>
      <c r="R94" s="114"/>
      <c r="S94" s="115"/>
      <c r="T94" s="113">
        <v>0</v>
      </c>
      <c r="U94" s="114"/>
      <c r="V94" s="115"/>
      <c r="W94" s="113">
        <v>0</v>
      </c>
      <c r="X94" s="114"/>
      <c r="Y94" s="115"/>
      <c r="Z94" s="113">
        <f>60</f>
        <v>60</v>
      </c>
      <c r="AA94" s="114"/>
      <c r="AB94" s="115"/>
      <c r="AC94" s="113">
        <v>0</v>
      </c>
      <c r="AD94" s="114"/>
      <c r="AE94" s="115"/>
      <c r="AF94" s="113">
        <v>0</v>
      </c>
      <c r="AG94" s="114"/>
      <c r="AH94" s="115"/>
      <c r="AI94" s="130">
        <f t="shared" si="16"/>
        <v>60</v>
      </c>
      <c r="AJ94" s="131"/>
      <c r="AK94" s="132"/>
      <c r="AL94" s="45">
        <f>AI94/AI103</f>
        <v>9.9673355463143952E-5</v>
      </c>
      <c r="AM94" s="133">
        <f>60+AI94</f>
        <v>120</v>
      </c>
      <c r="AN94" s="133"/>
    </row>
    <row r="95" spans="1:40" x14ac:dyDescent="0.25">
      <c r="A95" s="27" t="s">
        <v>74</v>
      </c>
      <c r="B95" s="217">
        <f>SUM(B96:D102)</f>
        <v>178248.91999999998</v>
      </c>
      <c r="C95" s="218"/>
      <c r="D95" s="219"/>
      <c r="E95" s="116">
        <f>SUM(E96:G102)</f>
        <v>4770.4400000000005</v>
      </c>
      <c r="F95" s="117"/>
      <c r="G95" s="118"/>
      <c r="H95" s="116">
        <f t="shared" ref="H95" si="17">SUM(H96:J102)</f>
        <v>6178.1900000000005</v>
      </c>
      <c r="I95" s="117"/>
      <c r="J95" s="118"/>
      <c r="K95" s="116">
        <f t="shared" ref="K95" si="18">SUM(K96:M102)</f>
        <v>8814.16</v>
      </c>
      <c r="L95" s="117"/>
      <c r="M95" s="118"/>
      <c r="N95" s="116">
        <f t="shared" ref="N95" si="19">SUM(N96:P102)</f>
        <v>0</v>
      </c>
      <c r="O95" s="117"/>
      <c r="P95" s="118"/>
      <c r="Q95" s="116">
        <f t="shared" ref="Q95" si="20">SUM(Q96:S102)</f>
        <v>0</v>
      </c>
      <c r="R95" s="117"/>
      <c r="S95" s="118"/>
      <c r="T95" s="116">
        <f t="shared" ref="T95" si="21">SUM(T96:V102)</f>
        <v>0</v>
      </c>
      <c r="U95" s="117"/>
      <c r="V95" s="118"/>
      <c r="W95" s="116">
        <f t="shared" ref="W95" si="22">SUM(W96:Y102)</f>
        <v>0</v>
      </c>
      <c r="X95" s="117"/>
      <c r="Y95" s="118"/>
      <c r="Z95" s="116">
        <f t="shared" ref="Z95" si="23">SUM(Z96:AB102)</f>
        <v>0</v>
      </c>
      <c r="AA95" s="117"/>
      <c r="AB95" s="118"/>
      <c r="AC95" s="116">
        <f t="shared" ref="AC95" si="24">SUM(AC96:AE102)</f>
        <v>0</v>
      </c>
      <c r="AD95" s="117"/>
      <c r="AE95" s="118"/>
      <c r="AF95" s="116">
        <f t="shared" ref="AF95" si="25">SUM(AF96:AH102)</f>
        <v>0</v>
      </c>
      <c r="AG95" s="117"/>
      <c r="AH95" s="118"/>
      <c r="AI95" s="217">
        <f>SUM(AI96:AK102)</f>
        <v>19762.79</v>
      </c>
      <c r="AJ95" s="218"/>
      <c r="AK95" s="219"/>
      <c r="AL95" s="44">
        <f>AI95/AI103</f>
        <v>3.2830393210224448E-2</v>
      </c>
      <c r="AM95" s="220">
        <f>SUM(AM96:AN102)</f>
        <v>198011.71000000002</v>
      </c>
      <c r="AN95" s="220"/>
    </row>
    <row r="96" spans="1:40" x14ac:dyDescent="0.25">
      <c r="A96" s="30" t="s">
        <v>75</v>
      </c>
      <c r="B96" s="130">
        <v>74980.759999999995</v>
      </c>
      <c r="C96" s="131"/>
      <c r="D96" s="132"/>
      <c r="E96" s="113">
        <v>2616.9499999999998</v>
      </c>
      <c r="F96" s="114"/>
      <c r="G96" s="115"/>
      <c r="H96" s="113">
        <f>1710.68+355.51+1760.11</f>
        <v>3826.3</v>
      </c>
      <c r="I96" s="114"/>
      <c r="J96" s="115"/>
      <c r="K96" s="113">
        <f>1556.68+1195.41</f>
        <v>2752.09</v>
      </c>
      <c r="L96" s="114"/>
      <c r="M96" s="115"/>
      <c r="N96" s="113">
        <v>0</v>
      </c>
      <c r="O96" s="114"/>
      <c r="P96" s="115"/>
      <c r="Q96" s="113">
        <v>0</v>
      </c>
      <c r="R96" s="114"/>
      <c r="S96" s="115"/>
      <c r="T96" s="113">
        <v>0</v>
      </c>
      <c r="U96" s="114"/>
      <c r="V96" s="115"/>
      <c r="W96" s="113">
        <v>0</v>
      </c>
      <c r="X96" s="114"/>
      <c r="Y96" s="115"/>
      <c r="Z96" s="113">
        <v>0</v>
      </c>
      <c r="AA96" s="114"/>
      <c r="AB96" s="115"/>
      <c r="AC96" s="113">
        <v>0</v>
      </c>
      <c r="AD96" s="114"/>
      <c r="AE96" s="115"/>
      <c r="AF96" s="113">
        <v>0</v>
      </c>
      <c r="AG96" s="114"/>
      <c r="AH96" s="115"/>
      <c r="AI96" s="130">
        <f>0+E96+H96+K96+N96+Q96+T96+W96+Z96+AC96+AF96</f>
        <v>9195.34</v>
      </c>
      <c r="AJ96" s="131"/>
      <c r="AK96" s="132"/>
      <c r="AL96" s="45">
        <f>AI96/AI103</f>
        <v>1.5275506540407768E-2</v>
      </c>
      <c r="AM96" s="133">
        <f>74980.76+AI96</f>
        <v>84176.099999999991</v>
      </c>
      <c r="AN96" s="133"/>
    </row>
    <row r="97" spans="1:41" x14ac:dyDescent="0.25">
      <c r="A97" s="30" t="s">
        <v>76</v>
      </c>
      <c r="B97" s="130">
        <v>19327.43</v>
      </c>
      <c r="C97" s="131"/>
      <c r="D97" s="132"/>
      <c r="E97" s="113">
        <v>0</v>
      </c>
      <c r="F97" s="114"/>
      <c r="G97" s="115"/>
      <c r="H97" s="113">
        <f>1034</f>
        <v>1034</v>
      </c>
      <c r="I97" s="114"/>
      <c r="J97" s="115"/>
      <c r="K97" s="113">
        <v>0</v>
      </c>
      <c r="L97" s="114"/>
      <c r="M97" s="115"/>
      <c r="N97" s="113">
        <v>0</v>
      </c>
      <c r="O97" s="114"/>
      <c r="P97" s="115"/>
      <c r="Q97" s="113">
        <v>0</v>
      </c>
      <c r="R97" s="114"/>
      <c r="S97" s="115"/>
      <c r="T97" s="113">
        <v>0</v>
      </c>
      <c r="U97" s="114"/>
      <c r="V97" s="115"/>
      <c r="W97" s="113">
        <v>0</v>
      </c>
      <c r="X97" s="114"/>
      <c r="Y97" s="115"/>
      <c r="Z97" s="113">
        <v>0</v>
      </c>
      <c r="AA97" s="114"/>
      <c r="AB97" s="115"/>
      <c r="AC97" s="113">
        <v>0</v>
      </c>
      <c r="AD97" s="114"/>
      <c r="AE97" s="115"/>
      <c r="AF97" s="113">
        <v>0</v>
      </c>
      <c r="AG97" s="114"/>
      <c r="AH97" s="115"/>
      <c r="AI97" s="130">
        <f t="shared" ref="AI97:AI102" si="26">0+E97+H97+K97+N97+Q97+T97+W97+Z97+AC97+AF97</f>
        <v>1034</v>
      </c>
      <c r="AJ97" s="131"/>
      <c r="AK97" s="132"/>
      <c r="AL97" s="45">
        <f>AI97/AI103</f>
        <v>1.7177041591481808E-3</v>
      </c>
      <c r="AM97" s="133">
        <f>19327.43+AI97</f>
        <v>20361.43</v>
      </c>
      <c r="AN97" s="133"/>
    </row>
    <row r="98" spans="1:41" x14ac:dyDescent="0.25">
      <c r="A98" s="30" t="s">
        <v>77</v>
      </c>
      <c r="B98" s="130">
        <v>24884.52</v>
      </c>
      <c r="C98" s="131"/>
      <c r="D98" s="132"/>
      <c r="E98" s="113">
        <f>751.76</f>
        <v>751.76</v>
      </c>
      <c r="F98" s="114"/>
      <c r="G98" s="115"/>
      <c r="H98" s="113">
        <f>1317.89</f>
        <v>1317.89</v>
      </c>
      <c r="I98" s="114"/>
      <c r="J98" s="115"/>
      <c r="K98" s="113">
        <f>858</f>
        <v>858</v>
      </c>
      <c r="L98" s="114"/>
      <c r="M98" s="115"/>
      <c r="N98" s="113">
        <v>0</v>
      </c>
      <c r="O98" s="114"/>
      <c r="P98" s="115"/>
      <c r="Q98" s="113">
        <v>0</v>
      </c>
      <c r="R98" s="114"/>
      <c r="S98" s="115"/>
      <c r="T98" s="113">
        <v>0</v>
      </c>
      <c r="U98" s="114"/>
      <c r="V98" s="115"/>
      <c r="W98" s="113">
        <v>0</v>
      </c>
      <c r="X98" s="114"/>
      <c r="Y98" s="115"/>
      <c r="Z98" s="113">
        <v>0</v>
      </c>
      <c r="AA98" s="114"/>
      <c r="AB98" s="115"/>
      <c r="AC98" s="113">
        <v>0</v>
      </c>
      <c r="AD98" s="114"/>
      <c r="AE98" s="115"/>
      <c r="AF98" s="113">
        <v>0</v>
      </c>
      <c r="AG98" s="114"/>
      <c r="AH98" s="115"/>
      <c r="AI98" s="130">
        <f t="shared" si="26"/>
        <v>2927.65</v>
      </c>
      <c r="AJ98" s="131"/>
      <c r="AK98" s="132"/>
      <c r="AL98" s="45">
        <f>AI98/AI103</f>
        <v>4.8634783186945569E-3</v>
      </c>
      <c r="AM98" s="133">
        <f>24884.52+AI98</f>
        <v>27812.170000000002</v>
      </c>
      <c r="AN98" s="133"/>
    </row>
    <row r="99" spans="1:41" x14ac:dyDescent="0.25">
      <c r="A99" s="30" t="s">
        <v>78</v>
      </c>
      <c r="B99" s="130">
        <v>6131.04</v>
      </c>
      <c r="C99" s="131"/>
      <c r="D99" s="132"/>
      <c r="E99" s="113">
        <v>0</v>
      </c>
      <c r="F99" s="114"/>
      <c r="G99" s="115"/>
      <c r="H99" s="113">
        <v>0</v>
      </c>
      <c r="I99" s="114"/>
      <c r="J99" s="115"/>
      <c r="K99" s="113">
        <f>1527.85</f>
        <v>1527.85</v>
      </c>
      <c r="L99" s="114"/>
      <c r="M99" s="115"/>
      <c r="N99" s="113">
        <v>0</v>
      </c>
      <c r="O99" s="114"/>
      <c r="P99" s="115"/>
      <c r="Q99" s="113">
        <v>0</v>
      </c>
      <c r="R99" s="114"/>
      <c r="S99" s="115"/>
      <c r="T99" s="113">
        <v>0</v>
      </c>
      <c r="U99" s="114"/>
      <c r="V99" s="115"/>
      <c r="W99" s="113">
        <v>0</v>
      </c>
      <c r="X99" s="114"/>
      <c r="Y99" s="115"/>
      <c r="Z99" s="113">
        <v>0</v>
      </c>
      <c r="AA99" s="114"/>
      <c r="AB99" s="115"/>
      <c r="AC99" s="113">
        <v>0</v>
      </c>
      <c r="AD99" s="114"/>
      <c r="AE99" s="115"/>
      <c r="AF99" s="113">
        <v>0</v>
      </c>
      <c r="AG99" s="114"/>
      <c r="AH99" s="115"/>
      <c r="AI99" s="130">
        <f t="shared" si="26"/>
        <v>1527.85</v>
      </c>
      <c r="AJ99" s="131"/>
      <c r="AK99" s="132"/>
      <c r="AL99" s="46">
        <f>AI99/AI103</f>
        <v>2.5380989357394078E-3</v>
      </c>
      <c r="AM99" s="133">
        <f>6131.04+AI99</f>
        <v>7658.8899999999994</v>
      </c>
      <c r="AN99" s="133"/>
    </row>
    <row r="100" spans="1:41" x14ac:dyDescent="0.25">
      <c r="A100" s="30" t="s">
        <v>79</v>
      </c>
      <c r="B100" s="130">
        <v>8096.72</v>
      </c>
      <c r="C100" s="131"/>
      <c r="D100" s="132"/>
      <c r="E100" s="113">
        <v>0</v>
      </c>
      <c r="F100" s="114"/>
      <c r="G100" s="115"/>
      <c r="H100" s="113">
        <v>0</v>
      </c>
      <c r="I100" s="114"/>
      <c r="J100" s="115"/>
      <c r="K100" s="113">
        <f>774.85</f>
        <v>774.85</v>
      </c>
      <c r="L100" s="114"/>
      <c r="M100" s="115"/>
      <c r="N100" s="113">
        <v>0</v>
      </c>
      <c r="O100" s="114"/>
      <c r="P100" s="115"/>
      <c r="Q100" s="113">
        <v>0</v>
      </c>
      <c r="R100" s="114"/>
      <c r="S100" s="115"/>
      <c r="T100" s="113">
        <v>0</v>
      </c>
      <c r="U100" s="114"/>
      <c r="V100" s="115"/>
      <c r="W100" s="113">
        <v>0</v>
      </c>
      <c r="X100" s="114"/>
      <c r="Y100" s="115"/>
      <c r="Z100" s="113">
        <v>0</v>
      </c>
      <c r="AA100" s="114"/>
      <c r="AB100" s="115"/>
      <c r="AC100" s="113">
        <v>0</v>
      </c>
      <c r="AD100" s="114"/>
      <c r="AE100" s="115"/>
      <c r="AF100" s="113">
        <v>0</v>
      </c>
      <c r="AG100" s="114"/>
      <c r="AH100" s="115"/>
      <c r="AI100" s="130">
        <f t="shared" si="26"/>
        <v>774.85</v>
      </c>
      <c r="AJ100" s="131"/>
      <c r="AK100" s="132"/>
      <c r="AL100" s="45">
        <f>AI100/AI103</f>
        <v>1.2871983246769516E-3</v>
      </c>
      <c r="AM100" s="133">
        <f>8096.72+AI100</f>
        <v>8871.57</v>
      </c>
      <c r="AN100" s="133"/>
    </row>
    <row r="101" spans="1:41" x14ac:dyDescent="0.25">
      <c r="A101" s="30" t="s">
        <v>80</v>
      </c>
      <c r="B101" s="130">
        <v>14414.08</v>
      </c>
      <c r="C101" s="131"/>
      <c r="D101" s="132"/>
      <c r="E101" s="113">
        <v>0</v>
      </c>
      <c r="F101" s="114"/>
      <c r="G101" s="115"/>
      <c r="H101" s="113">
        <v>0</v>
      </c>
      <c r="I101" s="114"/>
      <c r="J101" s="115"/>
      <c r="K101" s="113">
        <v>0</v>
      </c>
      <c r="L101" s="114"/>
      <c r="M101" s="115"/>
      <c r="N101" s="113">
        <v>0</v>
      </c>
      <c r="O101" s="114"/>
      <c r="P101" s="115"/>
      <c r="Q101" s="113">
        <v>0</v>
      </c>
      <c r="R101" s="114"/>
      <c r="S101" s="115"/>
      <c r="T101" s="113">
        <v>0</v>
      </c>
      <c r="U101" s="114"/>
      <c r="V101" s="115"/>
      <c r="W101" s="113">
        <v>0</v>
      </c>
      <c r="X101" s="114"/>
      <c r="Y101" s="115"/>
      <c r="Z101" s="113">
        <v>0</v>
      </c>
      <c r="AA101" s="114"/>
      <c r="AB101" s="115"/>
      <c r="AC101" s="113">
        <v>0</v>
      </c>
      <c r="AD101" s="114"/>
      <c r="AE101" s="115"/>
      <c r="AF101" s="113">
        <v>0</v>
      </c>
      <c r="AG101" s="114"/>
      <c r="AH101" s="115"/>
      <c r="AI101" s="130">
        <f t="shared" si="26"/>
        <v>0</v>
      </c>
      <c r="AJ101" s="131"/>
      <c r="AK101" s="132"/>
      <c r="AL101" s="45">
        <f>AI101/AI103</f>
        <v>0</v>
      </c>
      <c r="AM101" s="133">
        <f>14414.08+AI101</f>
        <v>14414.08</v>
      </c>
      <c r="AN101" s="133"/>
    </row>
    <row r="102" spans="1:41" x14ac:dyDescent="0.25">
      <c r="A102" s="30" t="s">
        <v>110</v>
      </c>
      <c r="B102" s="130">
        <v>30414.37</v>
      </c>
      <c r="C102" s="131"/>
      <c r="D102" s="132"/>
      <c r="E102" s="113">
        <f>1045.9+241.2+12.73+21.9+30+50</f>
        <v>1401.7300000000002</v>
      </c>
      <c r="F102" s="114"/>
      <c r="G102" s="115"/>
      <c r="H102" s="113">
        <v>0</v>
      </c>
      <c r="I102" s="114"/>
      <c r="J102" s="115"/>
      <c r="K102" s="113">
        <f>2901.37</f>
        <v>2901.37</v>
      </c>
      <c r="L102" s="114"/>
      <c r="M102" s="115"/>
      <c r="N102" s="113">
        <v>0</v>
      </c>
      <c r="O102" s="114"/>
      <c r="P102" s="115"/>
      <c r="Q102" s="113">
        <v>0</v>
      </c>
      <c r="R102" s="114"/>
      <c r="S102" s="115"/>
      <c r="T102" s="113">
        <v>0</v>
      </c>
      <c r="U102" s="114"/>
      <c r="V102" s="115"/>
      <c r="W102" s="113">
        <v>0</v>
      </c>
      <c r="X102" s="114"/>
      <c r="Y102" s="115"/>
      <c r="Z102" s="113">
        <v>0</v>
      </c>
      <c r="AA102" s="114"/>
      <c r="AB102" s="115"/>
      <c r="AC102" s="113">
        <v>0</v>
      </c>
      <c r="AD102" s="114"/>
      <c r="AE102" s="115"/>
      <c r="AF102" s="113">
        <v>0</v>
      </c>
      <c r="AG102" s="114"/>
      <c r="AH102" s="115"/>
      <c r="AI102" s="130">
        <f t="shared" si="26"/>
        <v>4303.1000000000004</v>
      </c>
      <c r="AJ102" s="131"/>
      <c r="AK102" s="132"/>
      <c r="AL102" s="45">
        <f>AI102/AI103</f>
        <v>7.1484069315575797E-3</v>
      </c>
      <c r="AM102" s="133">
        <f>30414.37+AI102</f>
        <v>34717.47</v>
      </c>
      <c r="AN102" s="133"/>
    </row>
    <row r="103" spans="1:41" x14ac:dyDescent="0.25">
      <c r="A103" s="31" t="s">
        <v>81</v>
      </c>
      <c r="B103" s="121">
        <v>665976.37</v>
      </c>
      <c r="C103" s="122"/>
      <c r="D103" s="123"/>
      <c r="E103" s="121">
        <f>E33+E42+E46+E50+E64+E69+E84+E90+E95</f>
        <v>60661.509999999995</v>
      </c>
      <c r="F103" s="122"/>
      <c r="G103" s="123"/>
      <c r="H103" s="121">
        <f>H33+H42+H46+H50+H64+H69+H84+H90+H95</f>
        <v>41855.070000000007</v>
      </c>
      <c r="I103" s="122"/>
      <c r="J103" s="123"/>
      <c r="K103" s="121">
        <f>K33+K42+K46+K50+K64+K69+K84+K90+K95</f>
        <v>48116</v>
      </c>
      <c r="L103" s="122"/>
      <c r="M103" s="123"/>
      <c r="N103" s="121">
        <f>N33+N42+N46+N50+N64+N69+N84+N90+N95</f>
        <v>72473.42</v>
      </c>
      <c r="O103" s="122"/>
      <c r="P103" s="123"/>
      <c r="Q103" s="121">
        <f>Q33+Q42+Q46+Q50+Q64+Q69+Q84+Q90+Q95</f>
        <v>60471.19</v>
      </c>
      <c r="R103" s="122"/>
      <c r="S103" s="123"/>
      <c r="T103" s="121">
        <f>T33+T42+T46+T50+T64+T69+T84+T90+T95</f>
        <v>82771.33</v>
      </c>
      <c r="U103" s="122"/>
      <c r="V103" s="123"/>
      <c r="W103" s="121">
        <f>W33+W42+W46+W50+W64+W69+W84+W90+W95</f>
        <v>33141.39</v>
      </c>
      <c r="X103" s="122"/>
      <c r="Y103" s="123"/>
      <c r="Z103" s="121">
        <f>Z33+Z42+Z46+Z50+Z64+Z69+Z84+Z90+Z95</f>
        <v>44031.850000000006</v>
      </c>
      <c r="AA103" s="122"/>
      <c r="AB103" s="123"/>
      <c r="AC103" s="121">
        <f>AC33+AC42+AC46+AC50+AC64+AC69+AC84+AC90+AC95</f>
        <v>34193.810000000005</v>
      </c>
      <c r="AD103" s="122"/>
      <c r="AE103" s="123"/>
      <c r="AF103" s="121">
        <f>AF33+AF42+AF46+AF50+AF64+AF69+AF84+AF90+AF95</f>
        <v>124250.72</v>
      </c>
      <c r="AG103" s="122"/>
      <c r="AH103" s="123"/>
      <c r="AI103" s="121">
        <f>SUM(AI33+AI42+AI46+AI50+AI64+AI69+AI84+AI90+AI95)</f>
        <v>601966.29</v>
      </c>
      <c r="AJ103" s="122"/>
      <c r="AK103" s="123"/>
      <c r="AL103" s="32">
        <f>AI103/AI103</f>
        <v>1</v>
      </c>
      <c r="AM103" s="226">
        <f>SUM(AM33+AM42+AM46+AM50+AM64+AM69+AM84+AM90+AM95)</f>
        <v>2638167.4299999997</v>
      </c>
      <c r="AN103" s="226"/>
    </row>
    <row r="104" spans="1:41" x14ac:dyDescent="0.25">
      <c r="A104" s="33" t="s">
        <v>82</v>
      </c>
      <c r="B104" s="222">
        <f>D27-B105</f>
        <v>2150247.92</v>
      </c>
      <c r="C104" s="223"/>
      <c r="D104" s="224"/>
      <c r="E104" s="120">
        <f>G27-E103</f>
        <v>63337.280000000013</v>
      </c>
      <c r="F104" s="120"/>
      <c r="G104" s="120"/>
      <c r="H104" s="120">
        <f>J27-H103</f>
        <v>79118.739999999991</v>
      </c>
      <c r="I104" s="120"/>
      <c r="J104" s="120"/>
      <c r="K104" s="120">
        <f>M27-K103</f>
        <v>-39763.53</v>
      </c>
      <c r="L104" s="120"/>
      <c r="M104" s="120"/>
      <c r="N104" s="120">
        <f>P27-N103</f>
        <v>49000.380000000005</v>
      </c>
      <c r="O104" s="120"/>
      <c r="P104" s="120"/>
      <c r="Q104" s="120">
        <f>S27-Q103</f>
        <v>-53036.22</v>
      </c>
      <c r="R104" s="120"/>
      <c r="S104" s="120"/>
      <c r="T104" s="120">
        <f>V27-T103</f>
        <v>38238.990000000005</v>
      </c>
      <c r="U104" s="120"/>
      <c r="V104" s="120"/>
      <c r="W104" s="120">
        <f>Y27-W103</f>
        <v>-26645.759999999998</v>
      </c>
      <c r="X104" s="120"/>
      <c r="Y104" s="120"/>
      <c r="Z104" s="120">
        <f>AB27-Z103</f>
        <v>85346.12</v>
      </c>
      <c r="AA104" s="120"/>
      <c r="AB104" s="120"/>
      <c r="AC104" s="120">
        <f>AE27-AC103</f>
        <v>-26560.850000000006</v>
      </c>
      <c r="AD104" s="120"/>
      <c r="AE104" s="120"/>
      <c r="AF104" s="120">
        <f>AH27-AF103</f>
        <v>21238.410000000003</v>
      </c>
      <c r="AG104" s="120"/>
      <c r="AH104" s="120"/>
      <c r="AI104" s="222">
        <f>AK27-AI103</f>
        <v>190273.56000000006</v>
      </c>
      <c r="AJ104" s="223"/>
      <c r="AK104" s="224"/>
      <c r="AL104" s="225">
        <f>AN27-AM103</f>
        <v>2340521.4800000004</v>
      </c>
      <c r="AM104" s="225"/>
      <c r="AN104" s="225"/>
    </row>
    <row r="105" spans="1:41" x14ac:dyDescent="0.25">
      <c r="A105" s="34" t="s">
        <v>92</v>
      </c>
      <c r="B105" s="240">
        <v>2036201.14</v>
      </c>
      <c r="C105" s="240"/>
      <c r="D105" s="240"/>
      <c r="E105" s="35"/>
      <c r="F105" s="35"/>
      <c r="G105" s="35"/>
      <c r="H105" s="36"/>
      <c r="I105" s="36"/>
      <c r="J105" s="35"/>
      <c r="K105" s="36"/>
      <c r="L105" s="36"/>
      <c r="M105" s="35"/>
      <c r="N105" s="36"/>
      <c r="O105" s="36"/>
      <c r="P105" s="35"/>
      <c r="Q105" s="36"/>
      <c r="R105" s="36"/>
      <c r="S105" s="35"/>
      <c r="T105" s="36"/>
      <c r="U105" s="36"/>
      <c r="V105" s="35"/>
      <c r="W105" s="36"/>
      <c r="X105" s="36"/>
      <c r="Y105" s="35"/>
      <c r="Z105" s="36"/>
      <c r="AA105" s="36"/>
      <c r="AB105" s="35"/>
      <c r="AC105" s="36"/>
      <c r="AD105" s="36"/>
      <c r="AE105" s="35"/>
      <c r="AF105" s="36"/>
      <c r="AG105" s="36"/>
      <c r="AH105" s="35"/>
      <c r="AI105" s="36"/>
      <c r="AJ105" s="36"/>
      <c r="AK105" s="36"/>
      <c r="AL105" s="241"/>
      <c r="AM105" s="241"/>
      <c r="AN105" s="241"/>
    </row>
    <row r="106" spans="1:41" x14ac:dyDescent="0.25">
      <c r="A106" s="242"/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  <c r="AJ106" s="243"/>
      <c r="AK106" s="243"/>
      <c r="AL106" s="243"/>
      <c r="AM106" s="243"/>
      <c r="AN106" s="243"/>
    </row>
    <row r="107" spans="1:41" x14ac:dyDescent="0.25">
      <c r="A107" s="244"/>
      <c r="B107" s="244"/>
      <c r="C107" s="244"/>
      <c r="D107" s="244"/>
      <c r="E107" s="244"/>
      <c r="F107" s="244"/>
      <c r="G107" s="244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45"/>
      <c r="AF107" s="245"/>
      <c r="AG107" s="245"/>
      <c r="AH107" s="245"/>
      <c r="AI107" s="243"/>
      <c r="AJ107" s="243"/>
      <c r="AK107" s="243"/>
      <c r="AL107" s="243"/>
      <c r="AM107" s="243"/>
      <c r="AN107" s="243"/>
    </row>
    <row r="108" spans="1:41" ht="15" customHeight="1" x14ac:dyDescent="0.25">
      <c r="A108" s="41" t="s">
        <v>83</v>
      </c>
      <c r="B108" s="246" t="s">
        <v>91</v>
      </c>
      <c r="C108" s="247"/>
      <c r="D108" s="247"/>
      <c r="E108" s="248" t="s">
        <v>1</v>
      </c>
      <c r="F108" s="249"/>
      <c r="G108" s="250"/>
      <c r="H108" s="227" t="s">
        <v>122</v>
      </c>
      <c r="I108" s="227"/>
      <c r="J108" s="227"/>
      <c r="K108" s="227" t="s">
        <v>130</v>
      </c>
      <c r="L108" s="227"/>
      <c r="M108" s="227"/>
      <c r="N108" s="227" t="s">
        <v>137</v>
      </c>
      <c r="O108" s="227"/>
      <c r="P108" s="227"/>
      <c r="Q108" s="227" t="s">
        <v>141</v>
      </c>
      <c r="R108" s="227"/>
      <c r="S108" s="227"/>
      <c r="T108" s="124" t="s">
        <v>143</v>
      </c>
      <c r="U108" s="124"/>
      <c r="V108" s="124"/>
      <c r="W108" s="124" t="s">
        <v>144</v>
      </c>
      <c r="X108" s="124"/>
      <c r="Y108" s="124"/>
      <c r="Z108" s="124" t="s">
        <v>148</v>
      </c>
      <c r="AA108" s="124"/>
      <c r="AB108" s="124"/>
      <c r="AC108" s="124" t="s">
        <v>150</v>
      </c>
      <c r="AD108" s="124"/>
      <c r="AE108" s="124"/>
      <c r="AF108" s="124" t="s">
        <v>153</v>
      </c>
      <c r="AG108" s="124"/>
      <c r="AH108" s="124"/>
      <c r="AI108" s="102"/>
      <c r="AJ108" s="102"/>
      <c r="AK108" s="102"/>
      <c r="AL108" s="102"/>
      <c r="AM108" s="102"/>
      <c r="AN108" s="102"/>
    </row>
    <row r="109" spans="1:41" x14ac:dyDescent="0.25">
      <c r="A109" s="42" t="s">
        <v>84</v>
      </c>
      <c r="B109" s="230">
        <f>344608.99</f>
        <v>344608.99</v>
      </c>
      <c r="C109" s="231"/>
      <c r="D109" s="232"/>
      <c r="E109" s="236">
        <f>B109+103000+1258.22-33476.8-48.46</f>
        <v>415341.94999999995</v>
      </c>
      <c r="F109" s="237"/>
      <c r="G109" s="238"/>
      <c r="H109" s="174">
        <f>E109-33646.97+989.67-72.49</f>
        <v>382612.16</v>
      </c>
      <c r="I109" s="174"/>
      <c r="J109" s="174"/>
      <c r="K109" s="174">
        <f>H109+100000-36971.24-103.47+1353.08</f>
        <v>446890.53</v>
      </c>
      <c r="L109" s="174"/>
      <c r="M109" s="174"/>
      <c r="N109" s="236">
        <f>K109+994.9-163-53478.09</f>
        <v>394244.34000000008</v>
      </c>
      <c r="O109" s="237"/>
      <c r="P109" s="238"/>
      <c r="Q109" s="127">
        <f>N109+766.4-808.1-56378.6</f>
        <v>337824.04000000015</v>
      </c>
      <c r="R109" s="127"/>
      <c r="S109" s="127"/>
      <c r="T109" s="127">
        <f>Q109+573.82-97.86-70257.38</f>
        <v>268042.62000000017</v>
      </c>
      <c r="U109" s="127"/>
      <c r="V109" s="127"/>
      <c r="W109" s="127">
        <f>T109+397.83-28480.77-46.61</f>
        <v>239913.07000000021</v>
      </c>
      <c r="X109" s="127"/>
      <c r="Y109" s="127"/>
      <c r="Z109" s="127">
        <f>W109-23014.71-43.74+282.95</f>
        <v>217137.57000000024</v>
      </c>
      <c r="AA109" s="127"/>
      <c r="AB109" s="127"/>
      <c r="AC109" s="127">
        <f>Z109-21363.45-256.33-39.42</f>
        <v>195478.37000000023</v>
      </c>
      <c r="AD109" s="127"/>
      <c r="AE109" s="127"/>
      <c r="AF109" s="125">
        <f>AC109-95791.56+23.74-102.43</f>
        <v>99608.120000000243</v>
      </c>
      <c r="AG109" s="126"/>
      <c r="AH109" s="126"/>
      <c r="AI109" s="102"/>
      <c r="AJ109" s="102"/>
      <c r="AK109" s="102"/>
      <c r="AL109" s="102"/>
      <c r="AM109" s="102"/>
      <c r="AN109" s="102"/>
    </row>
    <row r="110" spans="1:41" ht="15" customHeight="1" x14ac:dyDescent="0.25">
      <c r="A110" s="42" t="s">
        <v>157</v>
      </c>
      <c r="B110" s="230">
        <v>675639.54</v>
      </c>
      <c r="C110" s="231"/>
      <c r="D110" s="232"/>
      <c r="E110" s="236">
        <f>B110+100000+2528.85</f>
        <v>778168.39</v>
      </c>
      <c r="F110" s="237"/>
      <c r="G110" s="238"/>
      <c r="H110" s="174">
        <f>E110+2097.79</f>
        <v>780266.18</v>
      </c>
      <c r="I110" s="174"/>
      <c r="J110" s="174"/>
      <c r="K110" s="174">
        <f>H110+748.68</f>
        <v>781014.8600000001</v>
      </c>
      <c r="L110" s="174"/>
      <c r="M110" s="174"/>
      <c r="N110" s="214">
        <f>K110-462.33</f>
        <v>780552.53000000014</v>
      </c>
      <c r="O110" s="215"/>
      <c r="P110" s="216"/>
      <c r="Q110" s="133">
        <f>N110+2494.19-1448.28</f>
        <v>781598.44000000006</v>
      </c>
      <c r="R110" s="133"/>
      <c r="S110" s="133"/>
      <c r="T110" s="127">
        <f>Q110+1968.57</f>
        <v>783567.01</v>
      </c>
      <c r="U110" s="127"/>
      <c r="V110" s="127"/>
      <c r="W110" s="127">
        <f>T110+100000+2362.86</f>
        <v>885929.87</v>
      </c>
      <c r="X110" s="127"/>
      <c r="Y110" s="127"/>
      <c r="Z110" s="127">
        <f>W110+1202.2</f>
        <v>887132.07</v>
      </c>
      <c r="AA110" s="127"/>
      <c r="AB110" s="127"/>
      <c r="AC110" s="125">
        <f>Z110+100000+94.92</f>
        <v>987226.99</v>
      </c>
      <c r="AD110" s="126"/>
      <c r="AE110" s="126"/>
      <c r="AF110" s="125">
        <f>AC110+903.26</f>
        <v>988130.25</v>
      </c>
      <c r="AG110" s="126"/>
      <c r="AH110" s="126"/>
      <c r="AK110" s="228" t="s">
        <v>149</v>
      </c>
      <c r="AL110" s="228"/>
      <c r="AM110" s="228"/>
      <c r="AN110" s="228"/>
    </row>
    <row r="111" spans="1:41" x14ac:dyDescent="0.25">
      <c r="A111" s="42" t="s">
        <v>140</v>
      </c>
      <c r="B111" s="230">
        <v>0</v>
      </c>
      <c r="C111" s="231"/>
      <c r="D111" s="232"/>
      <c r="E111" s="236">
        <v>0</v>
      </c>
      <c r="F111" s="237"/>
      <c r="G111" s="238"/>
      <c r="H111" s="236">
        <v>0</v>
      </c>
      <c r="I111" s="237"/>
      <c r="J111" s="238"/>
      <c r="K111" s="236">
        <v>0</v>
      </c>
      <c r="L111" s="237"/>
      <c r="M111" s="238"/>
      <c r="N111" s="236">
        <f>100000+25.38</f>
        <v>100025.38</v>
      </c>
      <c r="O111" s="237"/>
      <c r="P111" s="238"/>
      <c r="Q111" s="127">
        <f>N111+209.71-35.26</f>
        <v>100199.83000000002</v>
      </c>
      <c r="R111" s="127"/>
      <c r="S111" s="127"/>
      <c r="T111" s="127">
        <f>Q111+184.59</f>
        <v>100384.42000000001</v>
      </c>
      <c r="U111" s="127"/>
      <c r="V111" s="127"/>
      <c r="W111" s="127">
        <f>T111+161.21</f>
        <v>100545.63000000002</v>
      </c>
      <c r="X111" s="127"/>
      <c r="Y111" s="127"/>
      <c r="Z111" s="127">
        <f>W111+129.87</f>
        <v>100675.50000000001</v>
      </c>
      <c r="AA111" s="127"/>
      <c r="AB111" s="127"/>
      <c r="AC111" s="127">
        <f>Z111-73.63</f>
        <v>100601.87000000001</v>
      </c>
      <c r="AD111" s="127"/>
      <c r="AE111" s="127"/>
      <c r="AF111" s="125">
        <f>AC111+111.2</f>
        <v>100713.07</v>
      </c>
      <c r="AG111" s="126"/>
      <c r="AH111" s="126"/>
      <c r="AI111" s="102"/>
      <c r="AJ111" s="102"/>
      <c r="AK111" s="102"/>
      <c r="AL111" s="102"/>
      <c r="AM111" s="102"/>
      <c r="AN111" s="102"/>
    </row>
    <row r="112" spans="1:41" ht="15" customHeight="1" x14ac:dyDescent="0.25">
      <c r="A112" s="42" t="s">
        <v>85</v>
      </c>
      <c r="B112" s="230">
        <v>1016116.05</v>
      </c>
      <c r="C112" s="231"/>
      <c r="D112" s="232"/>
      <c r="E112" s="236">
        <f>B112+3456.99</f>
        <v>1019573.04</v>
      </c>
      <c r="F112" s="237"/>
      <c r="G112" s="238"/>
      <c r="H112" s="174">
        <f>E112+2306.35</f>
        <v>1021879.39</v>
      </c>
      <c r="I112" s="174"/>
      <c r="J112" s="174"/>
      <c r="K112" s="174">
        <f>H112+2670.71</f>
        <v>1024550.1</v>
      </c>
      <c r="L112" s="174"/>
      <c r="M112" s="174"/>
      <c r="N112" s="236">
        <f>K112+2243.52</f>
        <v>1026793.62</v>
      </c>
      <c r="O112" s="237"/>
      <c r="P112" s="238"/>
      <c r="Q112" s="127">
        <f>N112+1884.67</f>
        <v>1028678.29</v>
      </c>
      <c r="R112" s="127"/>
      <c r="S112" s="127"/>
      <c r="T112" s="127">
        <f>Q112+1703.34</f>
        <v>1030381.63</v>
      </c>
      <c r="U112" s="127"/>
      <c r="V112" s="127"/>
      <c r="W112" s="127">
        <f>T112+2538.73</f>
        <v>1032920.36</v>
      </c>
      <c r="X112" s="127"/>
      <c r="Y112" s="127"/>
      <c r="Z112" s="127">
        <f>W112+1317.95</f>
        <v>1034238.3099999999</v>
      </c>
      <c r="AA112" s="127"/>
      <c r="AB112" s="127"/>
      <c r="AC112" s="127">
        <f>Z112+1288</f>
        <v>1035526.3099999999</v>
      </c>
      <c r="AD112" s="127"/>
      <c r="AE112" s="127"/>
      <c r="AF112" s="125">
        <f>AC112+1289.93</f>
        <v>1036816.24</v>
      </c>
      <c r="AG112" s="126"/>
      <c r="AH112" s="126"/>
      <c r="AI112" s="102"/>
      <c r="AJ112" s="102"/>
      <c r="AK112" s="129"/>
      <c r="AL112" s="129"/>
      <c r="AM112" s="129"/>
      <c r="AN112" s="129"/>
      <c r="AO112" s="129"/>
    </row>
    <row r="113" spans="1:41" x14ac:dyDescent="0.25">
      <c r="A113" s="42" t="s">
        <v>121</v>
      </c>
      <c r="B113" s="230">
        <v>113425.27</v>
      </c>
      <c r="C113" s="231"/>
      <c r="D113" s="232"/>
      <c r="E113" s="214">
        <f>B113+447.4-113872.67</f>
        <v>0</v>
      </c>
      <c r="F113" s="215"/>
      <c r="G113" s="216"/>
      <c r="H113" s="133">
        <v>0</v>
      </c>
      <c r="I113" s="133"/>
      <c r="J113" s="133"/>
      <c r="K113" s="133">
        <f>0</f>
        <v>0</v>
      </c>
      <c r="L113" s="133"/>
      <c r="M113" s="133"/>
      <c r="N113" s="236">
        <v>0</v>
      </c>
      <c r="O113" s="237"/>
      <c r="P113" s="238"/>
      <c r="Q113" s="127">
        <v>0</v>
      </c>
      <c r="R113" s="127"/>
      <c r="S113" s="127"/>
      <c r="T113" s="127">
        <f>0</f>
        <v>0</v>
      </c>
      <c r="U113" s="127"/>
      <c r="V113" s="127"/>
      <c r="W113" s="127">
        <f>0</f>
        <v>0</v>
      </c>
      <c r="X113" s="127"/>
      <c r="Y113" s="127"/>
      <c r="Z113" s="127">
        <v>0</v>
      </c>
      <c r="AA113" s="127"/>
      <c r="AB113" s="127"/>
      <c r="AC113" s="127">
        <v>0</v>
      </c>
      <c r="AD113" s="127"/>
      <c r="AE113" s="127"/>
      <c r="AF113" s="134">
        <v>0</v>
      </c>
      <c r="AG113" s="134"/>
      <c r="AH113" s="134"/>
      <c r="AI113" s="102"/>
      <c r="AJ113" s="102"/>
      <c r="AK113" s="129"/>
      <c r="AL113" s="129"/>
      <c r="AM113" s="129"/>
      <c r="AN113" s="129"/>
      <c r="AO113" s="129"/>
    </row>
    <row r="114" spans="1:41" x14ac:dyDescent="0.25">
      <c r="A114" s="43" t="s">
        <v>86</v>
      </c>
      <c r="B114" s="233">
        <f>SUM(B109:D113)</f>
        <v>2149789.85</v>
      </c>
      <c r="C114" s="234"/>
      <c r="D114" s="235"/>
      <c r="E114" s="233">
        <f>SUM(E109:G113)</f>
        <v>2213083.38</v>
      </c>
      <c r="F114" s="234"/>
      <c r="G114" s="235"/>
      <c r="H114" s="239">
        <f>SUM(H109:J113)</f>
        <v>2184757.73</v>
      </c>
      <c r="I114" s="239"/>
      <c r="J114" s="239"/>
      <c r="K114" s="239">
        <f>SUM(K109:M113)</f>
        <v>2252455.4900000002</v>
      </c>
      <c r="L114" s="239"/>
      <c r="M114" s="239"/>
      <c r="N114" s="239">
        <f>SUM(N109:P113)</f>
        <v>2301615.87</v>
      </c>
      <c r="O114" s="239"/>
      <c r="P114" s="239"/>
      <c r="Q114" s="239">
        <f>SUM(Q109:S113)</f>
        <v>2248300.6000000006</v>
      </c>
      <c r="R114" s="239"/>
      <c r="S114" s="239"/>
      <c r="T114" s="239">
        <f>SUM(T109:V113)</f>
        <v>2182375.6800000002</v>
      </c>
      <c r="U114" s="239"/>
      <c r="V114" s="239"/>
      <c r="W114" s="128">
        <f>SUM(W109:Y113)</f>
        <v>2259308.9300000002</v>
      </c>
      <c r="X114" s="128"/>
      <c r="Y114" s="128"/>
      <c r="Z114" s="128">
        <f>SUM(Z109:AB113)</f>
        <v>2239183.4500000002</v>
      </c>
      <c r="AA114" s="128"/>
      <c r="AB114" s="128"/>
      <c r="AC114" s="128">
        <f>SUM(AC109:AE113)</f>
        <v>2318833.5400000005</v>
      </c>
      <c r="AD114" s="128"/>
      <c r="AE114" s="128"/>
      <c r="AF114" s="128">
        <f>SUM(AF109:AH113)</f>
        <v>2225267.6800000006</v>
      </c>
      <c r="AG114" s="128"/>
      <c r="AH114" s="128"/>
      <c r="AI114" s="102"/>
      <c r="AJ114" s="102"/>
      <c r="AK114" s="102"/>
      <c r="AL114" s="102"/>
      <c r="AM114" s="102"/>
      <c r="AN114" s="102"/>
    </row>
    <row r="115" spans="1:41" x14ac:dyDescent="0.25">
      <c r="A115" s="38" t="s">
        <v>87</v>
      </c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102"/>
      <c r="R115" s="102"/>
      <c r="S115" s="39"/>
      <c r="T115" s="102"/>
      <c r="U115" s="102"/>
      <c r="V115" s="39"/>
      <c r="W115" s="102"/>
      <c r="X115" s="102"/>
      <c r="Y115" s="39"/>
      <c r="Z115" s="102"/>
      <c r="AA115" s="102"/>
      <c r="AB115" s="39"/>
      <c r="AC115" s="102"/>
      <c r="AD115" s="102"/>
      <c r="AE115" s="39"/>
      <c r="AF115" s="102"/>
      <c r="AG115" s="102"/>
      <c r="AH115" s="39"/>
      <c r="AI115" s="102"/>
      <c r="AJ115" s="102"/>
      <c r="AK115" s="102"/>
      <c r="AL115" s="102"/>
      <c r="AM115" s="102"/>
      <c r="AN115" s="102"/>
    </row>
    <row r="116" spans="1:41" x14ac:dyDescent="0.25">
      <c r="A116" s="40" t="s">
        <v>88</v>
      </c>
      <c r="B116" s="39"/>
      <c r="C116" s="39"/>
      <c r="D116" s="39"/>
      <c r="E116" s="39"/>
      <c r="F116" s="39"/>
      <c r="Q116" s="102"/>
      <c r="R116" s="102"/>
      <c r="T116" s="102"/>
      <c r="U116" s="102"/>
      <c r="W116" s="102"/>
      <c r="X116" s="102"/>
      <c r="Z116" s="102"/>
      <c r="AA116" s="102"/>
      <c r="AC116" s="102"/>
      <c r="AD116" s="102"/>
      <c r="AF116" s="102"/>
      <c r="AG116" s="102"/>
      <c r="AI116" s="102"/>
      <c r="AJ116" s="102"/>
      <c r="AK116" s="102"/>
      <c r="AL116" s="102"/>
      <c r="AM116" s="102"/>
      <c r="AN116" s="102"/>
    </row>
    <row r="117" spans="1:41" x14ac:dyDescent="0.25">
      <c r="A117" s="40" t="s">
        <v>89</v>
      </c>
      <c r="B117" s="39"/>
      <c r="C117" s="39"/>
      <c r="D117" s="39"/>
      <c r="E117" s="39"/>
      <c r="F117" s="39"/>
      <c r="Q117" s="102"/>
      <c r="R117" s="102"/>
      <c r="T117" s="102"/>
      <c r="U117" s="102"/>
      <c r="W117" s="102"/>
      <c r="X117" s="102"/>
      <c r="Z117" s="102"/>
      <c r="AA117" s="102"/>
      <c r="AC117" s="102"/>
      <c r="AD117" s="102"/>
      <c r="AF117" s="102"/>
      <c r="AG117" s="102"/>
      <c r="AI117" s="102"/>
      <c r="AJ117" s="102"/>
      <c r="AK117" s="102"/>
      <c r="AL117" s="102"/>
      <c r="AM117" s="102"/>
      <c r="AN117" s="102"/>
    </row>
    <row r="118" spans="1:41" x14ac:dyDescent="0.25">
      <c r="A118" s="229" t="s">
        <v>90</v>
      </c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  <c r="AJ118" s="229"/>
      <c r="AK118" s="229"/>
      <c r="AL118" s="229"/>
      <c r="AM118" s="229"/>
      <c r="AN118" s="229"/>
    </row>
    <row r="119" spans="1:41" x14ac:dyDescent="0.25">
      <c r="A119" s="75" t="s">
        <v>113</v>
      </c>
      <c r="B119" s="75"/>
      <c r="C119" s="75"/>
      <c r="D119" s="75"/>
      <c r="E119" s="75"/>
      <c r="F119" s="75"/>
      <c r="G119" s="39"/>
      <c r="H119" s="75"/>
      <c r="I119" s="75"/>
      <c r="J119" s="39"/>
      <c r="K119" s="75"/>
      <c r="L119" s="75"/>
      <c r="M119" s="39"/>
      <c r="N119" s="75"/>
      <c r="O119" s="75"/>
      <c r="P119" s="39"/>
      <c r="Q119" s="75"/>
      <c r="R119" s="75"/>
      <c r="S119" s="39"/>
      <c r="T119" s="75"/>
      <c r="U119" s="75"/>
      <c r="V119" s="39"/>
      <c r="W119" s="75"/>
      <c r="X119" s="75"/>
      <c r="Y119" s="39"/>
      <c r="Z119" s="75"/>
      <c r="AA119" s="75"/>
      <c r="AB119" s="39"/>
      <c r="AC119" s="75"/>
      <c r="AD119" s="75"/>
      <c r="AE119" s="39"/>
      <c r="AF119" s="75"/>
      <c r="AG119" s="75"/>
      <c r="AH119" s="39"/>
      <c r="AI119" s="75"/>
      <c r="AJ119" s="75"/>
      <c r="AK119" s="75"/>
      <c r="AL119" s="75"/>
      <c r="AM119" s="75"/>
      <c r="AN119" s="75"/>
    </row>
    <row r="120" spans="1:41" x14ac:dyDescent="0.25">
      <c r="A120" s="75" t="s">
        <v>116</v>
      </c>
      <c r="B120" s="75"/>
      <c r="C120" s="75"/>
      <c r="D120" s="75"/>
      <c r="E120" s="75"/>
      <c r="F120" s="75"/>
      <c r="G120" s="39"/>
      <c r="H120" s="75"/>
      <c r="I120" s="75"/>
      <c r="J120" s="39"/>
      <c r="K120" s="75"/>
      <c r="L120" s="75"/>
      <c r="M120" s="39"/>
      <c r="N120" s="75"/>
      <c r="O120" s="75"/>
      <c r="P120" s="39"/>
      <c r="Q120" s="75"/>
      <c r="R120" s="75"/>
      <c r="S120" s="39"/>
      <c r="T120" s="75"/>
      <c r="U120" s="75"/>
      <c r="V120" s="39"/>
      <c r="W120" s="75"/>
      <c r="X120" s="75"/>
      <c r="Y120" s="39"/>
      <c r="Z120" s="75"/>
      <c r="AA120" s="75"/>
      <c r="AB120" s="39"/>
      <c r="AC120" s="75"/>
      <c r="AD120" s="75"/>
      <c r="AE120" s="39"/>
      <c r="AF120" s="75"/>
      <c r="AG120" s="75"/>
      <c r="AH120" s="39"/>
      <c r="AI120" s="75"/>
      <c r="AJ120" s="75"/>
      <c r="AK120" s="75"/>
      <c r="AL120" s="75"/>
      <c r="AM120" s="75"/>
      <c r="AN120" s="75"/>
    </row>
    <row r="121" spans="1:41" x14ac:dyDescent="0.25">
      <c r="A121" s="75" t="s">
        <v>118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</row>
    <row r="122" spans="1:41" x14ac:dyDescent="0.25">
      <c r="A122" s="75" t="s">
        <v>138</v>
      </c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108"/>
      <c r="AF122" s="76"/>
      <c r="AG122" s="76"/>
      <c r="AH122" s="108"/>
      <c r="AI122" s="76"/>
      <c r="AJ122" s="76"/>
      <c r="AK122" s="76"/>
      <c r="AL122" s="76"/>
      <c r="AM122" s="76"/>
      <c r="AN122" s="76"/>
    </row>
    <row r="123" spans="1:41" x14ac:dyDescent="0.25">
      <c r="A123" s="75" t="s">
        <v>146</v>
      </c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</row>
    <row r="124" spans="1:41" x14ac:dyDescent="0.25">
      <c r="A124" s="75" t="s">
        <v>147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</row>
    <row r="125" spans="1:41" x14ac:dyDescent="0.2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</row>
    <row r="135" spans="31:34" x14ac:dyDescent="0.25">
      <c r="AE135" s="103"/>
      <c r="AH135" s="103"/>
    </row>
  </sheetData>
  <mergeCells count="1158">
    <mergeCell ref="Z52:AB52"/>
    <mergeCell ref="Z53:AB53"/>
    <mergeCell ref="Z54:AB54"/>
    <mergeCell ref="Z55:AB55"/>
    <mergeCell ref="Z13:AB13"/>
    <mergeCell ref="Z12:AB12"/>
    <mergeCell ref="Z11:AB11"/>
    <mergeCell ref="Z18:AB18"/>
    <mergeCell ref="Z21:AB21"/>
    <mergeCell ref="Z92:AB92"/>
    <mergeCell ref="Z70:AB70"/>
    <mergeCell ref="Z71:AB71"/>
    <mergeCell ref="Z72:AB72"/>
    <mergeCell ref="Z73:AB73"/>
    <mergeCell ref="Z74:AB74"/>
    <mergeCell ref="Z69:AB69"/>
    <mergeCell ref="Z103:AB103"/>
    <mergeCell ref="Z104:AB104"/>
    <mergeCell ref="Z97:AB97"/>
    <mergeCell ref="Z96:AB96"/>
    <mergeCell ref="Z98:AB98"/>
    <mergeCell ref="Z99:AB99"/>
    <mergeCell ref="Z100:AB100"/>
    <mergeCell ref="Z101:AB101"/>
    <mergeCell ref="Z102:AB102"/>
    <mergeCell ref="Z84:AB84"/>
    <mergeCell ref="Z90:AB90"/>
    <mergeCell ref="Z78:AB78"/>
    <mergeCell ref="Z79:AB79"/>
    <mergeCell ref="Z80:AB80"/>
    <mergeCell ref="Z81:AB81"/>
    <mergeCell ref="Z82:AB82"/>
    <mergeCell ref="Z83:AB83"/>
    <mergeCell ref="H58:J58"/>
    <mergeCell ref="W93:Y93"/>
    <mergeCell ref="W92:Y92"/>
    <mergeCell ref="Z93:AB93"/>
    <mergeCell ref="N78:P78"/>
    <mergeCell ref="N79:P79"/>
    <mergeCell ref="N80:P80"/>
    <mergeCell ref="N87:P87"/>
    <mergeCell ref="W78:Y78"/>
    <mergeCell ref="W79:Y79"/>
    <mergeCell ref="W80:Y80"/>
    <mergeCell ref="W72:Y72"/>
    <mergeCell ref="W73:Y73"/>
    <mergeCell ref="W74:Y74"/>
    <mergeCell ref="E58:G58"/>
    <mergeCell ref="T58:V58"/>
    <mergeCell ref="W58:Y58"/>
    <mergeCell ref="W66:Y66"/>
    <mergeCell ref="W67:Y67"/>
    <mergeCell ref="W68:Y68"/>
    <mergeCell ref="W61:Y61"/>
    <mergeCell ref="W62:Y62"/>
    <mergeCell ref="W63:Y63"/>
    <mergeCell ref="W69:Y69"/>
    <mergeCell ref="W84:Y84"/>
    <mergeCell ref="W90:Y90"/>
    <mergeCell ref="W95:Y95"/>
    <mergeCell ref="Z17:AB17"/>
    <mergeCell ref="Z16:AB16"/>
    <mergeCell ref="Z15:AB15"/>
    <mergeCell ref="Z91:AB91"/>
    <mergeCell ref="Z59:AB59"/>
    <mergeCell ref="Z60:AB60"/>
    <mergeCell ref="Z65:AB65"/>
    <mergeCell ref="Z66:AB66"/>
    <mergeCell ref="Z67:AB67"/>
    <mergeCell ref="Z68:AB68"/>
    <mergeCell ref="Z35:AB35"/>
    <mergeCell ref="Z36:AB36"/>
    <mergeCell ref="Z37:AB37"/>
    <mergeCell ref="Z38:AB38"/>
    <mergeCell ref="Z39:AB39"/>
    <mergeCell ref="Z40:AB40"/>
    <mergeCell ref="Z41:AB41"/>
    <mergeCell ref="Z43:AB43"/>
    <mergeCell ref="W94:Y94"/>
    <mergeCell ref="B105:D105"/>
    <mergeCell ref="AL105:AN105"/>
    <mergeCell ref="A106:AN107"/>
    <mergeCell ref="N110:P110"/>
    <mergeCell ref="N113:P113"/>
    <mergeCell ref="N112:P112"/>
    <mergeCell ref="K111:M111"/>
    <mergeCell ref="N111:P111"/>
    <mergeCell ref="H111:J111"/>
    <mergeCell ref="E111:G111"/>
    <mergeCell ref="B111:D111"/>
    <mergeCell ref="K109:M109"/>
    <mergeCell ref="K108:M108"/>
    <mergeCell ref="B109:D109"/>
    <mergeCell ref="E109:G109"/>
    <mergeCell ref="B108:D108"/>
    <mergeCell ref="E108:G108"/>
    <mergeCell ref="N108:P108"/>
    <mergeCell ref="Q109:S109"/>
    <mergeCell ref="Q110:S110"/>
    <mergeCell ref="Q111:S111"/>
    <mergeCell ref="Q112:S112"/>
    <mergeCell ref="Q113:S113"/>
    <mergeCell ref="N109:P109"/>
    <mergeCell ref="W111:Y111"/>
    <mergeCell ref="W112:Y112"/>
    <mergeCell ref="W113:Y113"/>
    <mergeCell ref="W108:Y108"/>
    <mergeCell ref="Z111:AB111"/>
    <mergeCell ref="Z112:AB112"/>
    <mergeCell ref="Z113:AB113"/>
    <mergeCell ref="Z108:AB108"/>
    <mergeCell ref="W109:Y109"/>
    <mergeCell ref="AK110:AN110"/>
    <mergeCell ref="Z110:AB110"/>
    <mergeCell ref="AC109:AE109"/>
    <mergeCell ref="A118:AN118"/>
    <mergeCell ref="B113:D113"/>
    <mergeCell ref="B114:D114"/>
    <mergeCell ref="E114:G114"/>
    <mergeCell ref="E113:G113"/>
    <mergeCell ref="B112:D112"/>
    <mergeCell ref="E112:G112"/>
    <mergeCell ref="B110:D110"/>
    <mergeCell ref="E110:G110"/>
    <mergeCell ref="H114:J114"/>
    <mergeCell ref="H113:J113"/>
    <mergeCell ref="H112:J112"/>
    <mergeCell ref="N114:P114"/>
    <mergeCell ref="K114:M114"/>
    <mergeCell ref="K113:M113"/>
    <mergeCell ref="K112:M112"/>
    <mergeCell ref="K110:M110"/>
    <mergeCell ref="Q114:S114"/>
    <mergeCell ref="T110:V110"/>
    <mergeCell ref="T111:V111"/>
    <mergeCell ref="T112:V112"/>
    <mergeCell ref="T113:V113"/>
    <mergeCell ref="T114:V114"/>
    <mergeCell ref="W110:Y110"/>
    <mergeCell ref="W114:Y114"/>
    <mergeCell ref="Z114:AB114"/>
    <mergeCell ref="Z109:AB109"/>
    <mergeCell ref="AC110:AE110"/>
    <mergeCell ref="B103:D103"/>
    <mergeCell ref="E103:G103"/>
    <mergeCell ref="AI102:AK102"/>
    <mergeCell ref="H103:J103"/>
    <mergeCell ref="AI104:AK104"/>
    <mergeCell ref="AL104:AN104"/>
    <mergeCell ref="N104:P104"/>
    <mergeCell ref="N103:P103"/>
    <mergeCell ref="B104:D104"/>
    <mergeCell ref="E104:G104"/>
    <mergeCell ref="AC104:AE104"/>
    <mergeCell ref="AC103:AE103"/>
    <mergeCell ref="H110:J110"/>
    <mergeCell ref="H109:J109"/>
    <mergeCell ref="AI103:AK103"/>
    <mergeCell ref="AM103:AN103"/>
    <mergeCell ref="H104:J104"/>
    <mergeCell ref="K104:M104"/>
    <mergeCell ref="K103:M103"/>
    <mergeCell ref="AM102:AN102"/>
    <mergeCell ref="H108:J108"/>
    <mergeCell ref="Q104:S104"/>
    <mergeCell ref="Q103:S103"/>
    <mergeCell ref="Q102:S102"/>
    <mergeCell ref="Q108:S108"/>
    <mergeCell ref="T104:V104"/>
    <mergeCell ref="T103:V103"/>
    <mergeCell ref="T108:V108"/>
    <mergeCell ref="T109:V109"/>
    <mergeCell ref="W102:Y102"/>
    <mergeCell ref="W104:Y104"/>
    <mergeCell ref="W103:Y103"/>
    <mergeCell ref="B102:D102"/>
    <mergeCell ref="E102:G102"/>
    <mergeCell ref="AI100:AK100"/>
    <mergeCell ref="AM100:AN100"/>
    <mergeCell ref="B101:D101"/>
    <mergeCell ref="E101:G101"/>
    <mergeCell ref="B100:D100"/>
    <mergeCell ref="E100:G100"/>
    <mergeCell ref="H100:J100"/>
    <mergeCell ref="H101:J101"/>
    <mergeCell ref="H102:J102"/>
    <mergeCell ref="K100:M100"/>
    <mergeCell ref="K101:M101"/>
    <mergeCell ref="K102:M102"/>
    <mergeCell ref="N100:P100"/>
    <mergeCell ref="N101:P101"/>
    <mergeCell ref="N102:P102"/>
    <mergeCell ref="Q100:S100"/>
    <mergeCell ref="Q101:S101"/>
    <mergeCell ref="W100:Y100"/>
    <mergeCell ref="W101:Y101"/>
    <mergeCell ref="AC102:AE102"/>
    <mergeCell ref="T100:V100"/>
    <mergeCell ref="T101:V101"/>
    <mergeCell ref="T102:V102"/>
    <mergeCell ref="AF100:AH100"/>
    <mergeCell ref="B99:D99"/>
    <mergeCell ref="E99:G99"/>
    <mergeCell ref="AI98:AK98"/>
    <mergeCell ref="AI97:AK97"/>
    <mergeCell ref="AM97:AN97"/>
    <mergeCell ref="B98:D98"/>
    <mergeCell ref="E98:G98"/>
    <mergeCell ref="H98:J98"/>
    <mergeCell ref="H99:J99"/>
    <mergeCell ref="K99:M99"/>
    <mergeCell ref="K98:M98"/>
    <mergeCell ref="K97:M97"/>
    <mergeCell ref="N98:P98"/>
    <mergeCell ref="N99:P99"/>
    <mergeCell ref="Q98:S98"/>
    <mergeCell ref="Q97:S97"/>
    <mergeCell ref="Q99:S99"/>
    <mergeCell ref="W97:Y97"/>
    <mergeCell ref="W98:Y98"/>
    <mergeCell ref="W99:Y99"/>
    <mergeCell ref="T97:V97"/>
    <mergeCell ref="T98:V98"/>
    <mergeCell ref="T99:V99"/>
    <mergeCell ref="B97:D97"/>
    <mergeCell ref="E97:G97"/>
    <mergeCell ref="AF99:AH99"/>
    <mergeCell ref="B96:D96"/>
    <mergeCell ref="E96:G96"/>
    <mergeCell ref="AI95:AK95"/>
    <mergeCell ref="AM95:AN95"/>
    <mergeCell ref="AM94:AN94"/>
    <mergeCell ref="B95:D95"/>
    <mergeCell ref="E95:G95"/>
    <mergeCell ref="AI94:AK94"/>
    <mergeCell ref="H95:J95"/>
    <mergeCell ref="H97:J97"/>
    <mergeCell ref="H96:J96"/>
    <mergeCell ref="K95:M95"/>
    <mergeCell ref="K96:M96"/>
    <mergeCell ref="K94:M94"/>
    <mergeCell ref="N95:P95"/>
    <mergeCell ref="N96:P96"/>
    <mergeCell ref="N97:P97"/>
    <mergeCell ref="Q95:S95"/>
    <mergeCell ref="Q96:S96"/>
    <mergeCell ref="Q94:S94"/>
    <mergeCell ref="T96:V96"/>
    <mergeCell ref="T95:V95"/>
    <mergeCell ref="W96:Y96"/>
    <mergeCell ref="B94:D94"/>
    <mergeCell ref="E94:G94"/>
    <mergeCell ref="Z94:AB94"/>
    <mergeCell ref="Z95:AB95"/>
    <mergeCell ref="B93:D93"/>
    <mergeCell ref="E93:G93"/>
    <mergeCell ref="B92:D92"/>
    <mergeCell ref="E92:G92"/>
    <mergeCell ref="H92:J92"/>
    <mergeCell ref="H93:J93"/>
    <mergeCell ref="H94:J94"/>
    <mergeCell ref="K92:M92"/>
    <mergeCell ref="K93:M93"/>
    <mergeCell ref="N92:P92"/>
    <mergeCell ref="N93:P93"/>
    <mergeCell ref="N94:P94"/>
    <mergeCell ref="Q92:S92"/>
    <mergeCell ref="Q93:S93"/>
    <mergeCell ref="T92:V92"/>
    <mergeCell ref="T93:V93"/>
    <mergeCell ref="T94:V94"/>
    <mergeCell ref="AI91:AK91"/>
    <mergeCell ref="AM91:AN91"/>
    <mergeCell ref="AM90:AN90"/>
    <mergeCell ref="B91:D91"/>
    <mergeCell ref="E91:G91"/>
    <mergeCell ref="AI90:AK90"/>
    <mergeCell ref="AI89:AK89"/>
    <mergeCell ref="AM89:AN89"/>
    <mergeCell ref="B90:D90"/>
    <mergeCell ref="E90:G90"/>
    <mergeCell ref="H90:J90"/>
    <mergeCell ref="H91:J91"/>
    <mergeCell ref="K90:M90"/>
    <mergeCell ref="K91:M91"/>
    <mergeCell ref="K89:M89"/>
    <mergeCell ref="N90:P90"/>
    <mergeCell ref="Q90:S90"/>
    <mergeCell ref="Q91:S91"/>
    <mergeCell ref="Q89:S89"/>
    <mergeCell ref="T89:V89"/>
    <mergeCell ref="T91:V91"/>
    <mergeCell ref="W89:Y89"/>
    <mergeCell ref="T90:V90"/>
    <mergeCell ref="W91:Y91"/>
    <mergeCell ref="N91:P91"/>
    <mergeCell ref="Z89:AB89"/>
    <mergeCell ref="AF89:AH89"/>
    <mergeCell ref="AI88:AK88"/>
    <mergeCell ref="AM88:AN88"/>
    <mergeCell ref="B89:D89"/>
    <mergeCell ref="E89:G89"/>
    <mergeCell ref="B88:D88"/>
    <mergeCell ref="E88:G88"/>
    <mergeCell ref="AI87:AK87"/>
    <mergeCell ref="AM87:AN87"/>
    <mergeCell ref="AM86:AN86"/>
    <mergeCell ref="B87:D87"/>
    <mergeCell ref="E87:G87"/>
    <mergeCell ref="AI86:AK86"/>
    <mergeCell ref="H87:J87"/>
    <mergeCell ref="H88:J88"/>
    <mergeCell ref="H89:J89"/>
    <mergeCell ref="K86:M86"/>
    <mergeCell ref="K87:M87"/>
    <mergeCell ref="K88:M88"/>
    <mergeCell ref="Q86:S86"/>
    <mergeCell ref="Q87:S87"/>
    <mergeCell ref="Q88:S88"/>
    <mergeCell ref="T87:V87"/>
    <mergeCell ref="T88:V88"/>
    <mergeCell ref="T86:V86"/>
    <mergeCell ref="W86:Y86"/>
    <mergeCell ref="W87:Y87"/>
    <mergeCell ref="W88:Y88"/>
    <mergeCell ref="N88:P88"/>
    <mergeCell ref="N89:P89"/>
    <mergeCell ref="Z86:AB86"/>
    <mergeCell ref="Z87:AB87"/>
    <mergeCell ref="Z88:AB88"/>
    <mergeCell ref="AI85:AK85"/>
    <mergeCell ref="AM85:AN85"/>
    <mergeCell ref="B86:D86"/>
    <mergeCell ref="E86:G86"/>
    <mergeCell ref="AI84:AK84"/>
    <mergeCell ref="AM84:AN84"/>
    <mergeCell ref="B85:D85"/>
    <mergeCell ref="E85:G85"/>
    <mergeCell ref="B84:D84"/>
    <mergeCell ref="E84:G84"/>
    <mergeCell ref="H84:J84"/>
    <mergeCell ref="H85:J85"/>
    <mergeCell ref="H86:J86"/>
    <mergeCell ref="K84:M84"/>
    <mergeCell ref="K85:M85"/>
    <mergeCell ref="N84:P84"/>
    <mergeCell ref="Q84:S84"/>
    <mergeCell ref="Q85:S85"/>
    <mergeCell ref="T85:V85"/>
    <mergeCell ref="T84:V84"/>
    <mergeCell ref="W85:Y85"/>
    <mergeCell ref="Z85:AB85"/>
    <mergeCell ref="N85:P85"/>
    <mergeCell ref="N86:P86"/>
    <mergeCell ref="AI83:AK83"/>
    <mergeCell ref="AM83:AN83"/>
    <mergeCell ref="AM82:AN82"/>
    <mergeCell ref="B83:D83"/>
    <mergeCell ref="E83:G83"/>
    <mergeCell ref="AI82:AK82"/>
    <mergeCell ref="AI81:AK81"/>
    <mergeCell ref="AM81:AN81"/>
    <mergeCell ref="B82:D82"/>
    <mergeCell ref="E82:G82"/>
    <mergeCell ref="H82:J82"/>
    <mergeCell ref="H83:J83"/>
    <mergeCell ref="K81:M81"/>
    <mergeCell ref="K82:M82"/>
    <mergeCell ref="K83:M83"/>
    <mergeCell ref="Q81:S81"/>
    <mergeCell ref="Q82:S82"/>
    <mergeCell ref="Q83:S83"/>
    <mergeCell ref="W81:Y81"/>
    <mergeCell ref="W82:Y82"/>
    <mergeCell ref="W83:Y83"/>
    <mergeCell ref="T81:V81"/>
    <mergeCell ref="T82:V82"/>
    <mergeCell ref="T83:V83"/>
    <mergeCell ref="N82:P82"/>
    <mergeCell ref="N83:P83"/>
    <mergeCell ref="N81:P81"/>
    <mergeCell ref="AF82:AH82"/>
    <mergeCell ref="AF83:AH83"/>
    <mergeCell ref="AI79:AK79"/>
    <mergeCell ref="AM79:AN79"/>
    <mergeCell ref="B81:D81"/>
    <mergeCell ref="E81:G81"/>
    <mergeCell ref="B79:D79"/>
    <mergeCell ref="E79:G79"/>
    <mergeCell ref="AI78:AK78"/>
    <mergeCell ref="AM78:AN78"/>
    <mergeCell ref="AM77:AN77"/>
    <mergeCell ref="B78:D78"/>
    <mergeCell ref="E78:G78"/>
    <mergeCell ref="AI77:AK77"/>
    <mergeCell ref="B80:D80"/>
    <mergeCell ref="AM80:AN80"/>
    <mergeCell ref="AI80:AK80"/>
    <mergeCell ref="E80:G80"/>
    <mergeCell ref="H78:J78"/>
    <mergeCell ref="H79:J79"/>
    <mergeCell ref="H80:J80"/>
    <mergeCell ref="H81:J81"/>
    <mergeCell ref="K77:M77"/>
    <mergeCell ref="K78:M78"/>
    <mergeCell ref="K79:M79"/>
    <mergeCell ref="K80:M80"/>
    <mergeCell ref="Q77:S77"/>
    <mergeCell ref="Q78:S78"/>
    <mergeCell ref="Q79:S79"/>
    <mergeCell ref="Q80:S80"/>
    <mergeCell ref="T77:V77"/>
    <mergeCell ref="T78:V78"/>
    <mergeCell ref="T79:V79"/>
    <mergeCell ref="T80:V80"/>
    <mergeCell ref="AI76:AK76"/>
    <mergeCell ref="AM76:AN76"/>
    <mergeCell ref="B77:D77"/>
    <mergeCell ref="E77:G77"/>
    <mergeCell ref="AI75:AK75"/>
    <mergeCell ref="AM75:AN75"/>
    <mergeCell ref="B76:D76"/>
    <mergeCell ref="E76:G76"/>
    <mergeCell ref="B75:D75"/>
    <mergeCell ref="E75:G75"/>
    <mergeCell ref="H75:J75"/>
    <mergeCell ref="H76:J76"/>
    <mergeCell ref="H77:J77"/>
    <mergeCell ref="K75:M75"/>
    <mergeCell ref="K76:M76"/>
    <mergeCell ref="N75:P75"/>
    <mergeCell ref="N76:P76"/>
    <mergeCell ref="N77:P77"/>
    <mergeCell ref="Z76:AB76"/>
    <mergeCell ref="Z77:AB77"/>
    <mergeCell ref="W77:Y77"/>
    <mergeCell ref="Q75:S75"/>
    <mergeCell ref="Q76:S76"/>
    <mergeCell ref="T75:V75"/>
    <mergeCell ref="T76:V76"/>
    <mergeCell ref="W75:Y75"/>
    <mergeCell ref="W76:Y76"/>
    <mergeCell ref="AF77:AH77"/>
    <mergeCell ref="Z75:AB75"/>
    <mergeCell ref="AI74:AK74"/>
    <mergeCell ref="AM74:AN74"/>
    <mergeCell ref="AM72:AN72"/>
    <mergeCell ref="B74:D74"/>
    <mergeCell ref="E74:G74"/>
    <mergeCell ref="AI72:AK72"/>
    <mergeCell ref="AI71:AK71"/>
    <mergeCell ref="AM71:AN71"/>
    <mergeCell ref="B72:D72"/>
    <mergeCell ref="E72:G72"/>
    <mergeCell ref="H72:J72"/>
    <mergeCell ref="H74:J74"/>
    <mergeCell ref="AM73:AN73"/>
    <mergeCell ref="AI73:AK73"/>
    <mergeCell ref="H73:J73"/>
    <mergeCell ref="E73:G73"/>
    <mergeCell ref="B73:D73"/>
    <mergeCell ref="K71:M71"/>
    <mergeCell ref="K72:M72"/>
    <mergeCell ref="K73:M73"/>
    <mergeCell ref="K74:M74"/>
    <mergeCell ref="N72:P72"/>
    <mergeCell ref="N73:P73"/>
    <mergeCell ref="N74:P74"/>
    <mergeCell ref="Q72:S72"/>
    <mergeCell ref="Q73:S73"/>
    <mergeCell ref="Q74:S74"/>
    <mergeCell ref="T71:V71"/>
    <mergeCell ref="T72:V72"/>
    <mergeCell ref="T73:V73"/>
    <mergeCell ref="T74:V74"/>
    <mergeCell ref="W71:Y71"/>
    <mergeCell ref="AI70:AK70"/>
    <mergeCell ref="AM70:AN70"/>
    <mergeCell ref="B71:D71"/>
    <mergeCell ref="E71:G71"/>
    <mergeCell ref="B70:D70"/>
    <mergeCell ref="E70:G70"/>
    <mergeCell ref="AI69:AK69"/>
    <mergeCell ref="AM69:AN69"/>
    <mergeCell ref="AM68:AN68"/>
    <mergeCell ref="B69:D69"/>
    <mergeCell ref="E69:G69"/>
    <mergeCell ref="AI68:AK68"/>
    <mergeCell ref="H69:J69"/>
    <mergeCell ref="H70:J70"/>
    <mergeCell ref="H71:J71"/>
    <mergeCell ref="K69:M69"/>
    <mergeCell ref="K70:M70"/>
    <mergeCell ref="K68:M68"/>
    <mergeCell ref="N69:P69"/>
    <mergeCell ref="N70:P70"/>
    <mergeCell ref="N71:P71"/>
    <mergeCell ref="Q69:S69"/>
    <mergeCell ref="Q70:S70"/>
    <mergeCell ref="Q71:S71"/>
    <mergeCell ref="T70:V70"/>
    <mergeCell ref="T69:V69"/>
    <mergeCell ref="W70:Y70"/>
    <mergeCell ref="AI67:AK67"/>
    <mergeCell ref="AM67:AN67"/>
    <mergeCell ref="B68:D68"/>
    <mergeCell ref="E68:G68"/>
    <mergeCell ref="AI66:AK66"/>
    <mergeCell ref="AM66:AN66"/>
    <mergeCell ref="B67:D67"/>
    <mergeCell ref="E67:G67"/>
    <mergeCell ref="B66:D66"/>
    <mergeCell ref="E66:G66"/>
    <mergeCell ref="H66:J66"/>
    <mergeCell ref="H67:J67"/>
    <mergeCell ref="H68:J68"/>
    <mergeCell ref="K66:M66"/>
    <mergeCell ref="K67:M67"/>
    <mergeCell ref="N66:P66"/>
    <mergeCell ref="N67:P67"/>
    <mergeCell ref="N68:P68"/>
    <mergeCell ref="Q66:S66"/>
    <mergeCell ref="Q67:S67"/>
    <mergeCell ref="Q68:S68"/>
    <mergeCell ref="T66:V66"/>
    <mergeCell ref="T67:V67"/>
    <mergeCell ref="T68:V68"/>
    <mergeCell ref="AI65:AK65"/>
    <mergeCell ref="AM65:AN65"/>
    <mergeCell ref="AM64:AN64"/>
    <mergeCell ref="B65:D65"/>
    <mergeCell ref="E65:G65"/>
    <mergeCell ref="AI64:AK64"/>
    <mergeCell ref="AI63:AK63"/>
    <mergeCell ref="AM63:AN63"/>
    <mergeCell ref="B64:D64"/>
    <mergeCell ref="E64:G64"/>
    <mergeCell ref="H64:J64"/>
    <mergeCell ref="H65:J65"/>
    <mergeCell ref="K64:M64"/>
    <mergeCell ref="K65:M65"/>
    <mergeCell ref="K63:M63"/>
    <mergeCell ref="N64:P64"/>
    <mergeCell ref="N65:P65"/>
    <mergeCell ref="Q64:S64"/>
    <mergeCell ref="Q63:S63"/>
    <mergeCell ref="Q65:S65"/>
    <mergeCell ref="T65:V65"/>
    <mergeCell ref="W64:Y64"/>
    <mergeCell ref="W65:Y65"/>
    <mergeCell ref="Z64:AB64"/>
    <mergeCell ref="T63:V63"/>
    <mergeCell ref="T64:V64"/>
    <mergeCell ref="Z63:AB63"/>
    <mergeCell ref="AI62:AK62"/>
    <mergeCell ref="AM62:AN62"/>
    <mergeCell ref="B63:D63"/>
    <mergeCell ref="E63:G63"/>
    <mergeCell ref="B62:D62"/>
    <mergeCell ref="E62:G62"/>
    <mergeCell ref="AI61:AK61"/>
    <mergeCell ref="AM61:AN61"/>
    <mergeCell ref="AM60:AN60"/>
    <mergeCell ref="B61:D61"/>
    <mergeCell ref="E61:G61"/>
    <mergeCell ref="AI60:AK60"/>
    <mergeCell ref="H61:J61"/>
    <mergeCell ref="H62:J62"/>
    <mergeCell ref="H63:J63"/>
    <mergeCell ref="K60:M60"/>
    <mergeCell ref="K61:M61"/>
    <mergeCell ref="K62:M62"/>
    <mergeCell ref="N61:P61"/>
    <mergeCell ref="N62:P62"/>
    <mergeCell ref="N63:P63"/>
    <mergeCell ref="Q60:S60"/>
    <mergeCell ref="Q61:S61"/>
    <mergeCell ref="Q62:S62"/>
    <mergeCell ref="T62:V62"/>
    <mergeCell ref="T60:V60"/>
    <mergeCell ref="T61:V61"/>
    <mergeCell ref="W60:Y60"/>
    <mergeCell ref="Z61:AB61"/>
    <mergeCell ref="Z62:AB62"/>
    <mergeCell ref="AI59:AK59"/>
    <mergeCell ref="AM59:AN59"/>
    <mergeCell ref="B60:D60"/>
    <mergeCell ref="E60:G60"/>
    <mergeCell ref="AI57:AK57"/>
    <mergeCell ref="AM57:AN57"/>
    <mergeCell ref="B59:D59"/>
    <mergeCell ref="E59:G59"/>
    <mergeCell ref="B57:D57"/>
    <mergeCell ref="E57:G57"/>
    <mergeCell ref="H57:J57"/>
    <mergeCell ref="H59:J59"/>
    <mergeCell ref="H60:J60"/>
    <mergeCell ref="K57:M57"/>
    <mergeCell ref="K59:M59"/>
    <mergeCell ref="N57:P57"/>
    <mergeCell ref="N59:P59"/>
    <mergeCell ref="N60:P60"/>
    <mergeCell ref="Q57:S57"/>
    <mergeCell ref="Q59:S59"/>
    <mergeCell ref="AM58:AN58"/>
    <mergeCell ref="AI58:AK58"/>
    <mergeCell ref="Z57:AB57"/>
    <mergeCell ref="Z58:AB58"/>
    <mergeCell ref="T57:V57"/>
    <mergeCell ref="T59:V59"/>
    <mergeCell ref="W57:Y57"/>
    <mergeCell ref="W59:Y59"/>
    <mergeCell ref="B58:D58"/>
    <mergeCell ref="Q58:S58"/>
    <mergeCell ref="N58:P58"/>
    <mergeCell ref="K58:M58"/>
    <mergeCell ref="AI56:AK56"/>
    <mergeCell ref="AM56:AN56"/>
    <mergeCell ref="AM55:AN55"/>
    <mergeCell ref="B56:D56"/>
    <mergeCell ref="E56:G56"/>
    <mergeCell ref="AI55:AK55"/>
    <mergeCell ref="AI54:AK54"/>
    <mergeCell ref="AM54:AN54"/>
    <mergeCell ref="B55:D55"/>
    <mergeCell ref="E55:G55"/>
    <mergeCell ref="H55:J55"/>
    <mergeCell ref="H56:J56"/>
    <mergeCell ref="K54:M54"/>
    <mergeCell ref="K55:M55"/>
    <mergeCell ref="K56:M56"/>
    <mergeCell ref="N55:P55"/>
    <mergeCell ref="N56:P56"/>
    <mergeCell ref="Q54:S54"/>
    <mergeCell ref="Q55:S55"/>
    <mergeCell ref="Q56:S56"/>
    <mergeCell ref="Z56:AB56"/>
    <mergeCell ref="AC54:AE54"/>
    <mergeCell ref="AC55:AE55"/>
    <mergeCell ref="AC56:AE56"/>
    <mergeCell ref="T54:V54"/>
    <mergeCell ref="T55:V55"/>
    <mergeCell ref="T56:V56"/>
    <mergeCell ref="W54:Y54"/>
    <mergeCell ref="W55:Y55"/>
    <mergeCell ref="W56:Y56"/>
    <mergeCell ref="AF55:AH55"/>
    <mergeCell ref="AF56:AH56"/>
    <mergeCell ref="AI53:AK53"/>
    <mergeCell ref="AM53:AN53"/>
    <mergeCell ref="B54:D54"/>
    <mergeCell ref="E54:G54"/>
    <mergeCell ref="B53:D53"/>
    <mergeCell ref="E53:G53"/>
    <mergeCell ref="AI52:AK52"/>
    <mergeCell ref="AM52:AN52"/>
    <mergeCell ref="AM51:AN51"/>
    <mergeCell ref="B52:D52"/>
    <mergeCell ref="E52:G52"/>
    <mergeCell ref="AI51:AK51"/>
    <mergeCell ref="H52:J52"/>
    <mergeCell ref="H53:J53"/>
    <mergeCell ref="H54:J54"/>
    <mergeCell ref="K51:M51"/>
    <mergeCell ref="K52:M52"/>
    <mergeCell ref="K53:M53"/>
    <mergeCell ref="N52:P52"/>
    <mergeCell ref="N53:P53"/>
    <mergeCell ref="N54:P54"/>
    <mergeCell ref="Q51:S51"/>
    <mergeCell ref="Q52:S52"/>
    <mergeCell ref="Q53:S53"/>
    <mergeCell ref="T52:V52"/>
    <mergeCell ref="T53:V53"/>
    <mergeCell ref="W51:Y51"/>
    <mergeCell ref="W52:Y52"/>
    <mergeCell ref="W53:Y53"/>
    <mergeCell ref="AF52:AH52"/>
    <mergeCell ref="AF53:AH53"/>
    <mergeCell ref="AF54:AH54"/>
    <mergeCell ref="AI50:AK50"/>
    <mergeCell ref="AM50:AN50"/>
    <mergeCell ref="B51:D51"/>
    <mergeCell ref="E51:G51"/>
    <mergeCell ref="AI49:AK49"/>
    <mergeCell ref="AM49:AN49"/>
    <mergeCell ref="B50:D50"/>
    <mergeCell ref="E50:G50"/>
    <mergeCell ref="B49:D49"/>
    <mergeCell ref="E49:G49"/>
    <mergeCell ref="H50:J50"/>
    <mergeCell ref="H49:J49"/>
    <mergeCell ref="H51:J51"/>
    <mergeCell ref="K50:M50"/>
    <mergeCell ref="K49:M49"/>
    <mergeCell ref="N50:P50"/>
    <mergeCell ref="N51:P51"/>
    <mergeCell ref="N49:P49"/>
    <mergeCell ref="Q50:S50"/>
    <mergeCell ref="Q49:S49"/>
    <mergeCell ref="T51:V51"/>
    <mergeCell ref="W49:Y49"/>
    <mergeCell ref="Z50:AB50"/>
    <mergeCell ref="T49:V49"/>
    <mergeCell ref="T50:V50"/>
    <mergeCell ref="W50:Y50"/>
    <mergeCell ref="Z49:AB49"/>
    <mergeCell ref="AF51:AH51"/>
    <mergeCell ref="AF49:AH49"/>
    <mergeCell ref="Z51:AB51"/>
    <mergeCell ref="AI48:AK48"/>
    <mergeCell ref="AM48:AN48"/>
    <mergeCell ref="AM47:AN47"/>
    <mergeCell ref="B48:D48"/>
    <mergeCell ref="E48:G48"/>
    <mergeCell ref="AI47:AK47"/>
    <mergeCell ref="AI46:AK46"/>
    <mergeCell ref="AM46:AN46"/>
    <mergeCell ref="B47:D47"/>
    <mergeCell ref="E47:G47"/>
    <mergeCell ref="H47:J47"/>
    <mergeCell ref="H48:J48"/>
    <mergeCell ref="K46:M46"/>
    <mergeCell ref="K47:M47"/>
    <mergeCell ref="K48:M48"/>
    <mergeCell ref="N47:P47"/>
    <mergeCell ref="N48:P48"/>
    <mergeCell ref="Q46:S46"/>
    <mergeCell ref="Q47:S47"/>
    <mergeCell ref="Q48:S48"/>
    <mergeCell ref="Z46:AB46"/>
    <mergeCell ref="W47:Y47"/>
    <mergeCell ref="W48:Y48"/>
    <mergeCell ref="T47:V47"/>
    <mergeCell ref="T48:V48"/>
    <mergeCell ref="T46:V46"/>
    <mergeCell ref="W46:Y46"/>
    <mergeCell ref="Z47:AB47"/>
    <mergeCell ref="Z48:AB48"/>
    <mergeCell ref="AF47:AH47"/>
    <mergeCell ref="AF48:AH48"/>
    <mergeCell ref="AI45:AK45"/>
    <mergeCell ref="AM45:AN45"/>
    <mergeCell ref="B46:D46"/>
    <mergeCell ref="E46:G46"/>
    <mergeCell ref="B45:D45"/>
    <mergeCell ref="E45:G45"/>
    <mergeCell ref="AI44:AK44"/>
    <mergeCell ref="AM44:AN44"/>
    <mergeCell ref="AM43:AN43"/>
    <mergeCell ref="B44:D44"/>
    <mergeCell ref="E44:G44"/>
    <mergeCell ref="AI43:AK43"/>
    <mergeCell ref="H46:J46"/>
    <mergeCell ref="H44:J44"/>
    <mergeCell ref="H45:J45"/>
    <mergeCell ref="K43:M43"/>
    <mergeCell ref="K44:M44"/>
    <mergeCell ref="K45:M45"/>
    <mergeCell ref="N46:P46"/>
    <mergeCell ref="N44:P44"/>
    <mergeCell ref="N45:P45"/>
    <mergeCell ref="Q43:S43"/>
    <mergeCell ref="Q44:S44"/>
    <mergeCell ref="Q45:S45"/>
    <mergeCell ref="T43:V43"/>
    <mergeCell ref="T44:V44"/>
    <mergeCell ref="T45:V45"/>
    <mergeCell ref="W43:Y43"/>
    <mergeCell ref="W44:Y44"/>
    <mergeCell ref="W45:Y45"/>
    <mergeCell ref="Z44:AB44"/>
    <mergeCell ref="Z45:AB45"/>
    <mergeCell ref="AI42:AK42"/>
    <mergeCell ref="AM42:AN42"/>
    <mergeCell ref="B43:D43"/>
    <mergeCell ref="E43:G43"/>
    <mergeCell ref="AI41:AK41"/>
    <mergeCell ref="AM41:AN41"/>
    <mergeCell ref="B42:D42"/>
    <mergeCell ref="E42:G42"/>
    <mergeCell ref="B41:D41"/>
    <mergeCell ref="E41:G41"/>
    <mergeCell ref="H42:J42"/>
    <mergeCell ref="H43:J43"/>
    <mergeCell ref="H41:J41"/>
    <mergeCell ref="K42:M42"/>
    <mergeCell ref="K41:M41"/>
    <mergeCell ref="N42:P42"/>
    <mergeCell ref="N41:P41"/>
    <mergeCell ref="N43:P43"/>
    <mergeCell ref="Q42:S42"/>
    <mergeCell ref="Q41:S41"/>
    <mergeCell ref="Z42:AB42"/>
    <mergeCell ref="T41:V41"/>
    <mergeCell ref="T42:V42"/>
    <mergeCell ref="W42:Y42"/>
    <mergeCell ref="W41:Y41"/>
    <mergeCell ref="AF41:AH41"/>
    <mergeCell ref="AF43:AH43"/>
    <mergeCell ref="AI40:AK40"/>
    <mergeCell ref="AM40:AN40"/>
    <mergeCell ref="AM39:AN39"/>
    <mergeCell ref="B40:D40"/>
    <mergeCell ref="E40:G40"/>
    <mergeCell ref="AI39:AK39"/>
    <mergeCell ref="AI38:AK38"/>
    <mergeCell ref="AM38:AN38"/>
    <mergeCell ref="B39:D39"/>
    <mergeCell ref="E39:G39"/>
    <mergeCell ref="H39:J39"/>
    <mergeCell ref="H40:J40"/>
    <mergeCell ref="K38:M38"/>
    <mergeCell ref="K39:M39"/>
    <mergeCell ref="K40:M40"/>
    <mergeCell ref="N39:P39"/>
    <mergeCell ref="N40:P40"/>
    <mergeCell ref="Q38:S38"/>
    <mergeCell ref="Q39:S39"/>
    <mergeCell ref="Q40:S40"/>
    <mergeCell ref="T38:V38"/>
    <mergeCell ref="T39:V39"/>
    <mergeCell ref="T40:V40"/>
    <mergeCell ref="W38:Y38"/>
    <mergeCell ref="W39:Y39"/>
    <mergeCell ref="W40:Y40"/>
    <mergeCell ref="AF39:AH39"/>
    <mergeCell ref="AF40:AH40"/>
    <mergeCell ref="AI37:AK37"/>
    <mergeCell ref="AM37:AN37"/>
    <mergeCell ref="B38:D38"/>
    <mergeCell ref="E38:G38"/>
    <mergeCell ref="B37:D37"/>
    <mergeCell ref="E37:G37"/>
    <mergeCell ref="AI36:AK36"/>
    <mergeCell ref="AM36:AN36"/>
    <mergeCell ref="AM35:AN35"/>
    <mergeCell ref="B36:D36"/>
    <mergeCell ref="E36:G36"/>
    <mergeCell ref="AI35:AK35"/>
    <mergeCell ref="H36:J36"/>
    <mergeCell ref="H37:J37"/>
    <mergeCell ref="H38:J38"/>
    <mergeCell ref="K35:M35"/>
    <mergeCell ref="K36:M36"/>
    <mergeCell ref="K37:M37"/>
    <mergeCell ref="N36:P36"/>
    <mergeCell ref="N37:P37"/>
    <mergeCell ref="N38:P38"/>
    <mergeCell ref="Q35:S35"/>
    <mergeCell ref="Q36:S36"/>
    <mergeCell ref="Q37:S37"/>
    <mergeCell ref="T36:V36"/>
    <mergeCell ref="T37:V37"/>
    <mergeCell ref="W35:Y35"/>
    <mergeCell ref="W36:Y36"/>
    <mergeCell ref="W37:Y37"/>
    <mergeCell ref="AF36:AH36"/>
    <mergeCell ref="AF37:AH37"/>
    <mergeCell ref="AF38:AH38"/>
    <mergeCell ref="AI34:AK34"/>
    <mergeCell ref="AM34:AN34"/>
    <mergeCell ref="B35:D35"/>
    <mergeCell ref="E35:G35"/>
    <mergeCell ref="AI33:AK33"/>
    <mergeCell ref="AM33:AN33"/>
    <mergeCell ref="B34:D34"/>
    <mergeCell ref="E34:G34"/>
    <mergeCell ref="B33:D33"/>
    <mergeCell ref="E33:G33"/>
    <mergeCell ref="H33:J33"/>
    <mergeCell ref="H34:J34"/>
    <mergeCell ref="H35:J35"/>
    <mergeCell ref="K33:M33"/>
    <mergeCell ref="K34:M34"/>
    <mergeCell ref="N33:P33"/>
    <mergeCell ref="N34:P34"/>
    <mergeCell ref="N35:P35"/>
    <mergeCell ref="Q33:S33"/>
    <mergeCell ref="Q34:S34"/>
    <mergeCell ref="T34:V34"/>
    <mergeCell ref="T35:V35"/>
    <mergeCell ref="Z33:AB33"/>
    <mergeCell ref="Z34:AB34"/>
    <mergeCell ref="T33:V33"/>
    <mergeCell ref="W33:Y33"/>
    <mergeCell ref="W34:Y34"/>
    <mergeCell ref="AC34:AE34"/>
    <mergeCell ref="AC35:AE35"/>
    <mergeCell ref="AC33:AE33"/>
    <mergeCell ref="AF34:AH34"/>
    <mergeCell ref="AF35:AH35"/>
    <mergeCell ref="AI32:AK32"/>
    <mergeCell ref="AM32:AN32"/>
    <mergeCell ref="A31:AN31"/>
    <mergeCell ref="B32:D32"/>
    <mergeCell ref="E32:G32"/>
    <mergeCell ref="AI27:AJ27"/>
    <mergeCell ref="A28:AN29"/>
    <mergeCell ref="A30:AN30"/>
    <mergeCell ref="B25:C25"/>
    <mergeCell ref="B26:C26"/>
    <mergeCell ref="B27:C27"/>
    <mergeCell ref="E27:F27"/>
    <mergeCell ref="H27:I27"/>
    <mergeCell ref="H32:J32"/>
    <mergeCell ref="K27:L27"/>
    <mergeCell ref="K32:M32"/>
    <mergeCell ref="N32:P32"/>
    <mergeCell ref="N27:O27"/>
    <mergeCell ref="Q32:S32"/>
    <mergeCell ref="Q27:R27"/>
    <mergeCell ref="T27:U27"/>
    <mergeCell ref="Z27:AA27"/>
    <mergeCell ref="Z32:AB32"/>
    <mergeCell ref="AC27:AD27"/>
    <mergeCell ref="T32:V32"/>
    <mergeCell ref="W27:X27"/>
    <mergeCell ref="W32:Y32"/>
    <mergeCell ref="AI21:AK21"/>
    <mergeCell ref="AL21:AL22"/>
    <mergeCell ref="AM21:AN21"/>
    <mergeCell ref="B22:C22"/>
    <mergeCell ref="B23:C23"/>
    <mergeCell ref="B24:C24"/>
    <mergeCell ref="AL18:AN18"/>
    <mergeCell ref="A19:AN20"/>
    <mergeCell ref="A21:A22"/>
    <mergeCell ref="B21:D21"/>
    <mergeCell ref="E21:G21"/>
    <mergeCell ref="AI18:AK18"/>
    <mergeCell ref="H21:J21"/>
    <mergeCell ref="K21:M21"/>
    <mergeCell ref="N21:P21"/>
    <mergeCell ref="Q21:S21"/>
    <mergeCell ref="Q18:S18"/>
    <mergeCell ref="T21:V21"/>
    <mergeCell ref="T18:V18"/>
    <mergeCell ref="W18:Y18"/>
    <mergeCell ref="W21:Y21"/>
    <mergeCell ref="AL17:AN17"/>
    <mergeCell ref="B18:D18"/>
    <mergeCell ref="E18:G18"/>
    <mergeCell ref="AL16:AN16"/>
    <mergeCell ref="B17:D17"/>
    <mergeCell ref="E17:G17"/>
    <mergeCell ref="AI16:AK16"/>
    <mergeCell ref="AI15:AK15"/>
    <mergeCell ref="AL15:AN15"/>
    <mergeCell ref="B16:D16"/>
    <mergeCell ref="E16:G16"/>
    <mergeCell ref="N18:P18"/>
    <mergeCell ref="N17:P17"/>
    <mergeCell ref="N16:P16"/>
    <mergeCell ref="K15:M15"/>
    <mergeCell ref="Q17:S17"/>
    <mergeCell ref="Q16:S16"/>
    <mergeCell ref="B15:D15"/>
    <mergeCell ref="E15:G15"/>
    <mergeCell ref="A1:AN4"/>
    <mergeCell ref="A5:AN6"/>
    <mergeCell ref="A7:AN8"/>
    <mergeCell ref="A9:AN9"/>
    <mergeCell ref="A10:AN10"/>
    <mergeCell ref="B11:D11"/>
    <mergeCell ref="E11:G11"/>
    <mergeCell ref="H11:J11"/>
    <mergeCell ref="K11:M11"/>
    <mergeCell ref="N11:P11"/>
    <mergeCell ref="N12:P12"/>
    <mergeCell ref="Q11:S11"/>
    <mergeCell ref="T11:V11"/>
    <mergeCell ref="E13:G13"/>
    <mergeCell ref="AI12:AK12"/>
    <mergeCell ref="N13:P13"/>
    <mergeCell ref="N14:P14"/>
    <mergeCell ref="Q14:S14"/>
    <mergeCell ref="Q13:S13"/>
    <mergeCell ref="Q12:S12"/>
    <mergeCell ref="T13:V13"/>
    <mergeCell ref="T12:V12"/>
    <mergeCell ref="T14:V14"/>
    <mergeCell ref="W12:Y12"/>
    <mergeCell ref="W13:Y13"/>
    <mergeCell ref="W14:Y14"/>
    <mergeCell ref="AL14:AN14"/>
    <mergeCell ref="AI14:AK14"/>
    <mergeCell ref="AI13:AK13"/>
    <mergeCell ref="AL13:AN13"/>
    <mergeCell ref="B14:D14"/>
    <mergeCell ref="E14:G14"/>
    <mergeCell ref="AL12:AN12"/>
    <mergeCell ref="B13:D13"/>
    <mergeCell ref="AC32:AE32"/>
    <mergeCell ref="AC21:AE21"/>
    <mergeCell ref="AC11:AE11"/>
    <mergeCell ref="AC15:AE15"/>
    <mergeCell ref="AC14:AE14"/>
    <mergeCell ref="AC13:AE13"/>
    <mergeCell ref="AC12:AE12"/>
    <mergeCell ref="W11:Y11"/>
    <mergeCell ref="Z14:AB14"/>
    <mergeCell ref="AF27:AG27"/>
    <mergeCell ref="AF32:AH32"/>
    <mergeCell ref="AF21:AH21"/>
    <mergeCell ref="AF11:AH11"/>
    <mergeCell ref="AF15:AH15"/>
    <mergeCell ref="AF14:AH14"/>
    <mergeCell ref="AF13:AH13"/>
    <mergeCell ref="AF12:AH12"/>
    <mergeCell ref="AI11:AK11"/>
    <mergeCell ref="AL11:AN11"/>
    <mergeCell ref="B12:D12"/>
    <mergeCell ref="E12:G12"/>
    <mergeCell ref="N15:P15"/>
    <mergeCell ref="Q15:S15"/>
    <mergeCell ref="T15:V15"/>
    <mergeCell ref="T16:V16"/>
    <mergeCell ref="T17:V17"/>
    <mergeCell ref="W17:Y17"/>
    <mergeCell ref="W16:Y16"/>
    <mergeCell ref="W15:Y15"/>
    <mergeCell ref="AI17:AK17"/>
    <mergeCell ref="AC57:AE57"/>
    <mergeCell ref="AC58:AE58"/>
    <mergeCell ref="AC59:AE59"/>
    <mergeCell ref="AC60:AE60"/>
    <mergeCell ref="AC61:AE61"/>
    <mergeCell ref="AC62:AE62"/>
    <mergeCell ref="AC65:AE65"/>
    <mergeCell ref="AC66:AE66"/>
    <mergeCell ref="AC67:AE67"/>
    <mergeCell ref="AC63:AE63"/>
    <mergeCell ref="AC64:AE64"/>
    <mergeCell ref="AC36:AE36"/>
    <mergeCell ref="AC37:AE37"/>
    <mergeCell ref="AC38:AE38"/>
    <mergeCell ref="AC39:AE39"/>
    <mergeCell ref="AC40:AE40"/>
    <mergeCell ref="AC41:AE41"/>
    <mergeCell ref="AC51:AE51"/>
    <mergeCell ref="AC52:AE52"/>
    <mergeCell ref="AC53:AE53"/>
    <mergeCell ref="AC43:AE43"/>
    <mergeCell ref="AC44:AE44"/>
    <mergeCell ref="AC45:AE45"/>
    <mergeCell ref="AC47:AE47"/>
    <mergeCell ref="AC48:AE48"/>
    <mergeCell ref="AC49:AE49"/>
    <mergeCell ref="AC42:AE42"/>
    <mergeCell ref="AC46:AE46"/>
    <mergeCell ref="AC50:AE50"/>
    <mergeCell ref="AC78:AE78"/>
    <mergeCell ref="AC79:AE79"/>
    <mergeCell ref="AC80:AE80"/>
    <mergeCell ref="AC81:AE81"/>
    <mergeCell ref="AC85:AE85"/>
    <mergeCell ref="AC86:AE86"/>
    <mergeCell ref="AC87:AE87"/>
    <mergeCell ref="AC88:AE88"/>
    <mergeCell ref="AC91:AE91"/>
    <mergeCell ref="AC89:AE89"/>
    <mergeCell ref="AC82:AE82"/>
    <mergeCell ref="AC83:AE83"/>
    <mergeCell ref="AC84:AE84"/>
    <mergeCell ref="AC90:AE90"/>
    <mergeCell ref="AC68:AE68"/>
    <mergeCell ref="AC70:AE70"/>
    <mergeCell ref="AC71:AE71"/>
    <mergeCell ref="AC72:AE72"/>
    <mergeCell ref="AC73:AE73"/>
    <mergeCell ref="AC74:AE74"/>
    <mergeCell ref="AC75:AE75"/>
    <mergeCell ref="AC76:AE76"/>
    <mergeCell ref="AC77:AE77"/>
    <mergeCell ref="AC69:AE69"/>
    <mergeCell ref="AC111:AE111"/>
    <mergeCell ref="AC112:AE112"/>
    <mergeCell ref="AC113:AE113"/>
    <mergeCell ref="AC114:AE114"/>
    <mergeCell ref="AC108:AE108"/>
    <mergeCell ref="AK112:AO113"/>
    <mergeCell ref="AC92:AE92"/>
    <mergeCell ref="AC93:AE93"/>
    <mergeCell ref="AC94:AE94"/>
    <mergeCell ref="AC96:AE96"/>
    <mergeCell ref="AC97:AE97"/>
    <mergeCell ref="AC98:AE98"/>
    <mergeCell ref="AC99:AE99"/>
    <mergeCell ref="AC100:AE100"/>
    <mergeCell ref="AC101:AE101"/>
    <mergeCell ref="AC95:AE95"/>
    <mergeCell ref="AI93:AK93"/>
    <mergeCell ref="AM93:AN93"/>
    <mergeCell ref="AI96:AK96"/>
    <mergeCell ref="AM96:AN96"/>
    <mergeCell ref="AI99:AK99"/>
    <mergeCell ref="AM99:AN99"/>
    <mergeCell ref="AM98:AN98"/>
    <mergeCell ref="AI101:AK101"/>
    <mergeCell ref="AM101:AN101"/>
    <mergeCell ref="AF101:AH101"/>
    <mergeCell ref="AF102:AH102"/>
    <mergeCell ref="AF112:AH112"/>
    <mergeCell ref="AF113:AH113"/>
    <mergeCell ref="AF114:AH114"/>
    <mergeCell ref="AI92:AK92"/>
    <mergeCell ref="AM92:AN92"/>
    <mergeCell ref="AF57:AH57"/>
    <mergeCell ref="AF58:AH58"/>
    <mergeCell ref="AF59:AH59"/>
    <mergeCell ref="AF60:AH60"/>
    <mergeCell ref="AF61:AH61"/>
    <mergeCell ref="AF62:AH62"/>
    <mergeCell ref="AF65:AH65"/>
    <mergeCell ref="AF66:AH66"/>
    <mergeCell ref="AF67:AH67"/>
    <mergeCell ref="AF68:AH68"/>
    <mergeCell ref="AF70:AH70"/>
    <mergeCell ref="AF71:AH71"/>
    <mergeCell ref="AF72:AH72"/>
    <mergeCell ref="AF73:AH73"/>
    <mergeCell ref="AF74:AH74"/>
    <mergeCell ref="AF75:AH75"/>
    <mergeCell ref="AF76:AH76"/>
    <mergeCell ref="AF63:AH63"/>
    <mergeCell ref="AF44:AH44"/>
    <mergeCell ref="AF45:AH45"/>
    <mergeCell ref="AF90:AH90"/>
    <mergeCell ref="AF95:AH95"/>
    <mergeCell ref="AF69:AH69"/>
    <mergeCell ref="AF64:AH64"/>
    <mergeCell ref="AF50:AH50"/>
    <mergeCell ref="AF46:AH46"/>
    <mergeCell ref="AF42:AH42"/>
    <mergeCell ref="AF33:AH33"/>
    <mergeCell ref="AF84:AH84"/>
    <mergeCell ref="AF104:AH104"/>
    <mergeCell ref="AF103:AH103"/>
    <mergeCell ref="AF108:AH108"/>
    <mergeCell ref="AF109:AH109"/>
    <mergeCell ref="AF110:AH110"/>
    <mergeCell ref="AF111:AH111"/>
    <mergeCell ref="AF78:AH78"/>
    <mergeCell ref="AF79:AH79"/>
    <mergeCell ref="AF80:AH80"/>
    <mergeCell ref="AF81:AH81"/>
    <mergeCell ref="AF85:AH85"/>
    <mergeCell ref="AF86:AH86"/>
    <mergeCell ref="AF87:AH87"/>
    <mergeCell ref="AF88:AH88"/>
    <mergeCell ref="AF91:AH91"/>
    <mergeCell ref="AF92:AH92"/>
    <mergeCell ref="AF93:AH93"/>
    <mergeCell ref="AF94:AH94"/>
    <mergeCell ref="AF96:AH96"/>
    <mergeCell ref="AF97:AH97"/>
    <mergeCell ref="AF98:AH98"/>
  </mergeCells>
  <phoneticPr fontId="17" type="noConversion"/>
  <pageMargins left="0.51181102362204722" right="0.51181102362204722" top="0.78740157480314965" bottom="0.78740157480314965" header="0.31496062992125984" footer="0.31496062992125984"/>
  <pageSetup paperSize="9" scale="72" orientation="landscape" r:id="rId1"/>
  <ignoredErrors>
    <ignoredError sqref="AI42 AI46 AI50 AI64 AI84 AI90 AI95 AM95 AM90 AM84 AM69 AM64 AM46 AL27 AI69 H72 K36 W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7F32-85E9-46B8-986E-9C9C5CA7F810}">
  <dimension ref="A1:H52"/>
  <sheetViews>
    <sheetView tabSelected="1" workbookViewId="0">
      <selection activeCell="A5" sqref="A5:H6"/>
    </sheetView>
  </sheetViews>
  <sheetFormatPr defaultRowHeight="15" x14ac:dyDescent="0.25"/>
  <cols>
    <col min="1" max="1" width="58.42578125" customWidth="1"/>
    <col min="2" max="2" width="11.28515625" customWidth="1"/>
    <col min="3" max="3" width="11.42578125" customWidth="1"/>
    <col min="4" max="4" width="10.7109375" bestFit="1" customWidth="1"/>
    <col min="5" max="5" width="9" bestFit="1" customWidth="1"/>
    <col min="8" max="8" width="11.140625" customWidth="1"/>
  </cols>
  <sheetData>
    <row r="1" spans="1:8" x14ac:dyDescent="0.25">
      <c r="A1" s="243"/>
      <c r="B1" s="243"/>
      <c r="C1" s="243"/>
      <c r="D1" s="243"/>
      <c r="E1" s="243"/>
      <c r="F1" s="243"/>
      <c r="G1" s="243"/>
      <c r="H1" s="243"/>
    </row>
    <row r="2" spans="1:8" x14ac:dyDescent="0.25">
      <c r="A2" s="243"/>
      <c r="B2" s="243"/>
      <c r="C2" s="243"/>
      <c r="D2" s="243"/>
      <c r="E2" s="243"/>
      <c r="F2" s="243"/>
      <c r="G2" s="243"/>
      <c r="H2" s="243"/>
    </row>
    <row r="3" spans="1:8" x14ac:dyDescent="0.25">
      <c r="A3" s="243"/>
      <c r="B3" s="243"/>
      <c r="C3" s="243"/>
      <c r="D3" s="243"/>
      <c r="E3" s="243"/>
      <c r="F3" s="243"/>
      <c r="G3" s="243"/>
      <c r="H3" s="243"/>
    </row>
    <row r="4" spans="1:8" x14ac:dyDescent="0.25">
      <c r="A4" s="244"/>
      <c r="B4" s="244"/>
      <c r="C4" s="244"/>
      <c r="D4" s="244"/>
      <c r="E4" s="244"/>
      <c r="F4" s="244"/>
      <c r="G4" s="244"/>
      <c r="H4" s="244"/>
    </row>
    <row r="5" spans="1:8" x14ac:dyDescent="0.25">
      <c r="A5" s="259" t="s">
        <v>152</v>
      </c>
      <c r="B5" s="260"/>
      <c r="C5" s="260"/>
      <c r="D5" s="260"/>
      <c r="E5" s="260"/>
      <c r="F5" s="260"/>
      <c r="G5" s="260"/>
      <c r="H5" s="261"/>
    </row>
    <row r="6" spans="1:8" ht="25.5" customHeight="1" x14ac:dyDescent="0.25">
      <c r="A6" s="262"/>
      <c r="B6" s="263"/>
      <c r="C6" s="263"/>
      <c r="D6" s="263"/>
      <c r="E6" s="263"/>
      <c r="F6" s="263"/>
      <c r="G6" s="263"/>
      <c r="H6" s="264"/>
    </row>
    <row r="7" spans="1:8" x14ac:dyDescent="0.25">
      <c r="A7" s="265"/>
      <c r="B7" s="265"/>
      <c r="C7" s="265"/>
      <c r="D7" s="265"/>
      <c r="E7" s="265"/>
      <c r="F7" s="265"/>
      <c r="G7" s="265"/>
      <c r="H7" s="265"/>
    </row>
    <row r="8" spans="1:8" x14ac:dyDescent="0.25">
      <c r="A8" s="266" t="s">
        <v>94</v>
      </c>
      <c r="B8" s="53" t="s">
        <v>95</v>
      </c>
      <c r="C8" s="53" t="s">
        <v>96</v>
      </c>
      <c r="D8" s="53" t="s">
        <v>97</v>
      </c>
      <c r="E8" s="53" t="s">
        <v>102</v>
      </c>
      <c r="F8" s="53" t="s">
        <v>98</v>
      </c>
      <c r="G8" s="53" t="s">
        <v>99</v>
      </c>
      <c r="H8" s="53" t="s">
        <v>100</v>
      </c>
    </row>
    <row r="9" spans="1:8" x14ac:dyDescent="0.25">
      <c r="A9" s="267"/>
      <c r="B9" s="54">
        <f>SUM(B10:B15)</f>
        <v>7</v>
      </c>
      <c r="C9" s="57">
        <f>SUM(C10:C15)</f>
        <v>7413.35</v>
      </c>
      <c r="D9" s="57">
        <f t="shared" ref="D9:G9" si="0">SUM(D10:D15)</f>
        <v>0</v>
      </c>
      <c r="E9" s="57">
        <f t="shared" si="0"/>
        <v>0</v>
      </c>
      <c r="F9" s="57">
        <f t="shared" si="0"/>
        <v>780.06000000000006</v>
      </c>
      <c r="G9" s="57">
        <f t="shared" si="0"/>
        <v>1001.9300000000001</v>
      </c>
      <c r="H9" s="57">
        <f t="shared" ref="H9" si="1">SUM(C9:G9)</f>
        <v>9195.34</v>
      </c>
    </row>
    <row r="10" spans="1:8" ht="29.25" customHeight="1" x14ac:dyDescent="0.25">
      <c r="A10" s="101" t="s">
        <v>131</v>
      </c>
      <c r="B10" s="99">
        <v>3</v>
      </c>
      <c r="C10" s="100">
        <f>1013.42</f>
        <v>1013.42</v>
      </c>
      <c r="D10" s="100">
        <v>0</v>
      </c>
      <c r="E10" s="100">
        <v>0</v>
      </c>
      <c r="F10" s="100">
        <f>38.47+32.22+40.64+37.76</f>
        <v>149.09</v>
      </c>
      <c r="G10" s="100">
        <f>32.9</f>
        <v>32.9</v>
      </c>
      <c r="H10" s="100">
        <f t="shared" ref="H10:H15" si="2">SUM(C10:G10)</f>
        <v>1195.4100000000001</v>
      </c>
    </row>
    <row r="11" spans="1:8" ht="29.25" customHeight="1" x14ac:dyDescent="0.25">
      <c r="A11" s="101" t="s">
        <v>132</v>
      </c>
      <c r="B11" s="99">
        <v>2</v>
      </c>
      <c r="C11" s="100">
        <f>856.94</f>
        <v>856.94</v>
      </c>
      <c r="D11" s="100">
        <v>0</v>
      </c>
      <c r="E11" s="100">
        <v>0</v>
      </c>
      <c r="F11" s="100">
        <f>29.73+64.26+57.25+51.96</f>
        <v>203.20000000000002</v>
      </c>
      <c r="G11" s="100">
        <f>184.69+311.85</f>
        <v>496.54</v>
      </c>
      <c r="H11" s="100">
        <f t="shared" si="2"/>
        <v>1556.68</v>
      </c>
    </row>
    <row r="12" spans="1:8" ht="30" customHeight="1" x14ac:dyDescent="0.25">
      <c r="A12" s="47" t="s">
        <v>127</v>
      </c>
      <c r="B12" s="55">
        <v>0</v>
      </c>
      <c r="C12" s="58">
        <f>1482.77+100</f>
        <v>1582.77</v>
      </c>
      <c r="D12" s="58">
        <v>0</v>
      </c>
      <c r="E12" s="58">
        <v>0</v>
      </c>
      <c r="F12" s="58">
        <f>59.19+18.81+51.79</f>
        <v>129.79</v>
      </c>
      <c r="G12" s="58">
        <f>30.65+16.9</f>
        <v>47.55</v>
      </c>
      <c r="H12" s="58">
        <f t="shared" si="2"/>
        <v>1760.11</v>
      </c>
    </row>
    <row r="13" spans="1:8" ht="30" customHeight="1" x14ac:dyDescent="0.25">
      <c r="A13" s="47" t="s">
        <v>128</v>
      </c>
      <c r="B13" s="55">
        <v>1</v>
      </c>
      <c r="C13" s="58">
        <f>1445.08</f>
        <v>1445.08</v>
      </c>
      <c r="D13" s="58">
        <v>0</v>
      </c>
      <c r="E13" s="58">
        <v>0</v>
      </c>
      <c r="F13" s="58">
        <f>41.19+25.95+9.14+11.2+25.45+39.21</f>
        <v>152.14000000000001</v>
      </c>
      <c r="G13" s="58">
        <f>25.46+42+30+16</f>
        <v>113.46000000000001</v>
      </c>
      <c r="H13" s="58">
        <f t="shared" si="2"/>
        <v>1710.68</v>
      </c>
    </row>
    <row r="14" spans="1:8" ht="27.75" customHeight="1" x14ac:dyDescent="0.25">
      <c r="A14" s="47" t="s">
        <v>124</v>
      </c>
      <c r="B14" s="55">
        <v>1</v>
      </c>
      <c r="C14" s="58">
        <v>0</v>
      </c>
      <c r="D14" s="58">
        <v>0</v>
      </c>
      <c r="E14" s="58">
        <v>0</v>
      </c>
      <c r="F14" s="58">
        <f>24.64+20.16+22.21</f>
        <v>67.009999999999991</v>
      </c>
      <c r="G14" s="58">
        <f>259.7+28.8</f>
        <v>288.5</v>
      </c>
      <c r="H14" s="58">
        <f t="shared" si="2"/>
        <v>355.51</v>
      </c>
    </row>
    <row r="15" spans="1:8" ht="32.25" customHeight="1" x14ac:dyDescent="0.25">
      <c r="A15" s="47" t="s">
        <v>120</v>
      </c>
      <c r="B15" s="55">
        <v>0</v>
      </c>
      <c r="C15" s="58">
        <f>2515.14</f>
        <v>2515.14</v>
      </c>
      <c r="D15" s="58">
        <v>0</v>
      </c>
      <c r="E15" s="58">
        <v>0</v>
      </c>
      <c r="F15" s="58">
        <f>54.31+24.52</f>
        <v>78.83</v>
      </c>
      <c r="G15" s="58">
        <f>22.98</f>
        <v>22.98</v>
      </c>
      <c r="H15" s="58">
        <f t="shared" si="2"/>
        <v>2616.9499999999998</v>
      </c>
    </row>
    <row r="16" spans="1:8" x14ac:dyDescent="0.25">
      <c r="A16" s="49"/>
      <c r="B16" s="49"/>
      <c r="C16" s="49"/>
      <c r="D16" s="64"/>
      <c r="E16" s="253" t="s">
        <v>93</v>
      </c>
      <c r="F16" s="254"/>
      <c r="G16" s="255"/>
      <c r="H16" s="67">
        <f>H9</f>
        <v>9195.34</v>
      </c>
    </row>
    <row r="17" spans="1:8" x14ac:dyDescent="0.25">
      <c r="A17" s="268"/>
      <c r="B17" s="268"/>
      <c r="C17" s="268"/>
      <c r="D17" s="268"/>
      <c r="E17" s="268"/>
      <c r="F17" s="268"/>
      <c r="G17" s="268"/>
      <c r="H17" s="268"/>
    </row>
    <row r="18" spans="1:8" x14ac:dyDescent="0.25">
      <c r="A18" s="257" t="s">
        <v>101</v>
      </c>
      <c r="B18" s="53" t="s">
        <v>95</v>
      </c>
      <c r="C18" s="53" t="s">
        <v>96</v>
      </c>
      <c r="D18" s="53" t="s">
        <v>97</v>
      </c>
      <c r="E18" s="53" t="s">
        <v>102</v>
      </c>
      <c r="F18" s="53" t="s">
        <v>98</v>
      </c>
      <c r="G18" s="53" t="s">
        <v>99</v>
      </c>
      <c r="H18" s="53" t="s">
        <v>100</v>
      </c>
    </row>
    <row r="19" spans="1:8" x14ac:dyDescent="0.25">
      <c r="A19" s="257"/>
      <c r="B19" s="54">
        <f t="shared" ref="B19:G19" si="3">SUM(B20:B20)</f>
        <v>1</v>
      </c>
      <c r="C19" s="57">
        <f t="shared" si="3"/>
        <v>640.6</v>
      </c>
      <c r="D19" s="57">
        <f t="shared" si="3"/>
        <v>0</v>
      </c>
      <c r="E19" s="57">
        <f t="shared" si="3"/>
        <v>199</v>
      </c>
      <c r="F19" s="57">
        <f t="shared" si="3"/>
        <v>70.959999999999994</v>
      </c>
      <c r="G19" s="57">
        <f t="shared" si="3"/>
        <v>123.44</v>
      </c>
      <c r="H19" s="57">
        <f t="shared" ref="H19" si="4">SUM(C19:G19)</f>
        <v>1034</v>
      </c>
    </row>
    <row r="20" spans="1:8" ht="31.5" customHeight="1" x14ac:dyDescent="0.25">
      <c r="A20" s="47" t="s">
        <v>125</v>
      </c>
      <c r="B20" s="55">
        <v>1</v>
      </c>
      <c r="C20" s="58">
        <f>640.6</f>
        <v>640.6</v>
      </c>
      <c r="D20" s="58">
        <v>0</v>
      </c>
      <c r="E20" s="58">
        <f>199</f>
        <v>199</v>
      </c>
      <c r="F20" s="58">
        <f>28.76+24.55+5.57+7.06+5.02</f>
        <v>70.959999999999994</v>
      </c>
      <c r="G20" s="58">
        <f>19.9+37+36.54+30</f>
        <v>123.44</v>
      </c>
      <c r="H20" s="58">
        <f>SUM(C20:G20)</f>
        <v>1034</v>
      </c>
    </row>
    <row r="21" spans="1:8" x14ac:dyDescent="0.25">
      <c r="A21" s="243"/>
      <c r="B21" s="243"/>
      <c r="C21" s="243"/>
      <c r="D21" s="243"/>
      <c r="E21" s="253" t="s">
        <v>93</v>
      </c>
      <c r="F21" s="254"/>
      <c r="G21" s="255"/>
      <c r="H21" s="68">
        <f>H19</f>
        <v>1034</v>
      </c>
    </row>
    <row r="22" spans="1:8" x14ac:dyDescent="0.25">
      <c r="A22" s="244"/>
      <c r="B22" s="244"/>
      <c r="C22" s="244"/>
      <c r="D22" s="244"/>
      <c r="E22" s="244"/>
      <c r="F22" s="244"/>
      <c r="G22" s="244"/>
      <c r="H22" s="244"/>
    </row>
    <row r="23" spans="1:8" x14ac:dyDescent="0.25">
      <c r="A23" s="257" t="s">
        <v>103</v>
      </c>
      <c r="B23" s="53" t="s">
        <v>95</v>
      </c>
      <c r="C23" s="53" t="s">
        <v>96</v>
      </c>
      <c r="D23" s="53" t="s">
        <v>97</v>
      </c>
      <c r="E23" s="53" t="s">
        <v>102</v>
      </c>
      <c r="F23" s="53" t="s">
        <v>98</v>
      </c>
      <c r="G23" s="53" t="s">
        <v>99</v>
      </c>
      <c r="H23" s="53" t="s">
        <v>100</v>
      </c>
    </row>
    <row r="24" spans="1:8" x14ac:dyDescent="0.25">
      <c r="A24" s="257"/>
      <c r="B24" s="54">
        <f>SUM(B25:B27)</f>
        <v>7</v>
      </c>
      <c r="C24" s="57">
        <f>SUM(C25:C27)</f>
        <v>1959.02</v>
      </c>
      <c r="D24" s="57">
        <f t="shared" ref="D24:G24" si="5">SUM(D25:D27)</f>
        <v>189.53</v>
      </c>
      <c r="E24" s="57">
        <f t="shared" si="5"/>
        <v>199</v>
      </c>
      <c r="F24" s="57">
        <f t="shared" si="5"/>
        <v>361.06</v>
      </c>
      <c r="G24" s="57">
        <f t="shared" si="5"/>
        <v>219.04</v>
      </c>
      <c r="H24" s="69">
        <f t="shared" ref="H24" si="6">SUM(C24:G24)</f>
        <v>2927.65</v>
      </c>
    </row>
    <row r="25" spans="1:8" ht="29.25" customHeight="1" x14ac:dyDescent="0.25">
      <c r="A25" s="101" t="s">
        <v>133</v>
      </c>
      <c r="B25" s="99">
        <v>2</v>
      </c>
      <c r="C25" s="100">
        <f>550.26</f>
        <v>550.26</v>
      </c>
      <c r="D25" s="100">
        <f>112.51</f>
        <v>112.51</v>
      </c>
      <c r="E25" s="100">
        <v>0</v>
      </c>
      <c r="F25" s="100">
        <f>156.18</f>
        <v>156.18</v>
      </c>
      <c r="G25" s="100">
        <f>39.05</f>
        <v>39.049999999999997</v>
      </c>
      <c r="H25" s="100">
        <f>SUM(C25:G25)</f>
        <v>858</v>
      </c>
    </row>
    <row r="26" spans="1:8" ht="36.75" customHeight="1" x14ac:dyDescent="0.25">
      <c r="A26" s="47" t="s">
        <v>129</v>
      </c>
      <c r="B26" s="56">
        <v>1</v>
      </c>
      <c r="C26" s="59">
        <f>896.74</f>
        <v>896.74</v>
      </c>
      <c r="D26" s="59">
        <f>77.02</f>
        <v>77.02</v>
      </c>
      <c r="E26" s="59">
        <f>199</f>
        <v>199</v>
      </c>
      <c r="F26" s="59">
        <f>10.32+20.82</f>
        <v>31.14</v>
      </c>
      <c r="G26" s="59">
        <f>22+21.26+26.9+25.28+18.55</f>
        <v>113.99</v>
      </c>
      <c r="H26" s="59">
        <f>SUM(C26:G26)</f>
        <v>1317.89</v>
      </c>
    </row>
    <row r="27" spans="1:8" ht="36.75" customHeight="1" x14ac:dyDescent="0.25">
      <c r="A27" s="47" t="s">
        <v>126</v>
      </c>
      <c r="B27" s="56">
        <v>4</v>
      </c>
      <c r="C27" s="59">
        <f>237.02+275</f>
        <v>512.02</v>
      </c>
      <c r="D27" s="59">
        <v>0</v>
      </c>
      <c r="E27" s="59">
        <f>0</f>
        <v>0</v>
      </c>
      <c r="F27" s="59">
        <f>18.8+154.94</f>
        <v>173.74</v>
      </c>
      <c r="G27" s="59">
        <f>26+40</f>
        <v>66</v>
      </c>
      <c r="H27" s="59">
        <f>SUM(C27:G27)</f>
        <v>751.76</v>
      </c>
    </row>
    <row r="28" spans="1:8" x14ac:dyDescent="0.25">
      <c r="A28" s="258"/>
      <c r="B28" s="258"/>
      <c r="C28" s="258"/>
      <c r="D28" s="258"/>
      <c r="E28" s="253" t="s">
        <v>93</v>
      </c>
      <c r="F28" s="254"/>
      <c r="G28" s="255"/>
      <c r="H28" s="70">
        <f>H24</f>
        <v>2927.65</v>
      </c>
    </row>
    <row r="29" spans="1:8" x14ac:dyDescent="0.25">
      <c r="A29" s="50"/>
      <c r="B29" s="50"/>
      <c r="C29" s="50"/>
      <c r="D29" s="50"/>
      <c r="E29" s="66"/>
      <c r="F29" s="66"/>
      <c r="G29" s="66"/>
      <c r="H29" s="71"/>
    </row>
    <row r="30" spans="1:8" x14ac:dyDescent="0.25">
      <c r="A30" s="257" t="s">
        <v>104</v>
      </c>
      <c r="B30" s="53" t="s">
        <v>95</v>
      </c>
      <c r="C30" s="53" t="s">
        <v>96</v>
      </c>
      <c r="D30" s="53" t="s">
        <v>97</v>
      </c>
      <c r="E30" s="53" t="s">
        <v>102</v>
      </c>
      <c r="F30" s="53" t="s">
        <v>98</v>
      </c>
      <c r="G30" s="53" t="s">
        <v>99</v>
      </c>
      <c r="H30" s="53" t="s">
        <v>100</v>
      </c>
    </row>
    <row r="31" spans="1:8" x14ac:dyDescent="0.25">
      <c r="A31" s="257"/>
      <c r="B31" s="54">
        <f t="shared" ref="B31:G31" si="7">SUM(B32:B32)</f>
        <v>2</v>
      </c>
      <c r="C31" s="57">
        <f t="shared" si="7"/>
        <v>1064.6199999999999</v>
      </c>
      <c r="D31" s="57">
        <f t="shared" si="7"/>
        <v>193.4</v>
      </c>
      <c r="E31" s="57">
        <f t="shared" si="7"/>
        <v>0</v>
      </c>
      <c r="F31" s="57">
        <f t="shared" si="7"/>
        <v>98.62</v>
      </c>
      <c r="G31" s="57">
        <f t="shared" si="7"/>
        <v>171.20999999999998</v>
      </c>
      <c r="H31" s="57">
        <f t="shared" ref="H31" si="8">SUM(C31:G31)</f>
        <v>1527.85</v>
      </c>
    </row>
    <row r="32" spans="1:8" ht="29.25" customHeight="1" x14ac:dyDescent="0.25">
      <c r="A32" s="101" t="s">
        <v>134</v>
      </c>
      <c r="B32" s="99">
        <v>2</v>
      </c>
      <c r="C32" s="100">
        <f>1064.62</f>
        <v>1064.6199999999999</v>
      </c>
      <c r="D32" s="100">
        <f>193.4</f>
        <v>193.4</v>
      </c>
      <c r="E32" s="100"/>
      <c r="F32" s="100">
        <f>53.3+45.32</f>
        <v>98.62</v>
      </c>
      <c r="G32" s="100">
        <f>35+30.75+22.8+40.66+42</f>
        <v>171.20999999999998</v>
      </c>
      <c r="H32" s="100">
        <f>SUM(C32:G32)</f>
        <v>1527.85</v>
      </c>
    </row>
    <row r="33" spans="1:8" x14ac:dyDescent="0.25">
      <c r="A33" s="243"/>
      <c r="B33" s="243"/>
      <c r="C33" s="243"/>
      <c r="D33" s="65"/>
      <c r="E33" s="253" t="s">
        <v>93</v>
      </c>
      <c r="F33" s="254"/>
      <c r="G33" s="255"/>
      <c r="H33" s="70">
        <f>H31</f>
        <v>1527.85</v>
      </c>
    </row>
    <row r="34" spans="1:8" x14ac:dyDescent="0.25">
      <c r="A34" s="37"/>
      <c r="B34" s="37"/>
      <c r="C34" s="37"/>
      <c r="D34" s="65"/>
      <c r="E34" s="66"/>
      <c r="F34" s="66"/>
      <c r="G34" s="66"/>
      <c r="H34" s="71"/>
    </row>
    <row r="35" spans="1:8" x14ac:dyDescent="0.25">
      <c r="A35" s="257" t="s">
        <v>105</v>
      </c>
      <c r="B35" s="53" t="s">
        <v>95</v>
      </c>
      <c r="C35" s="53" t="s">
        <v>96</v>
      </c>
      <c r="D35" s="53" t="s">
        <v>97</v>
      </c>
      <c r="E35" s="53" t="s">
        <v>102</v>
      </c>
      <c r="F35" s="53" t="s">
        <v>98</v>
      </c>
      <c r="G35" s="53" t="s">
        <v>99</v>
      </c>
      <c r="H35" s="53" t="s">
        <v>100</v>
      </c>
    </row>
    <row r="36" spans="1:8" x14ac:dyDescent="0.25">
      <c r="A36" s="257"/>
      <c r="B36" s="54">
        <f t="shared" ref="B36:G36" si="9">SUM(B37:B37)</f>
        <v>2</v>
      </c>
      <c r="C36" s="60">
        <f t="shared" si="9"/>
        <v>552.24</v>
      </c>
      <c r="D36" s="60">
        <f t="shared" si="9"/>
        <v>0</v>
      </c>
      <c r="E36" s="60">
        <f t="shared" si="9"/>
        <v>0</v>
      </c>
      <c r="F36" s="60">
        <f t="shared" si="9"/>
        <v>222.61</v>
      </c>
      <c r="G36" s="60">
        <f t="shared" si="9"/>
        <v>0</v>
      </c>
      <c r="H36" s="72">
        <f>SUM(C36:G36)</f>
        <v>774.85</v>
      </c>
    </row>
    <row r="37" spans="1:8" ht="29.25" customHeight="1" x14ac:dyDescent="0.25">
      <c r="A37" s="101" t="s">
        <v>135</v>
      </c>
      <c r="B37" s="99">
        <v>2</v>
      </c>
      <c r="C37" s="100">
        <f>552.24</f>
        <v>552.24</v>
      </c>
      <c r="D37" s="100">
        <v>0</v>
      </c>
      <c r="E37" s="100">
        <v>0</v>
      </c>
      <c r="F37" s="100">
        <f>44.57+51.6+57.04+69.4</f>
        <v>222.61</v>
      </c>
      <c r="G37" s="100">
        <v>0</v>
      </c>
      <c r="H37" s="100">
        <f>SUM(C37:G37)</f>
        <v>774.85</v>
      </c>
    </row>
    <row r="38" spans="1:8" x14ac:dyDescent="0.25">
      <c r="A38" s="243"/>
      <c r="B38" s="243"/>
      <c r="C38" s="243"/>
      <c r="D38" s="243"/>
      <c r="E38" s="253" t="s">
        <v>93</v>
      </c>
      <c r="F38" s="254"/>
      <c r="G38" s="255"/>
      <c r="H38" s="73">
        <f>H36</f>
        <v>774.85</v>
      </c>
    </row>
    <row r="39" spans="1:8" x14ac:dyDescent="0.25">
      <c r="A39" s="244"/>
      <c r="B39" s="244"/>
      <c r="C39" s="244"/>
      <c r="D39" s="244"/>
      <c r="E39" s="244"/>
      <c r="F39" s="244"/>
      <c r="G39" s="244"/>
      <c r="H39" s="244"/>
    </row>
    <row r="40" spans="1:8" x14ac:dyDescent="0.25">
      <c r="A40" s="251" t="s">
        <v>106</v>
      </c>
      <c r="B40" s="53" t="s">
        <v>95</v>
      </c>
      <c r="C40" s="53" t="s">
        <v>96</v>
      </c>
      <c r="D40" s="53" t="s">
        <v>97</v>
      </c>
      <c r="E40" s="53" t="s">
        <v>102</v>
      </c>
      <c r="F40" s="53" t="s">
        <v>98</v>
      </c>
      <c r="G40" s="53" t="s">
        <v>99</v>
      </c>
      <c r="H40" s="53" t="s">
        <v>100</v>
      </c>
    </row>
    <row r="41" spans="1:8" x14ac:dyDescent="0.25">
      <c r="A41" s="252"/>
      <c r="B41" s="54">
        <f t="shared" ref="B41:G41" si="10">SUM(B42:B42)</f>
        <v>0</v>
      </c>
      <c r="C41" s="57">
        <f t="shared" si="10"/>
        <v>0</v>
      </c>
      <c r="D41" s="57">
        <f t="shared" si="10"/>
        <v>0</v>
      </c>
      <c r="E41" s="57">
        <f t="shared" si="10"/>
        <v>0</v>
      </c>
      <c r="F41" s="57">
        <f t="shared" si="10"/>
        <v>0</v>
      </c>
      <c r="G41" s="57">
        <f t="shared" si="10"/>
        <v>0</v>
      </c>
      <c r="H41" s="57">
        <f t="shared" ref="H41" si="11">SUM(C41:G41)</f>
        <v>0</v>
      </c>
    </row>
    <row r="42" spans="1:8" x14ac:dyDescent="0.25">
      <c r="A42" s="48"/>
      <c r="B42" s="56"/>
      <c r="C42" s="59"/>
      <c r="D42" s="59"/>
      <c r="E42" s="59"/>
      <c r="F42" s="59"/>
      <c r="G42" s="59"/>
      <c r="H42" s="59">
        <v>0</v>
      </c>
    </row>
    <row r="43" spans="1:8" x14ac:dyDescent="0.25">
      <c r="A43" s="243"/>
      <c r="B43" s="243"/>
      <c r="C43" s="243"/>
      <c r="D43" s="243"/>
      <c r="E43" s="253" t="s">
        <v>93</v>
      </c>
      <c r="F43" s="254"/>
      <c r="G43" s="255"/>
      <c r="H43" s="73">
        <f>H41</f>
        <v>0</v>
      </c>
    </row>
    <row r="44" spans="1:8" x14ac:dyDescent="0.25">
      <c r="A44" s="244"/>
      <c r="B44" s="244"/>
      <c r="C44" s="244"/>
      <c r="D44" s="244"/>
      <c r="E44" s="244"/>
      <c r="F44" s="244"/>
      <c r="G44" s="244"/>
      <c r="H44" s="244"/>
    </row>
    <row r="45" spans="1:8" x14ac:dyDescent="0.25">
      <c r="A45" s="251" t="s">
        <v>107</v>
      </c>
      <c r="B45" s="53" t="s">
        <v>95</v>
      </c>
      <c r="C45" s="53" t="s">
        <v>96</v>
      </c>
      <c r="D45" s="53" t="s">
        <v>97</v>
      </c>
      <c r="E45" s="53" t="s">
        <v>102</v>
      </c>
      <c r="F45" s="53" t="s">
        <v>98</v>
      </c>
      <c r="G45" s="53" t="s">
        <v>99</v>
      </c>
      <c r="H45" s="53" t="s">
        <v>100</v>
      </c>
    </row>
    <row r="46" spans="1:8" x14ac:dyDescent="0.25">
      <c r="A46" s="252"/>
      <c r="B46" s="54">
        <f>SUM(B47:B48)</f>
        <v>5</v>
      </c>
      <c r="C46" s="61">
        <f>SUM(C47:C48)</f>
        <v>3432.7400000000002</v>
      </c>
      <c r="D46" s="61">
        <f t="shared" ref="D46:G46" si="12">SUM(D47:D48)</f>
        <v>0</v>
      </c>
      <c r="E46" s="61">
        <f t="shared" si="12"/>
        <v>241.2</v>
      </c>
      <c r="F46" s="61">
        <f t="shared" si="12"/>
        <v>165.36999999999998</v>
      </c>
      <c r="G46" s="61">
        <f t="shared" si="12"/>
        <v>463.78999999999996</v>
      </c>
      <c r="H46" s="61">
        <f t="shared" ref="H46" si="13">SUM(C46:G46)</f>
        <v>4303.1000000000004</v>
      </c>
    </row>
    <row r="47" spans="1:8" ht="29.25" customHeight="1" x14ac:dyDescent="0.25">
      <c r="A47" s="101" t="s">
        <v>136</v>
      </c>
      <c r="B47" s="99">
        <v>4</v>
      </c>
      <c r="C47" s="100">
        <f>2386.84</f>
        <v>2386.84</v>
      </c>
      <c r="D47" s="100">
        <v>0</v>
      </c>
      <c r="E47" s="100">
        <v>0</v>
      </c>
      <c r="F47" s="100">
        <f>16.37+52.94+58.16+25.17</f>
        <v>152.63999999999999</v>
      </c>
      <c r="G47" s="100">
        <f>116.49+142+7.7+76.2+19.5</f>
        <v>361.89</v>
      </c>
      <c r="H47" s="100">
        <f>SUM(C47:G47)</f>
        <v>2901.37</v>
      </c>
    </row>
    <row r="48" spans="1:8" ht="33.75" customHeight="1" x14ac:dyDescent="0.25">
      <c r="A48" s="48" t="s">
        <v>119</v>
      </c>
      <c r="B48" s="56">
        <v>1</v>
      </c>
      <c r="C48" s="62">
        <f>1045.9</f>
        <v>1045.9000000000001</v>
      </c>
      <c r="D48" s="62">
        <v>0</v>
      </c>
      <c r="E48" s="62">
        <f>241.2</f>
        <v>241.2</v>
      </c>
      <c r="F48" s="62">
        <f>12.73</f>
        <v>12.73</v>
      </c>
      <c r="G48" s="62">
        <f>21.9+30+50</f>
        <v>101.9</v>
      </c>
      <c r="H48" s="62">
        <f>SUM(C48:G48)</f>
        <v>1401.7300000000002</v>
      </c>
    </row>
    <row r="49" spans="1:8" x14ac:dyDescent="0.25">
      <c r="A49" s="242"/>
      <c r="B49" s="242"/>
      <c r="C49" s="242"/>
      <c r="D49" s="65"/>
      <c r="E49" s="253" t="s">
        <v>93</v>
      </c>
      <c r="F49" s="254"/>
      <c r="G49" s="255"/>
      <c r="H49" s="73">
        <f>H46</f>
        <v>4303.1000000000004</v>
      </c>
    </row>
    <row r="50" spans="1:8" x14ac:dyDescent="0.25">
      <c r="A50" s="256"/>
      <c r="B50" s="256"/>
      <c r="C50" s="256"/>
      <c r="D50" s="256"/>
      <c r="E50" s="256"/>
      <c r="F50" s="256"/>
      <c r="G50" s="256"/>
      <c r="H50" s="256"/>
    </row>
    <row r="51" spans="1:8" ht="15.75" x14ac:dyDescent="0.25">
      <c r="A51" s="51" t="s">
        <v>108</v>
      </c>
      <c r="B51" s="51">
        <f>B9+B19+B24+B31+B36+B41+B46</f>
        <v>24</v>
      </c>
      <c r="C51" s="63">
        <f>C9+C19+C24+C31+C36+C41+C46</f>
        <v>15062.57</v>
      </c>
      <c r="D51" s="63">
        <f>D46+D41+D24+D19+D9+D31+D36</f>
        <v>382.93</v>
      </c>
      <c r="E51" s="63">
        <f>E9+E19+E24+E31+E36+E41+E46</f>
        <v>639.20000000000005</v>
      </c>
      <c r="F51" s="63">
        <f>F46+F41+F24+F19+F9+F31+F36</f>
        <v>1698.6800000000003</v>
      </c>
      <c r="G51" s="63">
        <f>G9+G19+G24+G31+G36+G41+G46</f>
        <v>1979.41</v>
      </c>
      <c r="H51" s="74">
        <f>H16+H21+H28+H33+H38+H43+H49</f>
        <v>19762.79</v>
      </c>
    </row>
    <row r="52" spans="1:8" x14ac:dyDescent="0.25">
      <c r="A52" s="52" t="s">
        <v>109</v>
      </c>
    </row>
  </sheetData>
  <mergeCells count="28">
    <mergeCell ref="A22:H22"/>
    <mergeCell ref="A1:H4"/>
    <mergeCell ref="A5:H6"/>
    <mergeCell ref="A7:H7"/>
    <mergeCell ref="A8:A9"/>
    <mergeCell ref="E16:G16"/>
    <mergeCell ref="A17:H17"/>
    <mergeCell ref="A18:A19"/>
    <mergeCell ref="A21:D21"/>
    <mergeCell ref="E21:G21"/>
    <mergeCell ref="A43:D43"/>
    <mergeCell ref="E43:G43"/>
    <mergeCell ref="A23:A24"/>
    <mergeCell ref="A28:D28"/>
    <mergeCell ref="E28:G28"/>
    <mergeCell ref="A30:A31"/>
    <mergeCell ref="A33:C33"/>
    <mergeCell ref="E33:G33"/>
    <mergeCell ref="A35:A36"/>
    <mergeCell ref="A38:D38"/>
    <mergeCell ref="E38:G38"/>
    <mergeCell ref="A39:H39"/>
    <mergeCell ref="A40:A41"/>
    <mergeCell ref="A44:H44"/>
    <mergeCell ref="A45:A46"/>
    <mergeCell ref="A49:C49"/>
    <mergeCell ref="E49:G49"/>
    <mergeCell ref="A50:H50"/>
  </mergeCells>
  <pageMargins left="0.51181102362204722" right="0.51181102362204722" top="0.78740157480314965" bottom="0.78740157480314965" header="0.31496062992125984" footer="0.31496062992125984"/>
  <pageSetup paperSize="9" orientation="landscape" r:id="rId1"/>
  <ignoredErrors>
    <ignoredError sqref="E51:F51 D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OUT</vt:lpstr>
      <vt:lpstr>VIAGENS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</dc:creator>
  <cp:lastModifiedBy>ANIPA</cp:lastModifiedBy>
  <cp:lastPrinted>2020-10-06T16:25:43Z</cp:lastPrinted>
  <dcterms:created xsi:type="dcterms:W3CDTF">2020-01-16T14:19:44Z</dcterms:created>
  <dcterms:modified xsi:type="dcterms:W3CDTF">2020-11-16T16:39:41Z</dcterms:modified>
</cp:coreProperties>
</file>