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dos\Desktop\FINANCEIRO\05. FINANCEIRO\2020\10. OUT\Histórico Mensal\"/>
    </mc:Choice>
  </mc:AlternateContent>
  <xr:revisionPtr revIDLastSave="0" documentId="8_{4A095FD2-1E00-49EE-9418-3D7EDFD82ACD}" xr6:coauthVersionLast="45" xr6:coauthVersionMax="45" xr10:uidLastSave="{00000000-0000-0000-0000-000000000000}"/>
  <bookViews>
    <workbookView xWindow="-120" yWindow="-120" windowWidth="20730" windowHeight="11160" xr2:uid="{E0A1B560-D689-440D-A78E-2DF0EF4F5C5C}"/>
  </bookViews>
  <sheets>
    <sheet name="O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3" i="1" l="1"/>
  <c r="T113" i="1"/>
  <c r="K113" i="1"/>
  <c r="E113" i="1"/>
  <c r="N112" i="1"/>
  <c r="Q112" i="1" s="1"/>
  <c r="T112" i="1" s="1"/>
  <c r="W112" i="1" s="1"/>
  <c r="Z112" i="1" s="1"/>
  <c r="AC112" i="1" s="1"/>
  <c r="AF112" i="1" s="1"/>
  <c r="E112" i="1"/>
  <c r="H112" i="1" s="1"/>
  <c r="K112" i="1" s="1"/>
  <c r="T111" i="1"/>
  <c r="W111" i="1" s="1"/>
  <c r="Z111" i="1" s="1"/>
  <c r="AC111" i="1" s="1"/>
  <c r="AF111" i="1" s="1"/>
  <c r="N111" i="1"/>
  <c r="Q111" i="1" s="1"/>
  <c r="E110" i="1"/>
  <c r="H110" i="1" s="1"/>
  <c r="K110" i="1" s="1"/>
  <c r="N110" i="1" s="1"/>
  <c r="Q110" i="1" s="1"/>
  <c r="T110" i="1" s="1"/>
  <c r="W110" i="1" s="1"/>
  <c r="Z110" i="1" s="1"/>
  <c r="AC110" i="1" s="1"/>
  <c r="AF110" i="1" s="1"/>
  <c r="B109" i="1"/>
  <c r="AI102" i="1"/>
  <c r="AM102" i="1" s="1"/>
  <c r="K102" i="1"/>
  <c r="E102" i="1"/>
  <c r="AM101" i="1"/>
  <c r="AI101" i="1"/>
  <c r="AI100" i="1"/>
  <c r="AM100" i="1" s="1"/>
  <c r="K100" i="1"/>
  <c r="AI99" i="1"/>
  <c r="AM99" i="1" s="1"/>
  <c r="K99" i="1"/>
  <c r="AI98" i="1"/>
  <c r="K98" i="1"/>
  <c r="H98" i="1"/>
  <c r="E98" i="1"/>
  <c r="E95" i="1" s="1"/>
  <c r="AM97" i="1"/>
  <c r="H97" i="1"/>
  <c r="AI97" i="1" s="1"/>
  <c r="K96" i="1"/>
  <c r="K95" i="1" s="1"/>
  <c r="H96" i="1"/>
  <c r="AF95" i="1"/>
  <c r="AC95" i="1"/>
  <c r="Z95" i="1"/>
  <c r="W95" i="1"/>
  <c r="T95" i="1"/>
  <c r="Q95" i="1"/>
  <c r="N95" i="1"/>
  <c r="B95" i="1"/>
  <c r="Z94" i="1"/>
  <c r="AI94" i="1" s="1"/>
  <c r="AM94" i="1" s="1"/>
  <c r="AM93" i="1"/>
  <c r="K93" i="1"/>
  <c r="K90" i="1" s="1"/>
  <c r="E93" i="1"/>
  <c r="AI93" i="1" s="1"/>
  <c r="H92" i="1"/>
  <c r="AI92" i="1" s="1"/>
  <c r="AI91" i="1"/>
  <c r="Z91" i="1"/>
  <c r="Q91" i="1"/>
  <c r="E91" i="1"/>
  <c r="B91" i="1"/>
  <c r="B90" i="1" s="1"/>
  <c r="AF90" i="1"/>
  <c r="AC90" i="1"/>
  <c r="W90" i="1"/>
  <c r="T90" i="1"/>
  <c r="Q90" i="1"/>
  <c r="N90" i="1"/>
  <c r="H90" i="1"/>
  <c r="E90" i="1"/>
  <c r="Z89" i="1"/>
  <c r="Q89" i="1"/>
  <c r="K89" i="1"/>
  <c r="E89" i="1"/>
  <c r="AI89" i="1" s="1"/>
  <c r="AC88" i="1"/>
  <c r="Z88" i="1"/>
  <c r="W88" i="1"/>
  <c r="T88" i="1"/>
  <c r="T84" i="1" s="1"/>
  <c r="Q88" i="1"/>
  <c r="K88" i="1"/>
  <c r="E88" i="1"/>
  <c r="AF87" i="1"/>
  <c r="AC87" i="1"/>
  <c r="Z87" i="1"/>
  <c r="W87" i="1"/>
  <c r="W84" i="1" s="1"/>
  <c r="T87" i="1"/>
  <c r="Q87" i="1"/>
  <c r="Q84" i="1" s="1"/>
  <c r="K87" i="1"/>
  <c r="H87" i="1"/>
  <c r="E87" i="1"/>
  <c r="AM86" i="1"/>
  <c r="AI86" i="1"/>
  <c r="AI85" i="1"/>
  <c r="AF84" i="1"/>
  <c r="AC84" i="1"/>
  <c r="N84" i="1"/>
  <c r="K84" i="1"/>
  <c r="H84" i="1"/>
  <c r="E84" i="1"/>
  <c r="B84" i="1"/>
  <c r="AF83" i="1"/>
  <c r="AC83" i="1"/>
  <c r="Z83" i="1"/>
  <c r="W83" i="1"/>
  <c r="T83" i="1"/>
  <c r="Q83" i="1"/>
  <c r="N83" i="1"/>
  <c r="K83" i="1"/>
  <c r="AI83" i="1" s="1"/>
  <c r="H83" i="1"/>
  <c r="E83" i="1"/>
  <c r="AF82" i="1"/>
  <c r="AF69" i="1" s="1"/>
  <c r="AC82" i="1"/>
  <c r="Z82" i="1"/>
  <c r="W82" i="1"/>
  <c r="T82" i="1"/>
  <c r="T69" i="1" s="1"/>
  <c r="Q82" i="1"/>
  <c r="N82" i="1"/>
  <c r="K82" i="1"/>
  <c r="H82" i="1"/>
  <c r="H69" i="1" s="1"/>
  <c r="E82" i="1"/>
  <c r="AI81" i="1"/>
  <c r="AM80" i="1"/>
  <c r="E80" i="1"/>
  <c r="AI80" i="1" s="1"/>
  <c r="AC79" i="1"/>
  <c r="H79" i="1"/>
  <c r="E79" i="1"/>
  <c r="AI79" i="1" s="1"/>
  <c r="AM79" i="1" s="1"/>
  <c r="AI78" i="1"/>
  <c r="AM78" i="1" s="1"/>
  <c r="AF77" i="1"/>
  <c r="AC77" i="1"/>
  <c r="Z77" i="1"/>
  <c r="W77" i="1"/>
  <c r="W69" i="1" s="1"/>
  <c r="K77" i="1"/>
  <c r="AI77" i="1" s="1"/>
  <c r="H77" i="1"/>
  <c r="E77" i="1"/>
  <c r="AF76" i="1"/>
  <c r="AC76" i="1"/>
  <c r="Z76" i="1"/>
  <c r="W76" i="1"/>
  <c r="T76" i="1"/>
  <c r="Q76" i="1"/>
  <c r="N76" i="1"/>
  <c r="K76" i="1"/>
  <c r="H76" i="1"/>
  <c r="E76" i="1"/>
  <c r="AI76" i="1" s="1"/>
  <c r="AM76" i="1" s="1"/>
  <c r="AF75" i="1"/>
  <c r="AC75" i="1"/>
  <c r="Z75" i="1"/>
  <c r="W75" i="1"/>
  <c r="T75" i="1"/>
  <c r="Q75" i="1"/>
  <c r="N75" i="1"/>
  <c r="K75" i="1"/>
  <c r="H75" i="1"/>
  <c r="E75" i="1"/>
  <c r="AC74" i="1"/>
  <c r="Z74" i="1"/>
  <c r="W74" i="1"/>
  <c r="Q74" i="1"/>
  <c r="H74" i="1"/>
  <c r="E74" i="1"/>
  <c r="E69" i="1" s="1"/>
  <c r="AI73" i="1"/>
  <c r="AM73" i="1" s="1"/>
  <c r="K72" i="1"/>
  <c r="H72" i="1"/>
  <c r="E72" i="1"/>
  <c r="AM71" i="1"/>
  <c r="AI71" i="1"/>
  <c r="AF71" i="1"/>
  <c r="AM70" i="1"/>
  <c r="AI70" i="1"/>
  <c r="N69" i="1"/>
  <c r="B69" i="1"/>
  <c r="W68" i="1"/>
  <c r="N68" i="1"/>
  <c r="H68" i="1"/>
  <c r="H64" i="1" s="1"/>
  <c r="E68" i="1"/>
  <c r="AF67" i="1"/>
  <c r="AC67" i="1"/>
  <c r="Z67" i="1"/>
  <c r="W67" i="1"/>
  <c r="T67" i="1"/>
  <c r="Q67" i="1"/>
  <c r="N67" i="1"/>
  <c r="K67" i="1"/>
  <c r="AI67" i="1" s="1"/>
  <c r="H67" i="1"/>
  <c r="E67" i="1"/>
  <c r="AF66" i="1"/>
  <c r="AC66" i="1"/>
  <c r="Z66" i="1"/>
  <c r="Z64" i="1" s="1"/>
  <c r="W66" i="1"/>
  <c r="T66" i="1"/>
  <c r="Q66" i="1"/>
  <c r="N66" i="1"/>
  <c r="N64" i="1" s="1"/>
  <c r="K66" i="1"/>
  <c r="H66" i="1"/>
  <c r="E66" i="1"/>
  <c r="AF65" i="1"/>
  <c r="AC65" i="1"/>
  <c r="AC64" i="1" s="1"/>
  <c r="Z65" i="1"/>
  <c r="W65" i="1"/>
  <c r="T65" i="1"/>
  <c r="Q65" i="1"/>
  <c r="Q64" i="1" s="1"/>
  <c r="N65" i="1"/>
  <c r="K65" i="1"/>
  <c r="H65" i="1"/>
  <c r="E65" i="1"/>
  <c r="E64" i="1" s="1"/>
  <c r="AF64" i="1"/>
  <c r="T64" i="1"/>
  <c r="B64" i="1"/>
  <c r="AM63" i="1"/>
  <c r="AI63" i="1"/>
  <c r="AM62" i="1"/>
  <c r="AI62" i="1"/>
  <c r="N62" i="1"/>
  <c r="AM61" i="1"/>
  <c r="AI61" i="1"/>
  <c r="AI60" i="1"/>
  <c r="Q59" i="1"/>
  <c r="AI59" i="1" s="1"/>
  <c r="AF58" i="1"/>
  <c r="AC58" i="1"/>
  <c r="Z58" i="1"/>
  <c r="W58" i="1"/>
  <c r="AI58" i="1" s="1"/>
  <c r="AF57" i="1"/>
  <c r="AC57" i="1"/>
  <c r="Z57" i="1"/>
  <c r="W57" i="1"/>
  <c r="T57" i="1"/>
  <c r="Q57" i="1"/>
  <c r="N57" i="1"/>
  <c r="K57" i="1"/>
  <c r="H57" i="1"/>
  <c r="E57" i="1"/>
  <c r="AF56" i="1"/>
  <c r="AF50" i="1" s="1"/>
  <c r="AC56" i="1"/>
  <c r="Z56" i="1"/>
  <c r="W56" i="1"/>
  <c r="T56" i="1"/>
  <c r="Q56" i="1"/>
  <c r="N56" i="1"/>
  <c r="K56" i="1"/>
  <c r="H56" i="1"/>
  <c r="AI56" i="1" s="1"/>
  <c r="E56" i="1"/>
  <c r="AF55" i="1"/>
  <c r="AC55" i="1"/>
  <c r="Z55" i="1"/>
  <c r="W55" i="1"/>
  <c r="T55" i="1"/>
  <c r="Q55" i="1"/>
  <c r="N55" i="1"/>
  <c r="K55" i="1"/>
  <c r="H55" i="1"/>
  <c r="E55" i="1"/>
  <c r="AI54" i="1"/>
  <c r="AF54" i="1"/>
  <c r="AF53" i="1"/>
  <c r="AC53" i="1"/>
  <c r="Z53" i="1"/>
  <c r="W53" i="1"/>
  <c r="W50" i="1" s="1"/>
  <c r="T53" i="1"/>
  <c r="Q53" i="1"/>
  <c r="N53" i="1"/>
  <c r="K53" i="1"/>
  <c r="K50" i="1" s="1"/>
  <c r="H53" i="1"/>
  <c r="E53" i="1"/>
  <c r="E50" i="1" s="1"/>
  <c r="AM52" i="1"/>
  <c r="AI52" i="1"/>
  <c r="AI51" i="1"/>
  <c r="Z50" i="1"/>
  <c r="N50" i="1"/>
  <c r="B50" i="1"/>
  <c r="AM49" i="1"/>
  <c r="AI49" i="1"/>
  <c r="AI48" i="1"/>
  <c r="AM48" i="1" s="1"/>
  <c r="AF48" i="1"/>
  <c r="Z48" i="1"/>
  <c r="AM47" i="1"/>
  <c r="AC47" i="1"/>
  <c r="AI47" i="1" s="1"/>
  <c r="AF46" i="1"/>
  <c r="AC46" i="1"/>
  <c r="Z46" i="1"/>
  <c r="W46" i="1"/>
  <c r="T46" i="1"/>
  <c r="Q46" i="1"/>
  <c r="N46" i="1"/>
  <c r="K46" i="1"/>
  <c r="H46" i="1"/>
  <c r="E46" i="1"/>
  <c r="B46" i="1"/>
  <c r="AI45" i="1"/>
  <c r="AM45" i="1" s="1"/>
  <c r="AI44" i="1"/>
  <c r="B44" i="1"/>
  <c r="AF43" i="1"/>
  <c r="AF42" i="1" s="1"/>
  <c r="T43" i="1"/>
  <c r="T42" i="1" s="1"/>
  <c r="Q43" i="1"/>
  <c r="N43" i="1"/>
  <c r="N42" i="1" s="1"/>
  <c r="B43" i="1"/>
  <c r="AC42" i="1"/>
  <c r="Z42" i="1"/>
  <c r="W42" i="1"/>
  <c r="Q42" i="1"/>
  <c r="K42" i="1"/>
  <c r="H42" i="1"/>
  <c r="E42" i="1"/>
  <c r="AI41" i="1"/>
  <c r="AM41" i="1" s="1"/>
  <c r="B41" i="1"/>
  <c r="AI40" i="1"/>
  <c r="AM40" i="1" s="1"/>
  <c r="B40" i="1"/>
  <c r="AI39" i="1"/>
  <c r="AM39" i="1" s="1"/>
  <c r="B39" i="1"/>
  <c r="AF38" i="1"/>
  <c r="AC38" i="1"/>
  <c r="Z38" i="1"/>
  <c r="W38" i="1"/>
  <c r="T38" i="1"/>
  <c r="N38" i="1"/>
  <c r="K38" i="1"/>
  <c r="H38" i="1"/>
  <c r="AI38" i="1" s="1"/>
  <c r="AF37" i="1"/>
  <c r="AC37" i="1"/>
  <c r="Z37" i="1"/>
  <c r="W37" i="1"/>
  <c r="T37" i="1"/>
  <c r="Q37" i="1"/>
  <c r="N37" i="1"/>
  <c r="K37" i="1"/>
  <c r="H37" i="1"/>
  <c r="AI37" i="1" s="1"/>
  <c r="AF36" i="1"/>
  <c r="AC36" i="1"/>
  <c r="Z36" i="1"/>
  <c r="Z33" i="1" s="1"/>
  <c r="W36" i="1"/>
  <c r="T36" i="1"/>
  <c r="Q36" i="1"/>
  <c r="N36" i="1"/>
  <c r="K36" i="1"/>
  <c r="H36" i="1"/>
  <c r="E36" i="1"/>
  <c r="AF35" i="1"/>
  <c r="AC35" i="1"/>
  <c r="Z35" i="1"/>
  <c r="W35" i="1"/>
  <c r="W33" i="1" s="1"/>
  <c r="T35" i="1"/>
  <c r="Q35" i="1"/>
  <c r="Q33" i="1" s="1"/>
  <c r="N35" i="1"/>
  <c r="K35" i="1"/>
  <c r="AI35" i="1" s="1"/>
  <c r="E35" i="1"/>
  <c r="AM34" i="1"/>
  <c r="AI34" i="1"/>
  <c r="B34" i="1"/>
  <c r="AC33" i="1"/>
  <c r="N33" i="1"/>
  <c r="K33" i="1"/>
  <c r="E33" i="1"/>
  <c r="B33" i="1"/>
  <c r="Y27" i="1"/>
  <c r="H27" i="1"/>
  <c r="K27" i="1" s="1"/>
  <c r="N27" i="1" s="1"/>
  <c r="Q27" i="1" s="1"/>
  <c r="T27" i="1" s="1"/>
  <c r="W27" i="1" s="1"/>
  <c r="Z27" i="1" s="1"/>
  <c r="AC27" i="1" s="1"/>
  <c r="AF27" i="1" s="1"/>
  <c r="B27" i="1"/>
  <c r="E27" i="1" s="1"/>
  <c r="AN26" i="1"/>
  <c r="AK26" i="1"/>
  <c r="D26" i="1"/>
  <c r="AH25" i="1"/>
  <c r="AE25" i="1"/>
  <c r="AB25" i="1"/>
  <c r="Y25" i="1"/>
  <c r="V25" i="1"/>
  <c r="S25" i="1"/>
  <c r="P25" i="1"/>
  <c r="M25" i="1"/>
  <c r="J25" i="1"/>
  <c r="G25" i="1"/>
  <c r="D25" i="1"/>
  <c r="AJ24" i="1"/>
  <c r="AI24" i="1"/>
  <c r="AM24" i="1" s="1"/>
  <c r="AM27" i="1" s="1"/>
  <c r="AH24" i="1"/>
  <c r="AH27" i="1" s="1"/>
  <c r="AE24" i="1"/>
  <c r="AE27" i="1" s="1"/>
  <c r="AB24" i="1"/>
  <c r="Y24" i="1"/>
  <c r="V24" i="1"/>
  <c r="V27" i="1" s="1"/>
  <c r="S24" i="1"/>
  <c r="S27" i="1" s="1"/>
  <c r="P24" i="1"/>
  <c r="M24" i="1"/>
  <c r="M27" i="1" s="1"/>
  <c r="J24" i="1"/>
  <c r="J27" i="1" s="1"/>
  <c r="G24" i="1"/>
  <c r="G27" i="1" s="1"/>
  <c r="E24" i="1"/>
  <c r="D24" i="1"/>
  <c r="AN23" i="1"/>
  <c r="D23" i="1"/>
  <c r="D27" i="1" s="1"/>
  <c r="B104" i="1" s="1"/>
  <c r="B17" i="1"/>
  <c r="B16" i="1"/>
  <c r="B15" i="1"/>
  <c r="B14" i="1"/>
  <c r="B13" i="1"/>
  <c r="AL12" i="1"/>
  <c r="AI12" i="1"/>
  <c r="B12" i="1"/>
  <c r="B18" i="1" s="1"/>
  <c r="AM38" i="1" l="1"/>
  <c r="AM67" i="1"/>
  <c r="AK24" i="1"/>
  <c r="AM54" i="1"/>
  <c r="AM56" i="1"/>
  <c r="AM59" i="1"/>
  <c r="T104" i="1"/>
  <c r="N103" i="1"/>
  <c r="AM35" i="1"/>
  <c r="AM37" i="1"/>
  <c r="AM60" i="1"/>
  <c r="AM77" i="1"/>
  <c r="AM46" i="1"/>
  <c r="AI53" i="1"/>
  <c r="H50" i="1"/>
  <c r="AI55" i="1"/>
  <c r="T50" i="1"/>
  <c r="Z69" i="1"/>
  <c r="Z103" i="1" s="1"/>
  <c r="AM85" i="1"/>
  <c r="AI87" i="1"/>
  <c r="AI88" i="1"/>
  <c r="AM92" i="1"/>
  <c r="AM98" i="1"/>
  <c r="AK25" i="1"/>
  <c r="AM51" i="1"/>
  <c r="AM58" i="1"/>
  <c r="K64" i="1"/>
  <c r="W64" i="1"/>
  <c r="W103" i="1" s="1"/>
  <c r="W104" i="1" s="1"/>
  <c r="AI65" i="1"/>
  <c r="K69" i="1"/>
  <c r="K103" i="1" s="1"/>
  <c r="K104" i="1" s="1"/>
  <c r="AI72" i="1"/>
  <c r="AM83" i="1"/>
  <c r="AM89" i="1"/>
  <c r="AI96" i="1"/>
  <c r="H95" i="1"/>
  <c r="AI90" i="1"/>
  <c r="AM91" i="1"/>
  <c r="AM90" i="1" s="1"/>
  <c r="B114" i="1"/>
  <c r="E109" i="1"/>
  <c r="AI27" i="1"/>
  <c r="H33" i="1"/>
  <c r="T33" i="1"/>
  <c r="T103" i="1" s="1"/>
  <c r="AF33" i="1"/>
  <c r="AF103" i="1" s="1"/>
  <c r="AF104" i="1" s="1"/>
  <c r="B42" i="1"/>
  <c r="Q50" i="1"/>
  <c r="AC50" i="1"/>
  <c r="AC103" i="1" s="1"/>
  <c r="AC104" i="1" s="1"/>
  <c r="AI66" i="1"/>
  <c r="AC69" i="1"/>
  <c r="AM81" i="1"/>
  <c r="AI75" i="1"/>
  <c r="P27" i="1"/>
  <c r="N104" i="1" s="1"/>
  <c r="AB27" i="1"/>
  <c r="E103" i="1"/>
  <c r="E104" i="1" s="1"/>
  <c r="AI36" i="1"/>
  <c r="AI43" i="1"/>
  <c r="AM44" i="1"/>
  <c r="AI46" i="1"/>
  <c r="AI57" i="1"/>
  <c r="AI68" i="1"/>
  <c r="Q69" i="1"/>
  <c r="Q103" i="1" s="1"/>
  <c r="Q104" i="1" s="1"/>
  <c r="AI74" i="1"/>
  <c r="AI82" i="1"/>
  <c r="Z84" i="1"/>
  <c r="Z90" i="1"/>
  <c r="Z104" i="1" l="1"/>
  <c r="AM66" i="1"/>
  <c r="AM96" i="1"/>
  <c r="AM95" i="1" s="1"/>
  <c r="AI95" i="1"/>
  <c r="AM87" i="1"/>
  <c r="AM84" i="1" s="1"/>
  <c r="AM55" i="1"/>
  <c r="AM68" i="1"/>
  <c r="AM43" i="1"/>
  <c r="AM42" i="1" s="1"/>
  <c r="AI42" i="1"/>
  <c r="AM65" i="1"/>
  <c r="AI64" i="1"/>
  <c r="AK27" i="1"/>
  <c r="AN24" i="1"/>
  <c r="AL24" i="1"/>
  <c r="AM82" i="1"/>
  <c r="AM57" i="1"/>
  <c r="AM36" i="1"/>
  <c r="AM33" i="1" s="1"/>
  <c r="AM75" i="1"/>
  <c r="H109" i="1"/>
  <c r="E114" i="1"/>
  <c r="AI50" i="1"/>
  <c r="AI84" i="1"/>
  <c r="AM53" i="1"/>
  <c r="AM50" i="1" s="1"/>
  <c r="AM74" i="1"/>
  <c r="H103" i="1"/>
  <c r="H104" i="1" s="1"/>
  <c r="AM72" i="1"/>
  <c r="AI69" i="1"/>
  <c r="AN25" i="1"/>
  <c r="AL25" i="1"/>
  <c r="AM88" i="1"/>
  <c r="AI33" i="1"/>
  <c r="K109" i="1" l="1"/>
  <c r="H114" i="1"/>
  <c r="AI103" i="1"/>
  <c r="AM69" i="1"/>
  <c r="AL84" i="1"/>
  <c r="AL50" i="1"/>
  <c r="AN27" i="1"/>
  <c r="AM64" i="1"/>
  <c r="AM103" i="1" s="1"/>
  <c r="AL17" i="1" s="1"/>
  <c r="AI104" i="1"/>
  <c r="AI16" i="1"/>
  <c r="AL26" i="1"/>
  <c r="AL27" i="1"/>
  <c r="AL104" i="1" l="1"/>
  <c r="AL16" i="1"/>
  <c r="AL18" i="1" s="1"/>
  <c r="AL58" i="1"/>
  <c r="AL45" i="1"/>
  <c r="AL103" i="1"/>
  <c r="AI17" i="1"/>
  <c r="AI18" i="1" s="1"/>
  <c r="AL101" i="1"/>
  <c r="AL63" i="1"/>
  <c r="AL79" i="1"/>
  <c r="AL78" i="1"/>
  <c r="AL71" i="1"/>
  <c r="AL70" i="1"/>
  <c r="AL52" i="1"/>
  <c r="AL99" i="1"/>
  <c r="AL73" i="1"/>
  <c r="AL47" i="1"/>
  <c r="AL51" i="1"/>
  <c r="AL49" i="1"/>
  <c r="AL41" i="1"/>
  <c r="AL67" i="1"/>
  <c r="AL37" i="1"/>
  <c r="AL62" i="1"/>
  <c r="AL48" i="1"/>
  <c r="AL44" i="1"/>
  <c r="AL97" i="1"/>
  <c r="AL56" i="1"/>
  <c r="AL80" i="1"/>
  <c r="AL40" i="1"/>
  <c r="AL77" i="1"/>
  <c r="AL34" i="1"/>
  <c r="AL61" i="1"/>
  <c r="AL89" i="1"/>
  <c r="AL91" i="1"/>
  <c r="AL100" i="1"/>
  <c r="AL38" i="1"/>
  <c r="AL39" i="1"/>
  <c r="AL85" i="1"/>
  <c r="AL83" i="1"/>
  <c r="AL93" i="1"/>
  <c r="AL81" i="1"/>
  <c r="AL94" i="1"/>
  <c r="AL54" i="1"/>
  <c r="AL59" i="1"/>
  <c r="AL35" i="1"/>
  <c r="AL60" i="1"/>
  <c r="AL92" i="1"/>
  <c r="AL76" i="1"/>
  <c r="AL98" i="1"/>
  <c r="AL86" i="1"/>
  <c r="AL102" i="1"/>
  <c r="AL43" i="1"/>
  <c r="AL65" i="1"/>
  <c r="AL82" i="1"/>
  <c r="AL36" i="1"/>
  <c r="AL53" i="1"/>
  <c r="AL55" i="1"/>
  <c r="AL75" i="1"/>
  <c r="AL74" i="1"/>
  <c r="AL72" i="1"/>
  <c r="AL66" i="1"/>
  <c r="AL87" i="1"/>
  <c r="AL68" i="1"/>
  <c r="AL57" i="1"/>
  <c r="AL96" i="1"/>
  <c r="AL90" i="1"/>
  <c r="AL46" i="1"/>
  <c r="AL88" i="1"/>
  <c r="K114" i="1"/>
  <c r="N109" i="1"/>
  <c r="AL95" i="1"/>
  <c r="AL42" i="1"/>
  <c r="AL69" i="1"/>
  <c r="AL64" i="1"/>
  <c r="AL33" i="1"/>
  <c r="N114" i="1" l="1"/>
  <c r="Q109" i="1"/>
  <c r="T109" i="1" l="1"/>
  <c r="Q114" i="1"/>
  <c r="T114" i="1" l="1"/>
  <c r="W109" i="1"/>
  <c r="W114" i="1" l="1"/>
  <c r="Z109" i="1"/>
  <c r="Z114" i="1" l="1"/>
  <c r="AC109" i="1"/>
  <c r="AC114" i="1" l="1"/>
  <c r="AF109" i="1"/>
  <c r="AF114" i="1" s="1"/>
</calcChain>
</file>

<file path=xl/sharedStrings.xml><?xml version="1.0" encoding="utf-8"?>
<sst xmlns="http://schemas.openxmlformats.org/spreadsheetml/2006/main" count="189" uniqueCount="127">
  <si>
    <r>
      <t xml:space="preserve">CONTROLE FINANCEIRO 2020
</t>
    </r>
    <r>
      <rPr>
        <b/>
        <sz val="12"/>
        <rFont val="Calibri"/>
        <family val="2"/>
        <scheme val="minor"/>
      </rPr>
      <t>Posição OUTUBRO</t>
    </r>
  </si>
  <si>
    <t>Bens da ANIPA</t>
  </si>
  <si>
    <t>Acumulado 2019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</si>
  <si>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</si>
  <si>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</si>
  <si>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</si>
  <si>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</si>
  <si>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</si>
  <si>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</si>
  <si>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</si>
  <si>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</si>
  <si>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</si>
  <si>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</si>
  <si>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Acumulado 2020</t>
  </si>
  <si>
    <t>Evolução histórica</t>
  </si>
  <si>
    <t xml:space="preserve">Total bens </t>
  </si>
  <si>
    <t>Imobilizado (computadores, equipamentos)</t>
  </si>
  <si>
    <t>Intangível (softwares)</t>
  </si>
  <si>
    <t>(-) Depreciação acumulada</t>
  </si>
  <si>
    <t xml:space="preserve"> </t>
  </si>
  <si>
    <t>Receitas</t>
  </si>
  <si>
    <t>Despesas</t>
  </si>
  <si>
    <t>Total Parcial e Acumulado</t>
  </si>
  <si>
    <t>Associados / Receitas</t>
  </si>
  <si>
    <t>%</t>
  </si>
  <si>
    <t>Q</t>
  </si>
  <si>
    <t>Valor</t>
  </si>
  <si>
    <t>S</t>
  </si>
  <si>
    <t>E</t>
  </si>
  <si>
    <t>Receitas anteriores / Associados</t>
  </si>
  <si>
    <t>Associados / Mensalidades</t>
  </si>
  <si>
    <t>Receitas Financeiras</t>
  </si>
  <si>
    <t xml:space="preserve">Outras Receitas </t>
  </si>
  <si>
    <t>Total Associados / Receitas</t>
  </si>
  <si>
    <t>DETALHAMENTO DE DESPESAS</t>
  </si>
  <si>
    <t>Serviços de Terceiros</t>
  </si>
  <si>
    <t>Serviços administrativos Advogados</t>
  </si>
  <si>
    <t>Assessoria Jurídica</t>
  </si>
  <si>
    <t xml:space="preserve">Serviços Contábeis </t>
  </si>
  <si>
    <t>Assessoria Atuarial</t>
  </si>
  <si>
    <t>Consultoria/Assessoria Técnica (Fin, Cont, TI)</t>
  </si>
  <si>
    <t>Telemarketing (associados regular termos)</t>
  </si>
  <si>
    <t>Assessoria Comunicação</t>
  </si>
  <si>
    <t xml:space="preserve">Serviços eventuais de apoio </t>
  </si>
  <si>
    <t>Custos das Ações</t>
  </si>
  <si>
    <t>Honorários mensais das ações</t>
  </si>
  <si>
    <t>Taxas de ajuizamento de ações</t>
  </si>
  <si>
    <t>Registros/Cartórios/Publicações</t>
  </si>
  <si>
    <t>Registros e Taxas(Cart, Pref, RF...)</t>
  </si>
  <si>
    <t>Cartórios (Aut, Doc, Rec Firma)</t>
  </si>
  <si>
    <t>Publicações Legais/Editais</t>
  </si>
  <si>
    <t>Tecnologia</t>
  </si>
  <si>
    <t>Desenvolvimento/Hospedagem SITE e Sistema inicial</t>
  </si>
  <si>
    <t>Desenvolvimento novo SITE</t>
  </si>
  <si>
    <t xml:space="preserve">Hospedagem/Manutenção novo SITE </t>
  </si>
  <si>
    <t xml:space="preserve">Desenvolvimento Sistema de Cadastros ANIPA </t>
  </si>
  <si>
    <t xml:space="preserve">Hospedagem / Manutenção Sistema de Cadastros ANIPA </t>
  </si>
  <si>
    <t>Serviço de E-mail</t>
  </si>
  <si>
    <r>
      <t xml:space="preserve">Serviço de Mensagens por celular </t>
    </r>
    <r>
      <rPr>
        <sz val="8"/>
        <rFont val="Calibri"/>
        <family val="2"/>
        <scheme val="minor"/>
      </rPr>
      <t>(3)</t>
    </r>
  </si>
  <si>
    <r>
      <t xml:space="preserve">Plataforma de assinatura eletrônica </t>
    </r>
    <r>
      <rPr>
        <sz val="8"/>
        <rFont val="Calibri"/>
        <family val="2"/>
        <scheme val="minor"/>
      </rPr>
      <t>(6)</t>
    </r>
  </si>
  <si>
    <t>Desenv/Serviço Sist Assembleia Virtual</t>
  </si>
  <si>
    <t>Desenv/Serviço Sist Eleição Virtual</t>
  </si>
  <si>
    <t>Desenv/Serviço Fórum Site ANIPA</t>
  </si>
  <si>
    <t>Registro Domínio ANIPA</t>
  </si>
  <si>
    <t>Certificado Segurança SITE / Certificado Digital</t>
  </si>
  <si>
    <t>Bancos/Impostos/Juros</t>
  </si>
  <si>
    <t>Tarifas Bancárias CAIXA</t>
  </si>
  <si>
    <r>
      <t>Impostos recolhidos à terceiros (INSS, IR, CONTR. FEDER...)</t>
    </r>
    <r>
      <rPr>
        <sz val="8"/>
        <rFont val="Calibri"/>
        <family val="2"/>
        <scheme val="minor"/>
      </rPr>
      <t>(2)</t>
    </r>
  </si>
  <si>
    <t>IRRF/IOF operações financeiras (sobre os investimentos)</t>
  </si>
  <si>
    <t>Despesas com Juros/Outras despesas financeiras</t>
  </si>
  <si>
    <t xml:space="preserve">Escritório ANIPA </t>
  </si>
  <si>
    <t>Móveis/Utensílios</t>
  </si>
  <si>
    <t>Computadores 4, impressoras 1, celular 1</t>
  </si>
  <si>
    <t>Softwares (Office, Antivírus, Adobe mensal)</t>
  </si>
  <si>
    <t>Assinatura de jornais, revistas, publicações</t>
  </si>
  <si>
    <t>Material Escritório</t>
  </si>
  <si>
    <t xml:space="preserve">Aluguel/Condomínio/IPTU/Taxas </t>
  </si>
  <si>
    <t xml:space="preserve">Luz/Telefone/Internet </t>
  </si>
  <si>
    <t>Diversos (café, água, copos, chaves, etc.)</t>
  </si>
  <si>
    <t>Manutenção (de computadores, impressora)</t>
  </si>
  <si>
    <t>Higiene e Limpeza (material e serviço)</t>
  </si>
  <si>
    <t>Reforma escritório</t>
  </si>
  <si>
    <t>Serviço de Seleção e Recrutamento</t>
  </si>
  <si>
    <t>Salários (mês, 13°, férias, rescisão)</t>
  </si>
  <si>
    <r>
      <t>Encargos trabalhistas (INSS, FGTS, PIS, Transp, Alim, Sind)</t>
    </r>
    <r>
      <rPr>
        <sz val="8"/>
        <rFont val="Calibri"/>
        <family val="2"/>
        <scheme val="minor"/>
      </rPr>
      <t xml:space="preserve"> (2)</t>
    </r>
  </si>
  <si>
    <t>Outros Serviços</t>
  </si>
  <si>
    <t>Serv. Gráficos/Digitalizações/Cópias</t>
  </si>
  <si>
    <t>Serviços MSN/Telefonia</t>
  </si>
  <si>
    <t>Motoboy</t>
  </si>
  <si>
    <t>Correios</t>
  </si>
  <si>
    <t>Deslocamento (para serviços externos)</t>
  </si>
  <si>
    <t>Outros</t>
  </si>
  <si>
    <t>Locação sala Eventos/Assembleia/Equipamentos/Hotel</t>
  </si>
  <si>
    <t>Apoio a mobilizações</t>
  </si>
  <si>
    <t>Devoluções/Recebimentos indevidos</t>
  </si>
  <si>
    <t>Participações em outras associações</t>
  </si>
  <si>
    <t>Despesas Viagens</t>
  </si>
  <si>
    <t>Presidência</t>
  </si>
  <si>
    <t>Jurídico</t>
  </si>
  <si>
    <t>Financeiro</t>
  </si>
  <si>
    <t>Técnico</t>
  </si>
  <si>
    <t>Comunicação</t>
  </si>
  <si>
    <t>Conselho Fiscal</t>
  </si>
  <si>
    <r>
      <t xml:space="preserve">Associados / Prestador de serviço / Funcionários </t>
    </r>
    <r>
      <rPr>
        <sz val="8"/>
        <rFont val="Calibri"/>
        <family val="2"/>
        <scheme val="minor"/>
      </rPr>
      <t>(1)</t>
    </r>
  </si>
  <si>
    <t>Total Despesas</t>
  </si>
  <si>
    <t>Resultado / Saldo em Conta</t>
  </si>
  <si>
    <t>Despesas Acumuladas até 2019</t>
  </si>
  <si>
    <t>Investimentos</t>
  </si>
  <si>
    <t>Acumulado até 2019</t>
  </si>
  <si>
    <t>Caixa FIC GIRO EMPRESAS</t>
  </si>
  <si>
    <t>Caixa FIC PREMIUM - mudou para FIC RUBI</t>
  </si>
  <si>
    <t xml:space="preserve">Caixa FIC SIGMA </t>
  </si>
  <si>
    <t>CDB Flex Empresarial</t>
  </si>
  <si>
    <r>
      <t>Bolsa Americana Multimercado (encerrado)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(4)</t>
    </r>
  </si>
  <si>
    <t>Saldos totais</t>
  </si>
  <si>
    <t>Evolução histórica desde a fundação - MAR/2015</t>
  </si>
  <si>
    <r>
      <t xml:space="preserve">Q - </t>
    </r>
    <r>
      <rPr>
        <sz val="10"/>
        <color theme="1"/>
        <rFont val="Calibri"/>
        <family val="2"/>
        <scheme val="minor"/>
      </rPr>
      <t>Quantidade acumulada</t>
    </r>
  </si>
  <si>
    <r>
      <t xml:space="preserve">E - </t>
    </r>
    <r>
      <rPr>
        <sz val="10"/>
        <color theme="1"/>
        <rFont val="Calibri"/>
        <family val="2"/>
        <scheme val="minor"/>
      </rPr>
      <t>Entraram na ANIPA</t>
    </r>
  </si>
  <si>
    <t>(1) A serviço ou representação da ANIPA.</t>
  </si>
  <si>
    <t>(2) Pagamento em duplicidade de algumas DARFs</t>
  </si>
  <si>
    <t>(3) Pagamento em atraso mensalidade de dez/2019</t>
  </si>
  <si>
    <t xml:space="preserve">(4) Investimento realizado indevidamente pela agência bancária, sem anuência da ANIPA. Valor integral da  aplicação devolvido mediante crédito em conta. </t>
  </si>
  <si>
    <t>(5) Ajuizamento de Ação Quórum Qualificado no valor de R$ 50.000,00 em 2x</t>
  </si>
  <si>
    <t>(6) Contratação de plataforma de assinatura eletrônica para assinaturas de atas e documentos necessários em razão da pandemia de COVID-19 que</t>
  </si>
  <si>
    <t xml:space="preserve">       impossibilita a reunião presencial de diretores e conselheiros.</t>
  </si>
  <si>
    <t>Honorários Advocatícios Iniciais Ações (5) (7)</t>
  </si>
  <si>
    <t>(7) Ação Tábua Atuarial no valor de R$ 200.000,00 em 3x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</si>
</sst>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4A7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9ECA8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10" fillId="7" borderId="7" xfId="0" applyFont="1" applyFill="1" applyBorder="1" applyAlignment="1">
      <alignment vertical="center"/>
    </xf>
    <xf numFmtId="4" fontId="9" fillId="7" borderId="5" xfId="0" applyNumberFormat="1" applyFont="1" applyFill="1" applyBorder="1" applyAlignment="1">
      <alignment horizontal="right"/>
    </xf>
    <xf numFmtId="4" fontId="9" fillId="7" borderId="4" xfId="0" applyNumberFormat="1" applyFont="1" applyFill="1" applyBorder="1" applyAlignment="1">
      <alignment horizontal="right"/>
    </xf>
    <xf numFmtId="4" fontId="9" fillId="7" borderId="6" xfId="0" applyNumberFormat="1" applyFont="1" applyFill="1" applyBorder="1" applyAlignment="1">
      <alignment horizontal="right"/>
    </xf>
    <xf numFmtId="0" fontId="9" fillId="8" borderId="5" xfId="0" applyFont="1" applyFill="1" applyBorder="1" applyAlignment="1">
      <alignment horizontal="right"/>
    </xf>
    <xf numFmtId="0" fontId="9" fillId="8" borderId="4" xfId="0" applyFont="1" applyFill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0" fontId="9" fillId="8" borderId="5" xfId="0" applyFont="1" applyFill="1" applyBorder="1" applyAlignment="1">
      <alignment horizontal="right"/>
    </xf>
    <xf numFmtId="0" fontId="9" fillId="8" borderId="4" xfId="0" applyFont="1" applyFill="1" applyBorder="1" applyAlignment="1">
      <alignment horizontal="right"/>
    </xf>
    <xf numFmtId="0" fontId="9" fillId="8" borderId="6" xfId="0" applyFont="1" applyFill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4" fontId="10" fillId="9" borderId="1" xfId="0" applyNumberFormat="1" applyFont="1" applyFill="1" applyBorder="1" applyAlignment="1">
      <alignment horizontal="right"/>
    </xf>
    <xf numFmtId="0" fontId="8" fillId="8" borderId="1" xfId="0" applyFont="1" applyFill="1" applyBorder="1"/>
    <xf numFmtId="4" fontId="11" fillId="7" borderId="5" xfId="0" applyNumberFormat="1" applyFont="1" applyFill="1" applyBorder="1" applyAlignment="1">
      <alignment horizontal="right"/>
    </xf>
    <xf numFmtId="4" fontId="11" fillId="7" borderId="4" xfId="0" applyNumberFormat="1" applyFont="1" applyFill="1" applyBorder="1" applyAlignment="1">
      <alignment horizontal="right"/>
    </xf>
    <xf numFmtId="4" fontId="11" fillId="7" borderId="6" xfId="0" applyNumberFormat="1" applyFont="1" applyFill="1" applyBorder="1" applyAlignment="1">
      <alignment horizontal="right"/>
    </xf>
    <xf numFmtId="3" fontId="11" fillId="8" borderId="5" xfId="0" applyNumberFormat="1" applyFont="1" applyFill="1" applyBorder="1" applyAlignment="1">
      <alignment horizontal="right"/>
    </xf>
    <xf numFmtId="3" fontId="11" fillId="8" borderId="4" xfId="0" applyNumberFormat="1" applyFont="1" applyFill="1" applyBorder="1" applyAlignment="1">
      <alignment horizontal="right"/>
    </xf>
    <xf numFmtId="3" fontId="11" fillId="8" borderId="6" xfId="0" applyNumberFormat="1" applyFont="1" applyFill="1" applyBorder="1" applyAlignment="1">
      <alignment horizontal="right"/>
    </xf>
    <xf numFmtId="3" fontId="11" fillId="8" borderId="5" xfId="0" applyNumberFormat="1" applyFont="1" applyFill="1" applyBorder="1" applyAlignment="1">
      <alignment horizontal="right"/>
    </xf>
    <xf numFmtId="3" fontId="11" fillId="8" borderId="4" xfId="0" applyNumberFormat="1" applyFont="1" applyFill="1" applyBorder="1" applyAlignment="1">
      <alignment horizontal="right"/>
    </xf>
    <xf numFmtId="3" fontId="11" fillId="8" borderId="6" xfId="0" applyNumberFormat="1" applyFont="1" applyFill="1" applyBorder="1" applyAlignment="1">
      <alignment horizontal="right"/>
    </xf>
    <xf numFmtId="4" fontId="8" fillId="8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>
      <alignment horizontal="right" vertical="center" wrapText="1"/>
    </xf>
    <xf numFmtId="3" fontId="11" fillId="8" borderId="5" xfId="0" applyNumberFormat="1" applyFont="1" applyFill="1" applyBorder="1" applyAlignment="1">
      <alignment horizontal="center"/>
    </xf>
    <xf numFmtId="3" fontId="11" fillId="8" borderId="4" xfId="0" applyNumberFormat="1" applyFont="1" applyFill="1" applyBorder="1" applyAlignment="1">
      <alignment horizontal="center"/>
    </xf>
    <xf numFmtId="3" fontId="11" fillId="8" borderId="6" xfId="0" applyNumberFormat="1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4" fontId="11" fillId="10" borderId="5" xfId="0" applyNumberFormat="1" applyFont="1" applyFill="1" applyBorder="1" applyAlignment="1">
      <alignment horizontal="right"/>
    </xf>
    <xf numFmtId="4" fontId="11" fillId="10" borderId="4" xfId="0" applyNumberFormat="1" applyFont="1" applyFill="1" applyBorder="1" applyAlignment="1">
      <alignment horizontal="right"/>
    </xf>
    <xf numFmtId="4" fontId="11" fillId="10" borderId="6" xfId="0" applyNumberFormat="1" applyFont="1" applyFill="1" applyBorder="1" applyAlignment="1">
      <alignment horizontal="right"/>
    </xf>
    <xf numFmtId="3" fontId="11" fillId="10" borderId="5" xfId="0" applyNumberFormat="1" applyFont="1" applyFill="1" applyBorder="1" applyAlignment="1">
      <alignment horizontal="right"/>
    </xf>
    <xf numFmtId="3" fontId="11" fillId="10" borderId="4" xfId="0" applyNumberFormat="1" applyFont="1" applyFill="1" applyBorder="1" applyAlignment="1">
      <alignment horizontal="right"/>
    </xf>
    <xf numFmtId="3" fontId="11" fillId="10" borderId="6" xfId="0" applyNumberFormat="1" applyFont="1" applyFill="1" applyBorder="1" applyAlignment="1">
      <alignment horizontal="right"/>
    </xf>
    <xf numFmtId="3" fontId="11" fillId="10" borderId="5" xfId="0" applyNumberFormat="1" applyFont="1" applyFill="1" applyBorder="1" applyAlignment="1">
      <alignment horizontal="right"/>
    </xf>
    <xf numFmtId="3" fontId="11" fillId="10" borderId="4" xfId="0" applyNumberFormat="1" applyFont="1" applyFill="1" applyBorder="1" applyAlignment="1">
      <alignment horizontal="right"/>
    </xf>
    <xf numFmtId="3" fontId="11" fillId="10" borderId="6" xfId="0" applyNumberFormat="1" applyFont="1" applyFill="1" applyBorder="1" applyAlignment="1">
      <alignment horizontal="right"/>
    </xf>
    <xf numFmtId="3" fontId="11" fillId="10" borderId="5" xfId="0" applyNumberFormat="1" applyFont="1" applyFill="1" applyBorder="1" applyAlignment="1">
      <alignment horizontal="center"/>
    </xf>
    <xf numFmtId="3" fontId="11" fillId="10" borderId="4" xfId="0" applyNumberFormat="1" applyFont="1" applyFill="1" applyBorder="1" applyAlignment="1">
      <alignment horizontal="center"/>
    </xf>
    <xf numFmtId="3" fontId="11" fillId="10" borderId="6" xfId="0" applyNumberFormat="1" applyFont="1" applyFill="1" applyBorder="1" applyAlignment="1">
      <alignment horizontal="center"/>
    </xf>
    <xf numFmtId="3" fontId="11" fillId="10" borderId="4" xfId="0" applyNumberFormat="1" applyFont="1" applyFill="1" applyBorder="1" applyAlignment="1">
      <alignment horizontal="center"/>
    </xf>
    <xf numFmtId="4" fontId="8" fillId="10" borderId="1" xfId="0" applyNumberFormat="1" applyFont="1" applyFill="1" applyBorder="1" applyAlignment="1">
      <alignment horizontal="right" vertical="center" wrapText="1"/>
    </xf>
    <xf numFmtId="0" fontId="10" fillId="11" borderId="1" xfId="0" applyFont="1" applyFill="1" applyBorder="1" applyAlignment="1">
      <alignment horizontal="center"/>
    </xf>
    <xf numFmtId="4" fontId="11" fillId="11" borderId="5" xfId="0" applyNumberFormat="1" applyFont="1" applyFill="1" applyBorder="1" applyAlignment="1">
      <alignment horizontal="right"/>
    </xf>
    <xf numFmtId="4" fontId="11" fillId="11" borderId="4" xfId="0" applyNumberFormat="1" applyFont="1" applyFill="1" applyBorder="1" applyAlignment="1">
      <alignment horizontal="right"/>
    </xf>
    <xf numFmtId="4" fontId="11" fillId="11" borderId="6" xfId="0" applyNumberFormat="1" applyFont="1" applyFill="1" applyBorder="1" applyAlignment="1">
      <alignment horizontal="right"/>
    </xf>
    <xf numFmtId="3" fontId="9" fillId="11" borderId="5" xfId="0" applyNumberFormat="1" applyFont="1" applyFill="1" applyBorder="1" applyAlignment="1">
      <alignment horizontal="right"/>
    </xf>
    <xf numFmtId="3" fontId="9" fillId="11" borderId="4" xfId="0" applyNumberFormat="1" applyFont="1" applyFill="1" applyBorder="1" applyAlignment="1">
      <alignment horizontal="right"/>
    </xf>
    <xf numFmtId="3" fontId="9" fillId="11" borderId="6" xfId="0" applyNumberFormat="1" applyFont="1" applyFill="1" applyBorder="1" applyAlignment="1">
      <alignment horizontal="right"/>
    </xf>
    <xf numFmtId="3" fontId="9" fillId="11" borderId="5" xfId="0" applyNumberFormat="1" applyFont="1" applyFill="1" applyBorder="1" applyAlignment="1">
      <alignment horizontal="right"/>
    </xf>
    <xf numFmtId="3" fontId="9" fillId="11" borderId="4" xfId="0" applyNumberFormat="1" applyFont="1" applyFill="1" applyBorder="1" applyAlignment="1">
      <alignment horizontal="right"/>
    </xf>
    <xf numFmtId="3" fontId="9" fillId="11" borderId="6" xfId="0" applyNumberFormat="1" applyFont="1" applyFill="1" applyBorder="1" applyAlignment="1">
      <alignment horizontal="right"/>
    </xf>
    <xf numFmtId="3" fontId="9" fillId="11" borderId="5" xfId="0" applyNumberFormat="1" applyFont="1" applyFill="1" applyBorder="1" applyAlignment="1">
      <alignment horizontal="center"/>
    </xf>
    <xf numFmtId="3" fontId="9" fillId="11" borderId="4" xfId="0" applyNumberFormat="1" applyFont="1" applyFill="1" applyBorder="1" applyAlignment="1">
      <alignment horizontal="center"/>
    </xf>
    <xf numFmtId="3" fontId="9" fillId="11" borderId="6" xfId="0" applyNumberFormat="1" applyFont="1" applyFill="1" applyBorder="1" applyAlignment="1">
      <alignment horizontal="center"/>
    </xf>
    <xf numFmtId="3" fontId="9" fillId="11" borderId="4" xfId="0" applyNumberFormat="1" applyFont="1" applyFill="1" applyBorder="1" applyAlignment="1">
      <alignment horizontal="center"/>
    </xf>
    <xf numFmtId="4" fontId="8" fillId="11" borderId="1" xfId="0" applyNumberFormat="1" applyFont="1" applyFill="1" applyBorder="1" applyAlignment="1">
      <alignment horizontal="right"/>
    </xf>
    <xf numFmtId="4" fontId="10" fillId="10" borderId="5" xfId="0" applyNumberFormat="1" applyFont="1" applyFill="1" applyBorder="1" applyAlignment="1">
      <alignment horizontal="right" vertical="center" wrapText="1"/>
    </xf>
    <xf numFmtId="4" fontId="10" fillId="10" borderId="4" xfId="0" applyNumberFormat="1" applyFont="1" applyFill="1" applyBorder="1" applyAlignment="1">
      <alignment horizontal="right" vertical="center" wrapText="1"/>
    </xf>
    <xf numFmtId="4" fontId="10" fillId="10" borderId="6" xfId="0" applyNumberFormat="1" applyFont="1" applyFill="1" applyBorder="1" applyAlignment="1">
      <alignment horizontal="right" vertical="center" wrapText="1"/>
    </xf>
    <xf numFmtId="0" fontId="10" fillId="10" borderId="5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right" vertical="center" wrapText="1"/>
    </xf>
    <xf numFmtId="0" fontId="10" fillId="10" borderId="6" xfId="0" applyFont="1" applyFill="1" applyBorder="1" applyAlignment="1">
      <alignment horizontal="right" vertical="center" wrapText="1"/>
    </xf>
    <xf numFmtId="0" fontId="10" fillId="10" borderId="5" xfId="0" applyFont="1" applyFill="1" applyBorder="1" applyAlignment="1">
      <alignment horizontal="right" vertical="center" wrapText="1"/>
    </xf>
    <xf numFmtId="0" fontId="10" fillId="10" borderId="4" xfId="0" applyFont="1" applyFill="1" applyBorder="1" applyAlignment="1">
      <alignment horizontal="right" vertical="center" wrapText="1"/>
    </xf>
    <xf numFmtId="0" fontId="10" fillId="10" borderId="6" xfId="0" applyFont="1" applyFill="1" applyBorder="1" applyAlignment="1">
      <alignment horizontal="right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4" fontId="10" fillId="10" borderId="1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/>
    </xf>
    <xf numFmtId="0" fontId="9" fillId="12" borderId="6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left" vertical="center" wrapText="1"/>
    </xf>
    <xf numFmtId="3" fontId="11" fillId="7" borderId="5" xfId="0" applyNumberFormat="1" applyFont="1" applyFill="1" applyBorder="1" applyAlignment="1">
      <alignment horizontal="center"/>
    </xf>
    <xf numFmtId="3" fontId="11" fillId="7" borderId="6" xfId="0" applyNumberFormat="1" applyFont="1" applyFill="1" applyBorder="1" applyAlignment="1">
      <alignment horizontal="center"/>
    </xf>
    <xf numFmtId="164" fontId="11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0" fontId="8" fillId="7" borderId="1" xfId="0" applyFont="1" applyFill="1" applyBorder="1"/>
    <xf numFmtId="164" fontId="11" fillId="7" borderId="1" xfId="0" applyNumberFormat="1" applyFont="1" applyFill="1" applyBorder="1"/>
    <xf numFmtId="10" fontId="12" fillId="7" borderId="1" xfId="0" applyNumberFormat="1" applyFont="1" applyFill="1" applyBorder="1"/>
    <xf numFmtId="3" fontId="8" fillId="13" borderId="1" xfId="0" applyNumberFormat="1" applyFont="1" applyFill="1" applyBorder="1"/>
    <xf numFmtId="164" fontId="8" fillId="13" borderId="1" xfId="0" applyNumberFormat="1" applyFont="1" applyFill="1" applyBorder="1"/>
    <xf numFmtId="164" fontId="11" fillId="8" borderId="1" xfId="0" applyNumberFormat="1" applyFont="1" applyFill="1" applyBorder="1" applyAlignment="1">
      <alignment horizontal="right"/>
    </xf>
    <xf numFmtId="3" fontId="8" fillId="7" borderId="1" xfId="0" applyNumberFormat="1" applyFont="1" applyFill="1" applyBorder="1"/>
    <xf numFmtId="10" fontId="12" fillId="8" borderId="1" xfId="0" applyNumberFormat="1" applyFont="1" applyFill="1" applyBorder="1"/>
    <xf numFmtId="3" fontId="8" fillId="8" borderId="1" xfId="0" applyNumberFormat="1" applyFont="1" applyFill="1" applyBorder="1"/>
    <xf numFmtId="164" fontId="8" fillId="8" borderId="1" xfId="0" applyNumberFormat="1" applyFont="1" applyFill="1" applyBorder="1"/>
    <xf numFmtId="0" fontId="11" fillId="8" borderId="1" xfId="0" applyFont="1" applyFill="1" applyBorder="1"/>
    <xf numFmtId="0" fontId="8" fillId="13" borderId="1" xfId="0" applyFont="1" applyFill="1" applyBorder="1"/>
    <xf numFmtId="0" fontId="10" fillId="14" borderId="1" xfId="0" applyFont="1" applyFill="1" applyBorder="1"/>
    <xf numFmtId="3" fontId="9" fillId="14" borderId="5" xfId="0" applyNumberFormat="1" applyFont="1" applyFill="1" applyBorder="1" applyAlignment="1">
      <alignment horizontal="center"/>
    </xf>
    <xf numFmtId="3" fontId="9" fillId="14" borderId="6" xfId="0" applyNumberFormat="1" applyFont="1" applyFill="1" applyBorder="1" applyAlignment="1">
      <alignment horizontal="center"/>
    </xf>
    <xf numFmtId="40" fontId="9" fillId="14" borderId="1" xfId="0" applyNumberFormat="1" applyFont="1" applyFill="1" applyBorder="1"/>
    <xf numFmtId="3" fontId="9" fillId="14" borderId="1" xfId="0" applyNumberFormat="1" applyFont="1" applyFill="1" applyBorder="1" applyAlignment="1">
      <alignment horizontal="center"/>
    </xf>
    <xf numFmtId="38" fontId="9" fillId="14" borderId="5" xfId="0" applyNumberFormat="1" applyFont="1" applyFill="1" applyBorder="1" applyAlignment="1">
      <alignment horizontal="center"/>
    </xf>
    <xf numFmtId="38" fontId="9" fillId="14" borderId="6" xfId="0" applyNumberFormat="1" applyFont="1" applyFill="1" applyBorder="1" applyAlignment="1">
      <alignment horizontal="center"/>
    </xf>
    <xf numFmtId="40" fontId="9" fillId="14" borderId="5" xfId="0" applyNumberFormat="1" applyFont="1" applyFill="1" applyBorder="1"/>
    <xf numFmtId="10" fontId="13" fillId="14" borderId="1" xfId="0" applyNumberFormat="1" applyFont="1" applyFill="1" applyBorder="1"/>
    <xf numFmtId="165" fontId="10" fillId="6" borderId="1" xfId="0" applyNumberFormat="1" applyFont="1" applyFill="1" applyBorder="1" applyAlignment="1">
      <alignment horizontal="right"/>
    </xf>
    <xf numFmtId="40" fontId="10" fillId="6" borderId="1" xfId="0" applyNumberFormat="1" applyFont="1" applyFill="1" applyBorder="1"/>
    <xf numFmtId="0" fontId="11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/>
      <protection locked="0"/>
    </xf>
    <xf numFmtId="0" fontId="2" fillId="5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12" borderId="1" xfId="0" applyFont="1" applyFill="1" applyBorder="1" applyAlignment="1" applyProtection="1">
      <alignment horizontal="center"/>
      <protection locked="0"/>
    </xf>
    <xf numFmtId="4" fontId="9" fillId="12" borderId="1" xfId="0" applyNumberFormat="1" applyFont="1" applyFill="1" applyBorder="1" applyAlignment="1">
      <alignment horizontal="right"/>
    </xf>
    <xf numFmtId="4" fontId="10" fillId="12" borderId="5" xfId="0" applyNumberFormat="1" applyFont="1" applyFill="1" applyBorder="1" applyAlignment="1">
      <alignment horizontal="right"/>
    </xf>
    <xf numFmtId="4" fontId="10" fillId="12" borderId="4" xfId="0" applyNumberFormat="1" applyFont="1" applyFill="1" applyBorder="1" applyAlignment="1">
      <alignment horizontal="right"/>
    </xf>
    <xf numFmtId="4" fontId="10" fillId="12" borderId="6" xfId="0" applyNumberFormat="1" applyFont="1" applyFill="1" applyBorder="1" applyAlignment="1">
      <alignment horizontal="right"/>
    </xf>
    <xf numFmtId="4" fontId="9" fillId="12" borderId="5" xfId="0" applyNumberFormat="1" applyFont="1" applyFill="1" applyBorder="1" applyAlignment="1">
      <alignment horizontal="right"/>
    </xf>
    <xf numFmtId="4" fontId="9" fillId="12" borderId="4" xfId="0" applyNumberFormat="1" applyFont="1" applyFill="1" applyBorder="1" applyAlignment="1">
      <alignment horizontal="right"/>
    </xf>
    <xf numFmtId="4" fontId="9" fillId="12" borderId="6" xfId="0" applyNumberFormat="1" applyFont="1" applyFill="1" applyBorder="1" applyAlignment="1">
      <alignment horizontal="right"/>
    </xf>
    <xf numFmtId="10" fontId="9" fillId="12" borderId="1" xfId="0" applyNumberFormat="1" applyFont="1" applyFill="1" applyBorder="1" applyAlignment="1">
      <alignment horizontal="right"/>
    </xf>
    <xf numFmtId="4" fontId="9" fillId="9" borderId="1" xfId="0" applyNumberFormat="1" applyFont="1" applyFill="1" applyBorder="1" applyAlignment="1">
      <alignment horizontal="right"/>
    </xf>
    <xf numFmtId="0" fontId="11" fillId="8" borderId="1" xfId="0" applyFont="1" applyFill="1" applyBorder="1" applyProtection="1">
      <protection locked="0"/>
    </xf>
    <xf numFmtId="4" fontId="11" fillId="7" borderId="1" xfId="0" applyNumberFormat="1" applyFont="1" applyFill="1" applyBorder="1" applyAlignment="1">
      <alignment horizontal="right"/>
    </xf>
    <xf numFmtId="10" fontId="11" fillId="8" borderId="1" xfId="0" applyNumberFormat="1" applyFont="1" applyFill="1" applyBorder="1" applyAlignment="1">
      <alignment horizontal="right"/>
    </xf>
    <xf numFmtId="4" fontId="11" fillId="8" borderId="1" xfId="0" applyNumberFormat="1" applyFont="1" applyFill="1" applyBorder="1" applyAlignment="1">
      <alignment horizontal="right"/>
    </xf>
    <xf numFmtId="0" fontId="8" fillId="0" borderId="1" xfId="0" applyFont="1" applyBorder="1" applyProtection="1">
      <protection locked="0"/>
    </xf>
    <xf numFmtId="4" fontId="11" fillId="8" borderId="5" xfId="0" applyNumberFormat="1" applyFont="1" applyFill="1" applyBorder="1" applyAlignment="1">
      <alignment horizontal="right"/>
    </xf>
    <xf numFmtId="4" fontId="11" fillId="8" borderId="4" xfId="0" applyNumberFormat="1" applyFont="1" applyFill="1" applyBorder="1" applyAlignment="1">
      <alignment horizontal="right"/>
    </xf>
    <xf numFmtId="4" fontId="11" fillId="8" borderId="6" xfId="0" applyNumberFormat="1" applyFont="1" applyFill="1" applyBorder="1" applyAlignment="1">
      <alignment horizontal="right"/>
    </xf>
    <xf numFmtId="2" fontId="8" fillId="7" borderId="1" xfId="0" applyNumberFormat="1" applyFont="1" applyFill="1" applyBorder="1" applyAlignment="1">
      <alignment horizontal="right"/>
    </xf>
    <xf numFmtId="0" fontId="11" fillId="8" borderId="1" xfId="0" applyFont="1" applyFill="1" applyBorder="1" applyAlignment="1" applyProtection="1">
      <alignment horizontal="left"/>
      <protection locked="0"/>
    </xf>
    <xf numFmtId="10" fontId="11" fillId="8" borderId="1" xfId="1" applyNumberFormat="1" applyFont="1" applyFill="1" applyBorder="1" applyAlignment="1">
      <alignment horizontal="right"/>
    </xf>
    <xf numFmtId="0" fontId="10" fillId="3" borderId="1" xfId="0" applyFont="1" applyFill="1" applyBorder="1" applyAlignment="1" applyProtection="1">
      <alignment horizontal="center"/>
      <protection locked="0"/>
    </xf>
    <xf numFmtId="4" fontId="10" fillId="3" borderId="5" xfId="0" applyNumberFormat="1" applyFont="1" applyFill="1" applyBorder="1" applyAlignment="1">
      <alignment horizontal="right"/>
    </xf>
    <xf numFmtId="4" fontId="10" fillId="3" borderId="4" xfId="0" applyNumberFormat="1" applyFont="1" applyFill="1" applyBorder="1" applyAlignment="1">
      <alignment horizontal="right"/>
    </xf>
    <xf numFmtId="4" fontId="10" fillId="3" borderId="6" xfId="0" applyNumberFormat="1" applyFont="1" applyFill="1" applyBorder="1" applyAlignment="1">
      <alignment horizontal="right"/>
    </xf>
    <xf numFmtId="10" fontId="10" fillId="3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0" fontId="9" fillId="14" borderId="1" xfId="0" applyFont="1" applyFill="1" applyBorder="1" applyAlignment="1" applyProtection="1">
      <alignment horizontal="center"/>
      <protection locked="0"/>
    </xf>
    <xf numFmtId="4" fontId="9" fillId="14" borderId="5" xfId="0" applyNumberFormat="1" applyFont="1" applyFill="1" applyBorder="1" applyAlignment="1">
      <alignment horizontal="right"/>
    </xf>
    <xf numFmtId="4" fontId="9" fillId="14" borderId="4" xfId="0" applyNumberFormat="1" applyFont="1" applyFill="1" applyBorder="1" applyAlignment="1">
      <alignment horizontal="right"/>
    </xf>
    <xf numFmtId="4" fontId="9" fillId="14" borderId="6" xfId="0" applyNumberFormat="1" applyFont="1" applyFill="1" applyBorder="1" applyAlignment="1">
      <alignment horizontal="right"/>
    </xf>
    <xf numFmtId="4" fontId="10" fillId="14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horizontal="center"/>
      <protection locked="0"/>
    </xf>
    <xf numFmtId="4" fontId="9" fillId="3" borderId="1" xfId="0" applyNumberFormat="1" applyFont="1" applyFill="1" applyBorder="1" applyAlignment="1">
      <alignment horizontal="right"/>
    </xf>
    <xf numFmtId="4" fontId="10" fillId="8" borderId="0" xfId="0" applyNumberFormat="1" applyFont="1" applyFill="1" applyAlignment="1">
      <alignment horizontal="right"/>
    </xf>
    <xf numFmtId="4" fontId="6" fillId="8" borderId="0" xfId="0" applyNumberFormat="1" applyFont="1" applyFill="1" applyAlignment="1">
      <alignment horizontal="right"/>
    </xf>
    <xf numFmtId="4" fontId="9" fillId="8" borderId="0" xfId="0" applyNumberFormat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0" fillId="10" borderId="7" xfId="0" applyFont="1" applyFill="1" applyBorder="1" applyAlignment="1">
      <alignment horizontal="center" vertical="center"/>
    </xf>
    <xf numFmtId="4" fontId="9" fillId="10" borderId="5" xfId="0" applyNumberFormat="1" applyFont="1" applyFill="1" applyBorder="1" applyAlignment="1">
      <alignment horizontal="center"/>
    </xf>
    <xf numFmtId="4" fontId="9" fillId="10" borderId="4" xfId="0" applyNumberFormat="1" applyFont="1" applyFill="1" applyBorder="1" applyAlignment="1">
      <alignment horizontal="center"/>
    </xf>
    <xf numFmtId="0" fontId="9" fillId="10" borderId="5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4" fontId="14" fillId="10" borderId="1" xfId="0" applyNumberFormat="1" applyFont="1" applyFill="1" applyBorder="1" applyAlignment="1">
      <alignment horizontal="center" vertical="center" wrapText="1"/>
    </xf>
    <xf numFmtId="4" fontId="16" fillId="8" borderId="0" xfId="0" applyNumberFormat="1" applyFont="1" applyFill="1" applyAlignment="1">
      <alignment vertical="center" wrapText="1"/>
    </xf>
    <xf numFmtId="0" fontId="8" fillId="0" borderId="1" xfId="0" applyFont="1" applyBorder="1"/>
    <xf numFmtId="4" fontId="8" fillId="7" borderId="5" xfId="0" applyNumberFormat="1" applyFont="1" applyFill="1" applyBorder="1" applyAlignment="1">
      <alignment horizontal="right"/>
    </xf>
    <xf numFmtId="4" fontId="8" fillId="7" borderId="4" xfId="0" applyNumberFormat="1" applyFont="1" applyFill="1" applyBorder="1" applyAlignment="1">
      <alignment horizontal="right"/>
    </xf>
    <xf numFmtId="4" fontId="8" fillId="7" borderId="6" xfId="0" applyNumberFormat="1" applyFont="1" applyFill="1" applyBorder="1" applyAlignment="1">
      <alignment horizontal="right"/>
    </xf>
    <xf numFmtId="4" fontId="8" fillId="8" borderId="5" xfId="0" applyNumberFormat="1" applyFont="1" applyFill="1" applyBorder="1" applyAlignment="1">
      <alignment horizontal="right"/>
    </xf>
    <xf numFmtId="4" fontId="8" fillId="8" borderId="4" xfId="0" applyNumberFormat="1" applyFont="1" applyFill="1" applyBorder="1" applyAlignment="1">
      <alignment horizontal="right"/>
    </xf>
    <xf numFmtId="4" fontId="8" fillId="8" borderId="6" xfId="0" applyNumberFormat="1" applyFont="1" applyFill="1" applyBorder="1" applyAlignment="1">
      <alignment horizontal="right"/>
    </xf>
    <xf numFmtId="4" fontId="17" fillId="8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4" fontId="16" fillId="8" borderId="0" xfId="0" applyNumberFormat="1" applyFont="1" applyFill="1" applyAlignment="1">
      <alignment horizontal="left" vertical="center" wrapText="1"/>
    </xf>
    <xf numFmtId="4" fontId="18" fillId="8" borderId="0" xfId="0" applyNumberFormat="1" applyFont="1" applyFill="1" applyAlignment="1">
      <alignment horizontal="center" vertical="center" wrapText="1"/>
    </xf>
    <xf numFmtId="2" fontId="17" fillId="0" borderId="1" xfId="0" applyNumberFormat="1" applyFont="1" applyBorder="1" applyAlignment="1">
      <alignment horizontal="right"/>
    </xf>
    <xf numFmtId="0" fontId="10" fillId="5" borderId="1" xfId="0" applyFont="1" applyFill="1" applyBorder="1" applyAlignment="1">
      <alignment horizontal="center"/>
    </xf>
    <xf numFmtId="4" fontId="9" fillId="5" borderId="5" xfId="0" applyNumberFormat="1" applyFont="1" applyFill="1" applyBorder="1" applyAlignment="1">
      <alignment horizontal="right"/>
    </xf>
    <xf numFmtId="4" fontId="9" fillId="5" borderId="4" xfId="0" applyNumberFormat="1" applyFont="1" applyFill="1" applyBorder="1" applyAlignment="1">
      <alignment horizontal="right"/>
    </xf>
    <xf numFmtId="4" fontId="9" fillId="5" borderId="6" xfId="0" applyNumberFormat="1" applyFont="1" applyFill="1" applyBorder="1" applyAlignment="1">
      <alignment horizontal="right"/>
    </xf>
    <xf numFmtId="4" fontId="9" fillId="5" borderId="1" xfId="0" applyNumberFormat="1" applyFont="1" applyFill="1" applyBorder="1" applyAlignment="1">
      <alignment horizontal="right"/>
    </xf>
    <xf numFmtId="4" fontId="14" fillId="5" borderId="1" xfId="0" applyNumberFormat="1" applyFont="1" applyFill="1" applyBorder="1" applyAlignment="1">
      <alignment horizontal="right" vertical="center" wrapText="1"/>
    </xf>
    <xf numFmtId="0" fontId="20" fillId="0" borderId="0" xfId="0" applyFont="1"/>
    <xf numFmtId="40" fontId="10" fillId="8" borderId="0" xfId="0" applyNumberFormat="1" applyFont="1" applyFill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164" fontId="0" fillId="0" borderId="0" xfId="0" applyNumberForma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8B9F1A-8257-44AD-B6CC-3D679933A4C4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16ED97-6E34-4146-8AD4-053F1A2B654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FA2898-AA39-499D-8A2E-F197E73CEE3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455A41-7331-46AB-A3DF-76D591634DD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16AF1E-5673-407F-A3CA-B4DFE7CFEB4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747D94-733F-4740-B4C1-0A2F3922760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3A5EBA-1C71-40D3-B038-BA1A550D5A44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5AA90-8FEC-49AC-8A88-A60E0DBFFD09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C4BE92-839C-40A9-81D2-ABC1B5EDCBB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8BA95-0F7B-4C32-9E6C-D2F5DDDFDCE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62930-5536-45E0-833A-4A7CACAEE75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43CB2-3BBF-406C-B908-FE0AA20D00F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E9734-5B89-4157-AF95-5945CE13D5B6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A9016A-DB47-491E-8A9F-7B3EC45E9DD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C758A4-FB2C-4813-BC7F-FAA315EF77D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76EFC1-E92E-445F-9928-68C73816A8D6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B9B70C-B2BD-4145-BA13-653146AB9EF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6330C-5514-4A82-B8B5-9AD65B9BE48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668068-C6AB-4E82-88BE-5F53D9D318C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AA581C-5487-4734-9D6A-A0389C05911E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00A15C-32F1-47E3-B27F-47A27D3C5D7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49115-699F-41B2-9B16-5B2D767BFFB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96395-2333-4022-8219-881094D38674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AEAD7-A18C-4AF6-8F01-FC25C8FEDEB9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7C61EC-C986-4706-A6A3-73A49A119F6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673F07-157C-4051-8C55-38D1FB0E24A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39C5F0-DC22-4561-99E4-7D8FC6358A2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1414AA-2EB0-4737-AFC2-0219D42AE80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D9C7CC-B30B-44B1-B9B2-A3C8D8665D8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24CC34-52A1-4E46-9628-63BA42F90F4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DDB37E-CD37-4A15-B2EA-209988DCA657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4A28A7-1CEE-4864-A5A3-BEB090095E6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69464A-5592-4A3E-8E61-0F215C073FA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0A28B4-4FD0-4E53-A0C3-3099C614122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E052FC-DF83-423D-BC5B-6BFFE0B5A4A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676FB-1649-4E5D-91BF-0E73BA86F37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DFA1BB-2C82-4391-8A0A-7E38FF00831A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954FA5-0EA7-4E4D-917F-7560C6915ADC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BC0EF0-7831-4AAF-89CF-8BB09E8F2B1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EAC27A-92C4-4324-BBBE-D283B6F1FF1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C86EF-BCB1-45D6-A7F8-9EC1773C736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39E475-C87B-42C0-B058-6FA4BE69AB02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3184F0-3421-4C64-B5C2-A230D1AB23E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2D9419-CD98-40F8-8AA7-028533AEC232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4FFAF7-65AC-4B76-91ED-D2691EACCC17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CE401-0FFC-42DD-83C4-2A58459B623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A49FEB-8A9F-4F4E-97AC-2EE9297CC4AC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E7C974-DD7D-4F36-8B75-35233562A65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7A8054-78F4-49F1-AB90-0A809BD724A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837568-75C4-4F88-B11E-9AFF7514A024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FA57A7-6AFB-42C0-ABEB-32CEEAF0C85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B04C9-00E5-46A2-BB92-CA13132F5EF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DA1940-C3E6-42B6-A0DA-6AAE94F743EA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DE22AE-4789-41CA-9AC0-5A8F7F2F2274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C8FDF-F32C-4697-A593-8CB4C98571B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A4562-427F-40C5-848F-D7263DD17BC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E8D234-C457-40A7-B841-4561F70FAAB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20A704-C851-403C-A898-6CCB6E95E16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505CB8-DBEF-422E-BC55-98566AAC1D8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88CE6F-46F1-465F-B346-6BE24862995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60081-AAE3-4E15-9975-E5D71DEF74B9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EC741B-3190-4CB8-B67C-F6922A06AA5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E72BFA-63BD-4022-ABA8-F3575F13BFDA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75494D-8F96-44E5-A20F-D3F375128AD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62434-B385-44AC-8CB6-90E2F89FD17D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04F3AE-4DCD-448D-B8C1-C4485C51F244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84C61-173C-4AC1-AE5F-840FF928C08A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95FA1-1FA8-41B4-BD4E-77753B944BB8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3DEC5F-E2FB-49BB-8F2F-F7BD5A238129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0EE6A4-12E7-4FC8-AEFA-21EF934D16E0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842266-316E-4587-BE8B-FFA37CC4CEC3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55A67E-290B-4A3F-86C1-BA96863D3268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CC59A-BC3C-444A-BD15-62A808502A24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7948EB-C86D-4F57-BF3F-63EDB0F904B5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A35BF8-BCA4-49AF-A2AA-5C90AEC1CE22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1CB0FC-8344-4706-BC1B-5D326914CDFF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52CE8-EF7A-4AAD-BC03-7AF28009E3A1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CA788E-2D0A-49E3-A22E-D3D6D286C450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CB20DB-AC23-406A-8B70-A68EAAB8FC2B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17108F-B395-472D-AC7D-7E22DE9D8C07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BF457-E7D8-497E-9C2C-C1D836806246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B098E8-2795-49C1-89C6-C81503ED946B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4DF553-A8F4-4BD8-A4BD-AE6E379D312C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A37F8-53D1-4CF4-B76A-D5154FFE8AC3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DA9E7D-1637-4E56-9C00-B313087F01B2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319394-1AE0-4A3E-970A-BDF877B22C3C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F2AC75-EE4C-4410-A038-30097CA686A3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D705C-7CE0-48EC-8ACA-1834B62AD650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831EB-B25B-41F3-9030-203DA01467BA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DC323-9488-4A02-93AC-F5BED6023946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118783-79EF-4E93-AD4E-2E9A5D7D21E5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1FF4F-1358-49B1-97A4-6F099B7B7BD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94601E-60F7-4FA3-892D-97CC43B0AB5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86FCB-5FF4-4015-9FB8-533111F5361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91417-5AD3-4AF4-956C-EB76B688CED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E1444B-EE97-408E-AF60-6399BD58FD3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232E75-B90B-460C-A86F-03139D5BFB5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207C8-5892-4E0C-903E-511A7FEF571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3BC09-6052-4EE3-AD9D-A44738AAF62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142FBC-CE7F-490A-AC15-D6BC81B7B63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16369-E9F4-46D4-B15B-96223BA47D3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084625-91B1-4826-95BB-AAC324B1668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30712-BCAE-4276-8CCD-3CA092F661B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43811C-36F5-4543-A3CA-00E966EAF5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8DD839-04D3-49A6-AF13-206A053C0DA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BABBD1-3112-4175-A1B6-703D236CBF2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680D4D-0AB6-4A67-9336-96026433829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7021F0-4E9C-4A85-9577-9000F1D3D0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B971B3-7501-4765-AD34-66A90DE5718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BB0EBB-C41B-48A4-AEFF-23586030274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5E5D01-A7B6-4E99-8C47-90A4A19C08F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409CB-6474-4003-8E47-C516F003F46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A107FC-949D-432F-A3E4-5BA49FDCB09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5190F2-1419-40B2-8A2A-69475D25DC0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3EC874-271F-49CF-B136-78BE9D17FA1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DB0583-5791-4033-A3A3-8DEAED6934B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810D7A-01AF-4C01-A531-2210DDCA50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850367-D743-4ED9-B7D2-77ADA95061A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94829-4457-4226-A287-4E0015F3119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05DBE-FBAB-4809-8551-287EFBF7BBD9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94CD19-3796-4637-9C8A-1015DE4E0CF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BAF8A7-AD11-4852-9634-2B73F924934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DA251E-B771-49C6-BA7D-70349748860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8C5D2-AC47-4C8F-82E5-68F304792517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10C93C-3185-4133-B11F-CD08E7B7856C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51600E-C830-4D1E-BDAE-6917C4B47C96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5</xdr:row>
      <xdr:rowOff>0</xdr:rowOff>
    </xdr:from>
    <xdr:ext cx="304800" cy="304800"/>
    <xdr:sp macro="" textlink="">
      <xdr:nvSpPr>
        <xdr:cNvPr id="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85D52-01DC-4F97-A0BE-AD09DACB79B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D39F2-0314-44D6-A68F-DC8F0DF589D0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59C3B-2D84-47B4-8E93-4B1C30BBDDE1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56F98-A469-4D80-8C66-EE268A1ECFD5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0B464E-232B-427F-8F9C-D50ED10FB7DA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A4DAA-320C-4D24-B291-7B85569E2A65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373132-F418-475C-8651-01FCE3905DA8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714375" cy="304800"/>
    <xdr:sp macro="" textlink="">
      <xdr:nvSpPr>
        <xdr:cNvPr id="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78324C-AD8B-46C8-95D0-1A86CE312ED2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477F8-D07A-4957-82BB-AD95AEEB9443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9E162F-DDD7-4E99-93F9-922F40E8140B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A6647-81C4-4145-A3F2-8BD234C9B4DC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91CE93-17B9-416E-AA5A-C2A4F0F79317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7369A-383D-43DA-BFD6-AEC1E8EE3266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5B51E4-B1D1-4575-8429-080D08A79693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6E016D-D1FF-42E2-A52E-4535172063A3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088E31-1411-459C-A2C1-2BF28D856AB5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1F8B1B-AD8F-45AB-96D5-C7E98329B5F7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A4E6FA-8DCD-4464-A9B2-1B0D240D1D7E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159207-6D32-43B6-A608-3ED7200322FD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8635D-0454-4B30-B85B-EF3E16DE47D6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96B9EE-C222-4FF6-BA8A-3A133F74776E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35C8E1-BAE4-46FA-BA0C-4BB9E1805832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56D971-1D3F-4FA4-A6B1-46E82414C57F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B71F09-5394-46E3-9BD4-B10A1D4A4F3E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4C23B-763B-47F8-9FC2-062B14C0ADB9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42C867-A767-42FB-AA43-13A1F428350E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A4FD18-FEB9-40CE-BEA1-47C4D50D1A0F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35</xdr:col>
      <xdr:colOff>0</xdr:colOff>
      <xdr:row>5</xdr:row>
      <xdr:rowOff>0</xdr:rowOff>
    </xdr:from>
    <xdr:ext cx="304800" cy="304800"/>
    <xdr:sp macro="" textlink="">
      <xdr:nvSpPr>
        <xdr:cNvPr id="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512EB6-C9FD-4702-AE6B-098F9D1E54DB}"/>
            </a:ext>
          </a:extLst>
        </xdr:cNvPr>
        <xdr:cNvSpPr>
          <a:spLocks noChangeAspect="1" noChangeArrowheads="1"/>
        </xdr:cNvSpPr>
      </xdr:nvSpPr>
      <xdr:spPr bwMode="auto">
        <a:xfrm>
          <a:off x="170021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D3BB0E-C965-4A29-8050-2D9C07BA5F6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9AC90-D6A6-477E-A63F-1F2ED970B7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276DA7-CD77-4B48-BE4E-B2D9B89C51A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75F5F-1F65-489C-8331-9EF7C084A47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387CC-4932-45E5-8963-BE91E344BFB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3AD2C-0342-43E5-96DA-82320BE54C2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7D6D5D-81A0-47D0-891B-387035727B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0512D1-F6BA-4677-9A16-B261338DA15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4C8A61-43C5-4816-BF18-EED5A48DA9D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626000-803B-4A90-B7BF-EDB4F0E05C5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32487-B278-4407-A837-B14DD3AF99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32BB28-B909-4EA0-ABDD-D69C5831876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F7B72E-4F8B-45CB-87B6-4398734583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543C61-9DEB-4C22-9B62-7F182E3DDE3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B02369-357B-449F-9800-EA95AFFD64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A54BFF-BC9A-4A14-A724-885500967E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146610-E64E-4DAB-BAF8-68540E96EFF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714375" cy="304800"/>
    <xdr:sp macro="" textlink="">
      <xdr:nvSpPr>
        <xdr:cNvPr id="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F36D2F-DD5D-4460-BE75-1680E71BBA5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A081C1-EE99-4DDB-A12F-D762761C4B7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447508-F754-400E-9E43-088C2BAE58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BAEDC5-B4D1-421B-A36E-35DF99A7882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ADEBA0-9968-435A-9C6D-48C0BC441A3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CA8507-4A74-42BE-AF78-30110F07AE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D1E893-2A5C-43FF-AE58-A47E4F9540C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ED7D98-AE58-4451-8252-7D687465C7A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79421A-704E-4182-842A-4F899EF8F9F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5</xdr:row>
      <xdr:rowOff>0</xdr:rowOff>
    </xdr:from>
    <xdr:ext cx="304800" cy="304800"/>
    <xdr:sp macro="" textlink="">
      <xdr:nvSpPr>
        <xdr:cNvPr id="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3645C8-3691-49B9-B947-CB2247EC555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1328A6-B718-44FB-A1CB-6DAEECFF271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62456-9D9C-4BD9-9AB2-AAE99DB3692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C871E8-2DB1-4507-8DE7-7722F15F970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202A76-B22A-46A7-BAF2-CAE67D0451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0388C7-C72C-4A94-AEC6-0B95B6BA479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DF2A46-E452-4E42-9C3B-17089B18963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7E176-2261-4876-B212-DDB3E2119E4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2FC77D-AD5E-4B88-9402-3B29D39B303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D91D96-22EB-4483-BA98-69BA233BE93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4915A-F142-4B7F-B6CB-4EC1F40BE93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B05E6E-0043-4351-A6B4-A72D543282B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4208C5-3885-49E4-A76D-4994DD2D9BF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621B69-BE77-4A00-BEAF-E1E9F43E178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D7B11-6F49-48D7-A5B1-AF8BC6793E2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E6B76-7E9F-4E65-B87C-394439DAC35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FA081E-E953-4EBF-84AC-292C2B46A9E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179DB-6B9F-4C31-B24C-7AD87BB72D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C673A9-0824-4363-9AF0-4F05F36AAB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4A35CB-BC85-42FA-B9D1-32DBCB2BB79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5DA143-9F9A-45E0-B258-85AF5F03B0E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934B80-2560-4A4D-8C92-99E9D85EF56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197FD-882B-45FB-AD29-0A221A03D85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70E5A-4BCE-41C0-8C69-EC9ABA094D6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0FCD72-9813-41D4-9A14-743A2EF36AD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61660-FDC7-4B76-975D-D9E7B214E8D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A23E4-D75B-46CA-89F8-E4A3FDD450E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5C9627-A731-48E5-B493-77BD9A83275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B6DA6-A75E-4E67-A140-D58D116C1E3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03811-9B17-450D-8F48-8C9A86BFD28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57EC56-55A9-42D9-9DA7-49863EE9DC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C98EE-E542-4D23-B0DD-E7404D17CC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4A3393-B426-40A7-B021-22FBB223C27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937A8D-61F2-4D15-9DD5-6E26EB5124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AF990-A559-4BD7-BC37-323B47BFEA1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0B7AF-30E7-45C4-B35E-BBEA52E65FD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0093B3-FF81-439E-8732-790095C6BA8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F85E89-0750-41F3-8BDF-FAD5BFB82F2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6B2789-5E5D-45D0-B84E-6D8CFB8A460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46AB86-0A89-4DD8-9035-46B0011592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5FFB8-8F8C-42A4-B0A7-92E5B32A890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4C6EE-6C4B-49B2-9CE5-E989B5CC4F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7E053A-5B6D-4CD0-AF71-52B23F3B87C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767B25-B845-4D51-B6CD-59A94572A1E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27F1B5-308F-48F5-AFC8-4ED68D4D74C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ECDF8-669F-47AA-860D-B608C9F3C37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DB994A-9959-438A-AF83-63580616A8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982696-FA30-4814-9B9B-82C93CF752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D36F8-B202-44B2-B2E4-93F44497E54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F18194-F92C-4CFC-A32C-79C976B21F9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28575</xdr:colOff>
      <xdr:row>0</xdr:row>
      <xdr:rowOff>28575</xdr:rowOff>
    </xdr:from>
    <xdr:to>
      <xdr:col>12</xdr:col>
      <xdr:colOff>191954</xdr:colOff>
      <xdr:row>3</xdr:row>
      <xdr:rowOff>133790</xdr:rowOff>
    </xdr:to>
    <xdr:pic>
      <xdr:nvPicPr>
        <xdr:cNvPr id="232" name="Imagem 231">
          <a:extLst>
            <a:ext uri="{FF2B5EF4-FFF2-40B4-BE49-F238E27FC236}">
              <a16:creationId xmlns:a16="http://schemas.microsoft.com/office/drawing/2014/main" id="{41DF3B4A-59EF-43A8-9A3E-71348B5CC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7392854" cy="676715"/>
        </a:xfrm>
        <a:prstGeom prst="rect">
          <a:avLst/>
        </a:prstGeom>
      </xdr:spPr>
    </xdr:pic>
    <xdr:clientData/>
  </xdr:two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8C02B2-FB90-40E5-9D17-E659A41BF50C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2100D-D6C5-4085-BCB5-310C943548A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A9B03-86A7-4C9D-BBCF-C723A5F1E89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5EF5F-CFC6-4032-A2D2-096B850E6AA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D646B1-8698-4AF7-9BA9-11EB59CA003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BEC59F-BB7F-4D23-A511-F07DFA170BC7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8D2FBD-6B36-4B52-91BD-D56616F2ADE7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E27309-EEE1-46AF-9385-1561CC0BADC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27024-C51A-43F1-B2CD-6A83F25D679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4D429-A756-4330-AB44-BCBEF0F69569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7ABF47-FB3B-4DD4-8404-77A9BEA49744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66D702-A91A-4C53-A73D-FEF0AD6D8B2C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DC6147-6697-42B2-A9EE-A4CA6488ACFE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70B160-1525-4F0E-AFD0-6BFD4F46F82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64015-DDC1-4635-8635-36B3AC66BD06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20DF90-5C4F-444B-8C2D-A8590943603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6A043F-1367-4755-B26E-68750365341C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3A5AA7-38FC-4EBC-9068-3F6105D67C3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18969F-F373-4810-BB4D-0D0150B0341C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77FF77-B568-406E-A6D2-8261516951B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B606B-D39D-4F7C-82B9-5255A47F683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203A6-AC20-422D-B695-94356296C42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93C61-B641-4856-865C-7A62B5FEA16E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56FB18-4856-45F4-8899-69BCD73C189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7778D-2724-469E-91E1-A31AD00C6A1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85EBA-7404-4664-9BB1-7384E92282E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BD267E-900A-44DC-9BCC-A7E32FB6BB8E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C5FE7C-EF29-4B5C-A42E-44C73C2C384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05FCA8-D6B4-477E-97C3-92F136D3C57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D8B3C6-5204-4FCE-936C-B09959B8D9E4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B9700D-294E-4B34-B9ED-AB3DBEC69A72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5F396A-3BED-44EA-A90E-DBF2B847461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A96C31-6781-41F2-BF1D-87675E4548EC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F337E-8C5D-4383-898B-8C146E4BC48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B252B6-588B-4929-9E67-79FD1B2AF486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233520-5AD3-472E-9A59-C8A1BA8D2BB2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8BCF68-558D-400F-BC1F-3207AA51850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304E28-5AE4-4D61-847B-7988ECB2306E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7FD72-6967-4BA8-B6E6-391A26FFB21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937961-2418-465E-8743-7FA244C5AAD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308FE-CF51-46B9-970A-743CF99644A4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C3BD8C-F238-45F9-9ACB-8A9A9D4C7769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71D1AC-2AEF-4735-ADC8-DECDB1767F6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E3A54-683A-4087-8690-9E51EC499FD7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27FE2-54E4-4285-B641-EEA7C732A95E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D0ADD-E481-41DA-812D-3A79BE1DEE57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1F1243-E522-494E-A8FE-CECE5881EE5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54D5E3-1C58-40AB-816B-D70863C1350E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1508E-C051-409E-99AF-974176F03FB9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197475-B4AB-4CC2-9249-61C5BD28EB3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CAAB57-B8F9-4147-958E-5F04EE901D42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E51934-D88C-4482-ADAB-78722C5BE50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EDD884-A1B7-42B6-93DB-9A4209E4AE5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E51C9-0463-47F8-B87E-57A7BCBEE8E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32C175-2044-4729-BFA7-48B9C631541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962595-E9EE-4367-8E26-0B557F936FA2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BC969C-03D9-4D84-960D-8E88E540972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11A497-E1DA-46C0-B20F-74D46991F9B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DA39CA-F133-4F7A-94A8-90FE5631BE8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FEA5F9-E589-4172-AE59-9CA7E1450DA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1B5557-A365-46CC-BD72-542C415CFC9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8A0E6C-587C-40B3-9F07-8C53B128D1E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C1DB97-CAE2-43E6-A8BF-D89A0749EFB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F3C55E-BD19-49F2-A8D3-5060A5E81B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7A4C9F-CB2A-4B12-9702-512C01E12A1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66946-BCAF-4110-A9FD-173407B328A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9A270C-207D-4680-B375-60FB87DCCDB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63619B-A09F-445C-B7C2-16514B71CD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8FA05B-4BFA-486D-9934-3D2ED4B3F9C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1B85B-7271-4E57-AF08-E804DEECAD2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5B14D6-99A8-43F2-8E85-8A03696F125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87AFF-D036-48BB-8D1C-129EB490ADD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E79E0-F165-41CB-9BDF-B66EBF61A2C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EDFD29-5FA4-4579-9E2D-015DB7122ED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4A4A2-B55A-4B43-A72A-50C1094948B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31250-C594-45D2-A695-E3DD007041D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8C2328-2C0D-4BF4-981A-05AF195FFA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398186-9202-46A8-9E3A-1C50F931E44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872D5-848A-4172-8C9A-45095E7F55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CEBC36-60B0-47B2-9064-C102BAFD3E8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8E3E01-7973-4FFF-B060-34AB35FA45E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02BE8C-AEF1-4FDD-B66E-FA7EF5BFED9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709F6-4693-40B4-A72A-36F8096E97A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15DED-0B7A-402E-85D3-4023DC1192A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DE68E6-D8DC-4793-A5D5-98E6A3FC8D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FF693-29D0-425B-9CB5-242D4D2034C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557A39-0AF7-45D3-919F-E2D98AE01A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0AB78-F3FD-49E3-8A48-2EE79FDBA14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AFB86B-F64E-4530-897C-ECFC001932F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16076-77F5-47E5-8044-CE6E335B50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32FC7B-64C4-42D2-887B-EFE416E79C1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4B60D3-C9F2-49AC-B640-A7DC978DDA2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633B6-B01C-4459-8D06-BE714F7D43A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3A7366-FF33-4DAA-B712-745164E4805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32F8A9-3342-4622-988F-B6F164D177B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01434-723B-44A1-9233-D54BD538111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DF757C-3B08-4A7A-A6DC-92DA1254AD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DF4E13-3D2D-4187-B2E5-F826D5D0C23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11389-DBA9-429A-8F1F-000AB83BC51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2DC011-FDAF-4D6A-A9B8-EB2B7F22C2D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1DCE8C-662D-4BAA-9C71-E72EB7D033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F7A382-61EB-4D04-90A2-78C02591D47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26CE2D-7814-4931-9334-6E38236D3E8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FFF5A7-20C4-428D-B963-2BE5EB71732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607FAE-874B-4F13-A318-E702E98714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4B6B4-9685-4651-9224-D1CA5B998E2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F43142-C2A1-4E9E-B752-F96360F1325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D06C7-E7A6-468D-9A12-560EDF3655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810C4-A15E-4D2E-A7B4-53621E03425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C068F-8E47-4337-AC4E-D760F47925F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3FD3AC-5F8E-4AA7-A9C9-619922FF762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E83527-46CE-4D8B-A0E3-4F9275F288E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DCEEFB-2831-49C0-8013-1E702251D28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488F27-3854-461D-89B4-F68066434DF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5079D-E8E2-4E12-92C8-9716CC6B332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A7FE1-A3F6-4EB2-AA5E-99611326329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81184-3631-4E92-999A-1BB66CE39FE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69ABD3-97EF-442C-8F3D-59621C5E7E7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63C09E-F43E-4DF7-917A-E827494141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C701E0-BDE0-455C-8DC0-9BF3C05043D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D78BB0-72A1-4257-803B-5509E88B146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E5421-80D7-4552-8117-38BCD1C4104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0664EF-CB2D-4E26-902D-190BB0CD6AB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35006E-2080-4F63-BA34-D43D06DC8E9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083F43-C997-4814-AC2B-AF597BD327F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A38AB-8C24-42D8-8E38-3463C2577C0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0794B-3256-4E9E-B6FD-F3A961B36CC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16728A-16E1-4137-A65B-845108172A6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1A7F80-C144-4D71-9D14-C9182851546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45E3E5-8A1E-4BCC-B1DE-6C4DBDB8622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88B11E-4A85-4984-ADA4-1679129016A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3F3553-CB40-4971-AB95-EBDEF91214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A2854D-B18D-4738-9DCE-A07A5CD950A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0511F3-C297-480E-BE96-B323D95D72F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44B68-14EF-4A9E-B513-4FCAAA3267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9972EE-60EE-48FC-843F-24DB5CC4A5F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0AC7F4-4CE1-4F62-8B47-149549581A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C9AF33-BF9B-4BF2-89C3-6F38BD5F072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47504A-0264-4ED9-9B3F-2AA9729121C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E0589E-BF54-4F34-AD93-5D5E3271EDD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3CFB9F-E68A-4126-9D4F-1D39661561E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C12EBF-5CD8-475B-B65E-820A285891B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AAFFBC-612F-40D4-941A-D13D43963FF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BA7E3-235D-4AB9-8E38-BAFD33B4C45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7E6160-C249-4C29-AF3B-C066E96B252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EE6AF5-ECF2-40B3-A070-C083E24A7C4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A1F317-5732-4942-9915-90AEA7268A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680CF8-79AA-4E2A-AF4D-AEA6E007883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8F0F74-7187-400E-A0C3-E21EC7C2BDC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46C1C0-0397-48BB-9BEB-B0751F85FF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42202-0FC5-4DEC-B043-2E7A75C2986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A25E42-1414-426B-9EB6-4B39E5FFBBD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339973-FFED-4BD2-AF29-1C875D915A9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6</xdr:row>
      <xdr:rowOff>0</xdr:rowOff>
    </xdr:from>
    <xdr:ext cx="304800" cy="304800"/>
    <xdr:sp macro="" textlink="">
      <xdr:nvSpPr>
        <xdr:cNvPr id="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E0C74D-DECD-4C83-8708-85F7BC023F5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1276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499359-5436-4F8F-AAEE-EE80AD9246F7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E57FDB-0BC9-49F9-939B-00387C482D6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370C1-8F67-4DFF-9BD3-67FD50DB89EE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3A7871-E092-4CFC-A860-4919B22300F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F1FC6-F3EB-41B6-8F35-7CDCB99B0209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E74D77-B3C5-4861-ADB2-9D979C2B2F8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B80852-02D2-4F4C-9E6B-3969B59C9A7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BFD758-2D9E-4208-BF36-B138307CB5A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D1D5D0-4CBC-4997-97A0-E400AD9EBD6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BD248-B45E-4C74-85D9-B2E00D3A702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9E1311-5F34-4843-90BE-4F0FCE4E0E3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09CA5D-5804-490E-ADBD-2AB643E0FD2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66747-7F19-412A-BB63-6A8CDC1A60E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CD8143-65D5-47D9-89FA-39CA9475663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B0CBA3-CCF2-4A3A-B130-3F375D393D02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6AE73-C275-4FDD-A6E9-43990C931D5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F1DEF-DF38-4CEA-8050-3AA05BA1DB1C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FB147A-5B15-4700-BEB4-241F33597DC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D7251E-7101-400F-B68B-7198EB2E2E0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47EB34-208F-4580-81C2-F615253A8817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CE0D73-ACC3-448C-847B-D5E3ED82D276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C70338-B605-42B3-8112-27102E7A8A1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20</xdr:row>
      <xdr:rowOff>0</xdr:rowOff>
    </xdr:from>
    <xdr:ext cx="304800" cy="304800"/>
    <xdr:sp macro="" textlink="">
      <xdr:nvSpPr>
        <xdr:cNvPr id="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5C9DA5-9971-442C-9735-D2A3A1C65A17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3952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106B11-A0E9-4216-BDC8-2D33A1A87D8E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40248D-94C0-4149-8DAF-929722F6D69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C6C052-A55E-4D1F-82A5-8A52B65F03E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E6FAD1-D1D4-44F5-9C85-05B356100F4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BC2EB-DD22-4D07-942E-4E1045AB112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5C386C-498C-415F-ACBE-615EC28F8C0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6491B8-8B3B-40D0-93F0-82C5D27A2AF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85B7D2-5C2A-4F40-A25A-B4F01A68CDC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17BCC1-67E7-4DBA-BF20-D5B132EF640D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2FC926-3712-4A46-A4C5-20317EC2FD69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E52971-0AC9-4B46-BE9F-81AB59811EE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DF916-8B10-4187-9127-E168A2C7D4E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3FD44B-68E7-4C6C-9390-7621764BA9E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361C0-1734-4ABB-A9D6-B596B473CEE6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40748-FF37-49B6-A1EF-07294EA3F51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6973C-2284-44FE-BAFE-03BD9D23AE46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EBB12-3D8B-44AB-BFAE-68C8A9494D3C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C195A-C56D-48D9-AEB9-D1463AC6BF3A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D0EEBD-70AC-43CD-A2AB-C8BA4E45F33F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C94BA-C260-4AFF-8E2E-F70F7B43F3D0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5A3566-17BE-46F2-9B7B-CDE5EC2897D5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2178A-7883-473F-9958-211CCE401D08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9C870D-33E2-422C-AC4D-69F2D49FABD6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E45F2-DF84-480D-9FA2-5A357E770124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E0EE73-8A44-4568-9E25-5283F4851F01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987AA-EF88-4D80-B9EC-15159D6484E9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B0CD2-F006-49DA-AFA1-DF67D41EA37B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38</xdr:col>
      <xdr:colOff>0</xdr:colOff>
      <xdr:row>28</xdr:row>
      <xdr:rowOff>0</xdr:rowOff>
    </xdr:from>
    <xdr:ext cx="304800" cy="304800"/>
    <xdr:sp macro="" textlink="">
      <xdr:nvSpPr>
        <xdr:cNvPr id="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DA083-DE26-48E7-8680-A9607610B903}"/>
            </a:ext>
          </a:extLst>
        </xdr:cNvPr>
        <xdr:cNvSpPr>
          <a:spLocks noChangeAspect="1" noChangeArrowheads="1"/>
        </xdr:cNvSpPr>
      </xdr:nvSpPr>
      <xdr:spPr bwMode="auto">
        <a:xfrm>
          <a:off x="18859500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B46A6-A96D-4848-B8F5-5C493CC5FC2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DD711F-84DC-4D72-BDA3-3E3FFACC6DA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64BCD-E4D8-47AF-A771-7D2838710EA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D05836-F97D-473B-8DEB-35D5FFE37E0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FD8CE-2618-46CB-900D-430CBEDDEF7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F0ED7-F426-4198-BB5D-D71A71860D2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820E90-966A-4837-8DF3-2E1C0DFD5D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4317B1-83FA-4F8F-8507-57DFDC96D74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5E8A5-4B4E-49A2-8055-6CFFEE1F35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02882A-BFEE-477A-A977-D65C5EB483F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F59AC-C072-4F69-83DA-116B2DFA894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0F92B2-07BD-4B49-AE53-DE1168A58AC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BF2118-E036-4D2C-A2DA-7076FBBF16D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2B0EC-1055-4B27-8B35-21B8D4BF6F1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4597F0-31D3-4681-8D5E-565FC6DD247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C5716D-0B1A-49B5-887F-AEE0B73A9CF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066595-A4BB-4269-8291-AA783A3377A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3B135A-1E78-4D0C-9CA1-67458825C09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907B8B-86E3-4C9A-A21D-A80B7A4BD13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F3969C-EEE6-4256-8DAF-AF5B0659643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6F0AB9-5C60-4033-8E82-FA0F6101668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CB7F56-6C0D-4C81-BE9B-8355D893A37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7FF4E-0C5D-4C31-93D6-C85671FC427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3F8E61-3343-4CCE-9B7B-D9E669FDA56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79A706-2084-41A5-9FB9-55D7473AE8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9ADD7E-5738-4045-98C8-E25777C2DB5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7C1DB1-CA0A-433F-A372-34724FC99BF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AC13FF-FF98-4A05-88A7-F02390B0A7A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D3775F-D5A9-4461-AEED-67A081643C1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CD018A-63A4-4AE3-BE1D-9E1DA06CD68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52692C-ED47-41DC-ADB4-4D98E4E875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102EF-86F3-42DB-8AEC-C2375BBC497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046060-634F-47A6-B82A-04B12062A3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037D7C-9F49-46E5-8539-0DEF4C7753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3DC6C6-9540-44B2-A445-47A287C3413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E4F62-9D93-47ED-9338-B36029C232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B4CFA7-166E-4907-85EE-9646B4C095D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0C83D1-E83C-401B-9624-3DC5D9E7CF6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C99977-ED60-4436-B8B9-2D46699E97A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3961F8-25BA-4FEF-8B63-EA98B9575F4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203CA4-1F87-493C-B781-AFFD2E12060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0AD3E5-E068-42FD-BF2E-A091DEFEC40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71091-FC13-4CE2-ABBB-4FC7E809D3A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563186-90E6-44A6-BB88-05D4849F61F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62E614-232B-487A-B59F-34B051A8D73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8ABD55-998F-4FB3-B9AE-5F1AB5565E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8DCE9-A261-46D9-AEE1-D500B96D93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9F7331-45AF-4523-95DC-A321314797A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5AF2A-54EF-4EC5-9EAB-166391236E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BA90F9-56AB-495A-8475-3FB46D074D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529D2-BD18-4A97-9256-18B54C93A00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D09EE4-5199-45D0-89F9-678B9580604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39879-6CA0-4D45-B6D1-DA08756F8EF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036BBA-232B-418D-AB17-BF3D3E25CFF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14231E-50BD-4534-A43E-13C2DDC13B6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7B2E9-36D6-43A5-8C2B-BED65D20C78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29B642-1736-41C6-BB41-79EA83FFC63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6856EC-622B-4B0E-A6E5-C8EEB67B5F4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6372F-EAD3-46B0-8F78-AB7B870A9E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25A6E2-48DA-43AA-939E-893752677F2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8E4E47-3978-47BB-9550-F93E60F3C12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A2DC25-0231-4E46-A8B8-A6A1F5052E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92B7EC-5960-4966-A5D8-CED0C1D47C3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E60B23-DB52-4721-9F43-0E4D7EFFD81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653B79-697C-4397-84D9-AD952B2583E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EEDA5-3A49-4FB4-9769-BE690DE490C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412DF7-3DCA-4CE2-A06C-A0529E70BAB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D09AD1-66CE-45F6-9406-8D2DC789AD4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78F5D8-3BA5-4A50-AB67-54A2322FAE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D3C74-2D7C-4A84-B0BC-5D251769E6A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B9EC18-7515-403F-8B0C-F05B5BAF49E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118A16-591A-4FA4-BA84-8F4F4EE37CB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295A5-A60A-42FB-971A-FAA4391D24D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53611C-6BD6-40B5-8F05-0894437355D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E411CE-7FA1-4332-94E7-102C44CF02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77A39-B6B8-4885-83A5-C9DBEA30B4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7E6BD-51D0-4712-BF5B-4C3A9244426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F1645-43E0-4E26-A83C-177AFE2351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FDC927-C711-4D3E-A501-4D557EC0CCD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364BCD-E883-4DCF-A704-431A7CF86F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6D034-9C22-491D-9B23-9A3F2B41BFC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96FE82-38DA-4E4C-95F9-BF34BBB54ED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FE4BB7-01F6-49BD-BD9A-1A00BE0C74D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2DEBC-0FC8-44E0-8E64-43328C23D28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D151CC-57E1-4FF2-926F-F844C9DD988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D4EEE-1364-4A35-A82C-4C46DA484E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3AF9AC-3C86-4D1D-922C-7F921AB540E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7CFB43-7990-48B4-8458-C3EA4044A6F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B0C6B5-AE41-4A82-A6CC-9FA850E8FC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D6CE3-2020-44DC-A3EC-29E4BB6D0CF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0FD412-325A-454F-8790-2CE095CC392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4D843A-467F-4734-A23C-AF3C9DC5058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5E6724-BCF4-4347-B1DA-E9CB3F5ACEA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CFA3FE-BC96-4B34-AE91-B52914162C0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E4777F-0AF0-487C-B767-04E9519DEE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F0A224-CB70-40C0-891A-677579B3C51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280685-53B3-4ADA-8339-4FC4C5FB10C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2294F4-4C4F-4040-B226-9A175F59E03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290E1E-4267-4F2A-8F0F-2850D59FCC3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F26D60-3ACF-4082-8320-10C8A23E7D0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611FEC-3594-458C-9AE6-5561CEABCD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53625-F258-42D5-9E0A-726B893AB04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ED96C-A4F7-4140-895A-0C6E874C408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10677F-84BA-44CD-AA6D-1DFD1334CD9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1577B-0A51-4DAA-B3F2-631EA811098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20D543-45A2-415D-A48A-08854C6EA73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BC373-6B78-4142-99AC-13E1A77B2A9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3758AA-BC84-40E0-AB7F-18C47FB072D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31FB3F-D68B-451B-AFD7-7AA8A55E2D8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0E9560-52A5-40CD-BC56-2B5BC351157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DA6A14-134C-4958-A9DE-FFEED8FC2E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AEBB6E-D5D1-4809-BC52-949FADBEAC4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CF7174-FE2C-4ED2-91B5-1DE6709F1B2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C7368A-71A0-4870-9B11-D11A7D578C6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44C046-BA2B-4840-BFC9-4764AAE91C0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D883CB-01E3-4159-BC01-D248230D671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33297-5CE0-4A57-90B9-D753037CD6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8F329A-F50B-41FC-9ED0-1DFD6FAFCB8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137537-3613-40C8-AC58-D79B1ECDB35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427F8C-7242-488D-B3EC-ECEF1AB150D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CD0D5-A22A-4381-8FB3-08A43C65B2D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D0AB90-A885-403A-8C80-CA487FBDBF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85BA1-166B-449F-AC55-6B21DE6C8B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07B7CE-4D7E-46B1-AD48-88AAA693CFF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3AD603-DAC7-47B4-913A-E90BD532C9D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176C8C-BE7A-4915-A211-0861E064F4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6DE5DE-2020-4738-B2EF-95D3114B3BF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AD98F7-8133-4DAD-8D0D-4795F8934A6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F4C83C-9EC1-48D4-B0BF-FCD551BC746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92C3C-4F58-48DF-8D42-1C7DA6A0381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C396FB-616D-48EB-8C3E-7C9B87A8C2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6E0F34-EDDD-41E3-BDAE-6BE4DFCEC4A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AF5D73-CCAE-4476-8A5C-CBA75178B49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16029-7B73-447A-A597-397DEDAE7CA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28B07A-2E13-4A8A-8F05-9DFF6BC9D3E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85C720-81FA-461C-9D87-6B6C11B311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7FEAFB-F1CF-4EC3-B550-A985B66883B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A3700B-BE76-4098-96DB-552105B6997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C9A8E0-3905-4A0A-8741-B95300088B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F3624-B0F6-49DE-A33B-0CD83D122A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C7D65A-D5DD-4FD8-9E14-C5130C71D9F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98BE7-99DD-43FE-9DFA-97292C5141E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CD20B5-3D4E-4DE7-A177-5B7D5D83616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70F4B9-606B-46D4-90A5-3497BB52D68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E847B-A9E0-441A-B2D1-5D853F32F79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E7372C-4CCA-4BE4-9C2B-90183780EAD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46709A-26FB-46A4-87FA-48BDD058916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E78AD-8B1E-4CF7-83B0-FDD63BF8F01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E9A94-B9A8-48FB-ABED-FC95DA15895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402A0E-6612-4CA6-9AD5-7EF4D06CFB7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A6FDEA-53D7-4807-A1C4-49B254ED70A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1CFD2B-CC00-4929-AEC4-32A3B20C2A1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E0C2D-C639-4777-B95B-C32C52D544E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3F2442-90D0-4BED-A7CF-9726D6B9BF1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946FB3-4393-49E8-A374-425D7873693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50D498-E459-4CCF-B7E5-E557144D1E4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C79D9A-C7EA-4BD1-82B7-FE8AECDC510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42A435-D493-40CA-BBCD-23AD9E8F75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01C4CE-8ECB-4C97-AAFC-C9F0E02E9E9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2B96C4-4253-4459-930B-9C4F1F8A2CF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B58052-DCD9-4601-A1E8-661C710ACFC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C62B1-96D1-4EF7-B7B5-9E1ACBE2A91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79632-F35F-4333-9E02-972CFBBE4F9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AC6952-2D09-4E30-9095-97C3795D6D0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2A1820-09D1-45F6-AE8F-0CF259D6A57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A1EC2C-1C9F-4DA6-A695-1192C4AC4CA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E2A031-28B8-4460-8FED-CF34869F39E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F30EB2-7B58-4658-B68E-1F77FA49207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9C6AFD-1705-40C6-994F-3AD47607293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FA3D99-1934-4334-BF5E-F5396E1CC81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370DE-783E-48BC-BD82-7DA9CA79BC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686BB-3EB3-4E70-ACCC-C5505FDF0C4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3B8CDE-6783-4343-9CE4-C88B94BA88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DDED5C-742F-4741-AE75-7A272FB206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FF6125-71E0-489F-9F4E-B634F4EBDA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B40273-E459-4AAE-B154-67E8799B1D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66BB72-0D75-41CC-B7D6-71988231F16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25F9F2-8CC9-4F2F-A668-83814FAD7B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913CE3-402D-453C-8FB0-7715F7CEE9B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5B7A7-5F9B-4624-A07D-DEFC89245D8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E44258-7371-49B4-9F2D-BD9E83C08FF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8F2209-C936-462F-B487-D043DA23950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E53CCB-1D2B-4327-BB2D-D451525851B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8109A6-67ED-4A90-AFD7-150A67DFE26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9430B-B02E-4C1E-B082-CC9F0C2D3A9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603331-58A2-4D90-9440-ED2C92BD75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951DD8-0C1F-44B7-A5C3-3EB4BC780F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2BD8ED-81B0-4821-AB11-A58D06376D0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6DEEF8-FDCC-44B5-A28F-FAEB455F956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F566E2-F84E-4C21-AEC1-CB37285CE63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B70E55-99B0-452F-89DB-34B90C66EF8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4E2273-626D-47A4-A30F-23C7C7AE69C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34C2A1-CDA7-4963-9174-7EAA493B3AE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297A3B-EE75-4D54-AEAB-98C2872FF31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871C99-4599-4C14-B2BC-E6D06B7350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46DF1B-D46F-419E-B0EE-334B1673CE2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366B3B-6F70-4652-9183-1D2BC52A58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5BABA-C4D2-4FF1-A822-777BFCDBAAC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BEA4DD-04C3-4E51-AC22-536157CC61C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15A86-14E5-43BE-87D1-3213F53038E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079E6-D728-4B95-806A-C198E78093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28113F-A278-4B3C-A57C-83A725F46B5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FA894E-FD53-4BB8-94CE-4DF1FC6A17F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F09747-C851-4FE0-91B9-FEDAC2CF8FA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D72EF-A689-4044-B0EF-5513971CE1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448624-14F6-4A43-A795-B60AD27E83D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F8EF38-4175-4EF5-9CE6-9B36E53221F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E105D0-A573-4CCF-B0E5-E6A0AA674C2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824D0D-303C-4216-AE11-E5A49CD3EF5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D51861-C045-4D38-8DA6-1C2F1DF002C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8BBCF7-7E67-4985-96BE-5214397479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0DA261-918D-4E1F-A192-531E68718FA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6E98F5-BD43-41A2-9B4C-6940029B291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F86AB-37F4-45D5-BD20-CCC3B3C5752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DB1C96-247D-4791-A243-D3AEB772277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611855-4D7F-4A59-A0E7-C64A4CABBCD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DBC069-0138-487E-8A77-A80995E8075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EF5A1E-F588-4097-A1EF-4FB6C2FCB35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31A37A-26FE-4950-8BCE-1825805408B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44F2E8-8D0D-4A16-A0B8-D02EF8B6916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2A965A-8B7E-4E9A-B330-EADBD955BB2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B0E027-4B93-45AA-B9A6-94DB01D3249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83FE45-1AEE-4F2A-A3D4-73C2798A8B9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55D3D-B4EC-4C6D-A594-54CC9BA6312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143BB-2591-4E4C-A29E-344D5F16CC4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2FF8C-319B-45FE-8B48-15F345A72C9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8A7D31-5E67-4FD7-87A2-E00ECAEE6D4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E53EF-D79C-4660-89D4-FB65B7A6A2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1B2EDB-F777-433C-8E23-3C95578A6D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78C4B1-C5E7-499F-A120-C9389B2E162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479404-11BB-4309-86DC-3E60D1DB755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6D078-E81B-4E07-B7DC-B9382769D31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3D0CC-446E-4845-AA6B-2128D051834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E91F73-A394-479E-8B6E-E9382CE04B8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7E40C0-CAD2-46EA-857D-325872DDB76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21D871-ECDD-47CA-8B1F-B292AE1485F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63551B-466A-44F2-AF34-2D98F65A781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7275B1-8B9B-4156-A1AB-F937020A2C4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E72884-3AC3-4438-855F-433BD9344F4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DCB79A-B2A1-4FC7-9512-0A6A90DA04A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E7A890-E445-4BBF-8773-9DA75011224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EFA19A-3886-4EB8-9F17-1434DBE8A70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51B720-C504-4749-A542-ECCF98EB6F1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3745E6-E3BE-41F1-A344-7983D096F2A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815C7A-1A82-4CD2-A740-340241F17B4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33F223-412D-4602-9557-396FA2CB22C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A95C8-FF70-4B75-95B4-834AD0539FA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E7EAE7-965B-4DE6-8BF8-8B310C52521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1AE10-7E23-4349-AC00-2EA864B88CD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8A1EB0-49CF-4C18-812A-B8144EEC40B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CE9109-F065-40C9-998E-E1BD75B9F62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6618B2-DE04-4CB9-B1B4-9B2A7276A3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76DAA0-AF2F-4155-A5E2-107A66B9B66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8C5FDD-ED7D-41B3-BD7A-0D24E1C9E1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5B0D7-C73F-40A9-8D3F-48A72B9F620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7BB1A6-6943-4574-9DE8-27049BB2EE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CFF387-1462-4F03-BEF1-708E39D3B9E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D8609-0E47-4463-A5F4-7DBEF192574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161DE0-190E-4364-BE22-58B213C852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30647B-DEE8-40F5-A70D-2DCA19C307F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DB2FC-2ECB-4F78-9124-F0AA7C2337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CB0421-91BD-49BE-97AB-8211B7491DF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DE998-5E74-43EE-BB81-FAF1D05B934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B26E90-CE44-4ADD-8D4B-2455AC1CE09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0726B2-ED5C-4B43-A68B-7AD0B219C22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0F5AC-5B6C-4F59-B1B7-D047E448B4E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0766A2-3702-404A-A1D0-4A7BC139EFC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7BCA57-9791-47B8-85BF-9F6EFF11A3C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DA7BCB-D74A-4108-9355-AC3FABFA518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3FB6DE-B46F-4D3B-86CA-F61CFF64CE1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37CF88-3B2C-4E39-87CE-FF5A9FF035C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A695CA-8D57-42CE-8DD2-6B4D639A50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2C97F4-A8F6-4A89-9B08-EC7A7EDC679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649B0-12D1-48C8-89B2-FAA303D9241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203C5E-D483-4890-92BB-70B4BD0750B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C053A-86B8-4840-A502-F2A9E59D7CE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ACDB78-7700-47AB-86DA-CB87DB8C4F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A70043-ADC0-4A2B-BE73-B72EE090B66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0C478B-1500-4B11-B9B2-584FBA44F4A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9974B-D770-455B-9B2A-587E1BDC8EF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A7B34B-A879-464D-8622-DA6AE4E0930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1DCEF-2E99-47E0-9552-9EE1AF9E22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37ECB4-33C3-4539-B0C3-817B98B2065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B5C1A4-7471-4867-A315-D10808A885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3F3A0-48E3-4061-8673-EB285422759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BD2589-9CE5-46F7-B1CE-AB11AA50AE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80F65E-9BBE-43F4-9B19-6651730E1E2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C98B18-E597-4368-A758-A19473AC35E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10F77-5DCF-471A-9A2E-519EC483174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1FF72D-2BD2-4F63-893B-70CB15D85AE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666557-32C8-42F6-B52F-611DD5769F8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847D65-51BC-413C-AFE4-9D45CB85BC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F946C4-972B-4E11-9B1E-CD7C9E1A454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105</xdr:row>
      <xdr:rowOff>0</xdr:rowOff>
    </xdr:from>
    <xdr:ext cx="304800" cy="304800"/>
    <xdr:sp macro="" textlink="">
      <xdr:nvSpPr>
        <xdr:cNvPr id="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11C7E0-73F4-40FB-83BD-28840A710AE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1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F2ECF4-2938-41E1-84A8-72CB4A369A0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B9A40-FC1F-42C5-A92D-64D7C3F8C66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B33619-F7A1-43BD-B037-DFE532C8C4E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1885B-913C-495C-8B8A-E78712E2D0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EF99B-DD38-4C18-8A01-4F3124119FD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DC614F-9390-4AAE-AB6F-3B775A3A0FA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34FB43-1FB2-48C5-B62D-A406948A315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30D913-6F51-40A5-837A-5A9F8B32013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FF751D-8577-4791-AE29-8FE2593339E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A0678-8B73-4521-B354-D54DEBC06A6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A6018-A2DE-466E-BD38-C4CB8CD52FA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1DA59-5CFD-4D1D-9FEA-F8E3C9D1528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E63B60-5086-4263-A0B8-4BDE7CC742E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24C35-922F-4B59-A18E-4AD45A1A933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BCEB9-009C-4423-A071-7E15F70866D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7D847-36FD-40BC-B7B9-922D2DDB83D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1C4188-308C-4E2A-B182-77F902641CF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E8543C-53DF-4E45-B0ED-2449B62F9F2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5107D-3504-4EFE-90D3-BA464977397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36BB4B-0F2B-4442-A8A3-4D2A2254586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5F1D4A-3765-45D8-A479-8912A9D08E2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315CBE-FF71-45F0-9927-1A94956E11E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145C5-FE4E-42EB-826B-824BBBB0BB3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7C9CDA-9EE5-409D-B2B7-891DDF1DE94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F5B2CE-EB1C-4990-B558-45C82493E50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7EBFF-69C6-4610-A030-B190E2E57E4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4E16C0-6658-4569-A32A-D817476458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5C8DB-0D5D-44A9-B74E-9BF19B5E6F7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327C59-D34F-47EA-8FCF-5F8A91483A3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AECB24-85A5-4A47-AFA8-C00D2A18D9F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6C8AF5-9A3F-46A2-A0F0-2E87583926A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B8D700-D4DA-4323-8BDD-4113AA569BF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14164C-1C9C-46A0-8719-5773A00816C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D39082-1466-4705-B3A8-B82A00AE7AD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6869DD-5113-4B5B-BC2D-767300E9526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3E12F-6109-409E-AF26-7E6658097E9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A9369-6DB1-4D71-8610-24160D49F0A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7AA300-E8C9-4501-B94B-59AA27577FD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F97977-80AC-43C1-9342-D9F8257A30E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EBC893-0599-4A18-B6AA-9E33155DBF0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F994E9-32FA-4B89-8954-6AC8269C22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E4A30-796D-43BF-B2B8-FEDA3179012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802E9D-E28F-4B75-8639-D04F37FDEC0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92C3F-34F7-40C3-B49A-CD5175A4A33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578B40-C9AC-4CF6-8058-F36EBB97411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233AF-1B9E-4887-B56A-4076F2B9ABA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2D496E-19DC-4E99-A59C-27F38C8613D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4B469-E364-4C0E-8E88-EB6DF81D29F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E8BA6F-C6CF-48F4-99E2-00C1D2E2B9A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48289E-B27F-4875-B988-D304177F039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566346-2FF0-43EB-AD7B-C6EC17A417E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4C8FA-BE40-44BA-B6EC-83962EA9134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F9980E-A368-42EE-9C94-F0F562BA9EF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B2B731-C2BC-437B-9AB5-DF6CC81EE45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893770-CF1F-4FF8-9A1D-780A6252867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A1FC47-0DC9-4D9E-BBC7-237FD19BAF8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D10CB4-9CB8-4DDD-A470-03932BA89D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97D37D-4B5B-4D5D-92A8-1F503EC2002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28E6B7-A552-4296-9FD0-FEEEF602B0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BEEC74-C56E-4C9C-9A63-8822D1162A7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4EB05-FD67-46EE-9FA2-F6430865E1E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CBA35-9F46-42B3-A291-806B5D33463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279F3-C995-4144-860A-E531683A9E5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EFDC5-33F3-4FFB-94CF-BA11607F160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B430E2-24B5-4945-9CC8-4681DBA617C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E5F636-0359-4EBB-8D5A-902DC5657EB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3C67BA-1CAB-4F60-BAF6-F91FB9DF3D5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B60F3-0DEF-43A7-A59A-E487963FF80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82B7E0-5D3E-4DC5-92B8-ADE6F050AA5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286583-6BEB-495F-BAA6-550A29043B6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3EF68-E314-47B8-9388-D06C065126B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25A50-5894-4559-A30C-F30834168E7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846BB-C09C-44F3-9449-0802B9B50C2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385214-4DB0-473E-ACAA-43B70A17E88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50BC7-04D3-49BD-8FE8-0FA076A64A3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B48587-C286-4F77-A7D3-B72F48F4649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1788C5-F212-4670-95CA-14901C6E600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E9A4C1-78E5-4936-8D10-EACF4D99EE9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E93EB5-5511-462A-B397-542AA9242F5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1E79A4-C08D-4D6A-A1D9-B19AEAA48F3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A8C65-FDDD-41BB-8FA2-C08B43A0CE7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54A466-4290-4264-AD85-C3B3483F792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CE946B-624B-40C4-81C6-998D3FED89C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2306F2-4397-4893-A746-91F8C77042F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7987D4-48DC-4C3E-A7B9-F26BF2F51BB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5A287A-607F-4F95-A5EA-285BE426C90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7BD216-3BCE-43FA-AFFF-89BAF105E42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D59AB-FD5D-4F6B-BDA9-997B456B61A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9D8D35-26AC-41CD-835F-48CCD8D8B15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E6F05-0DD9-4933-86EB-E95F7329FDE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99E2A4-7D56-4F93-BFB3-0ED4B0E696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6AB3F5-9F5E-4209-B569-86CAADE5E59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B0A6F-F5A5-4680-98C9-E2D385D1BA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EE6BF-8A2E-44B2-AA63-45D901D56E1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0A8541-8F1C-4D37-8F48-BC9E0DC7713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467D3B-CFDE-4A38-BFB3-73D1FEA9204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EFB18E-E27C-4949-813F-0340C207FC7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86654-F0B5-44F4-82E7-DF411CA6499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B70237-EED5-41FF-AD9F-0142B3630C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2185A3-634E-4907-A376-8CCAB41191A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2B9382-1809-4C7E-BD4F-4DD6F1F60E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7D637-E1A7-4CB8-98AD-5CD4FAED967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BF9FD-8ACA-4508-BE36-F2AA5D7938E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915EE6-DA62-4BF2-B7DD-78AC13ED292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6F4403-4DC1-4A8F-9DCA-EA1BC3E8336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95805B-046E-4961-AF40-38F56E00D0C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F1A1B8-35C4-4F1F-B099-3EBC149D11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81CFDC-829D-4686-8472-716DE707B16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D85348-7A51-4FDB-BFF9-F707F1C3D83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FBDCF-5FCB-460A-B5DE-7E96D755DC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59A4F7-A62C-4040-A87B-156CA17C696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F3D32E-9BAF-44F0-8A85-91E99A8EDC1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03B27-919E-4B83-83D9-B7F9DF5749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20A642-1A58-4AA8-BEEC-1A45E26C14C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D1483-4343-4A7B-A74D-69DDF8EEC92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C8D3BB-B5D5-43CD-A36C-F1BBA3B8DF7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14DB6-6465-4648-895D-3F3968B364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CECA3C-A079-4280-A774-3B3C3CAB9DB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85CFA1-3D54-4001-98DE-36801FB0511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C80FD-8F6C-4C36-A759-F3D61E8A125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72FEFC-0099-4317-9FCC-9672B0BC0F8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F90122-5FBC-4CAE-9C80-491178CA682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17FF2-4D45-480B-8973-E0C8F17C7DC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6D8A2B-C345-42DD-9AAA-0F2446CBFB4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3E55FA-0612-492F-8902-24B1DA5E17C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B9EE36-8034-4CF5-990D-2AB15C2CAA9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E3DC34-F5F1-4EB6-BA18-2A20220D4A4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D8A5B2-F61D-4D5E-A120-F19134ADA64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3D88C6-6214-41B9-ADC8-18B4925779D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5ECB01-1DFA-4924-982E-8AE64D5FB5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BAA27C-104D-4824-B3C5-ACF94A21C0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EAA5BD-1E4F-40F7-9598-FE04B440959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CBD37-7C04-4DB0-9ADC-29D47B8A22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A045FC-6624-4EC4-9599-BDA47AA5CFA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05256-E9ED-4344-AB37-27A72024A47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65950-74E0-45AF-A2B6-049CE5F502F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E3E150-87D1-4FD2-93F1-C03A2A8748E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B8C0D0-0570-4F18-BE2D-CA88848C5A0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88A0F-A906-4D4F-A3B4-A800F9C26F3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A004F0-E9AC-44C2-ABFE-077F4E04F69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7CBA9-35C6-42AB-A452-112A986B70E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EF2E69-61AC-4E73-A0DB-465983DA6CF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1EBFD7-0893-48C5-898C-55F26648E8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7801FD-50FE-4AAC-AE76-0E45009DB8C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B4D9A6-32CE-40B7-84EC-31E8E53480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10BBC5-444D-44F4-A8AA-52E9749A5E8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51125-15F5-4E9B-AF79-B3D4B9ADD2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BDAB88-D781-4299-AFA7-887775D8C94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37972B-9E59-4FC3-B1F5-469B51CB2DA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9E6E2-2866-4A9E-BA1D-168E1B43FFF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F9421-F6DF-4636-A8B3-8EEBB6AECF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CD051-D4E2-4C4F-9DCD-8172D536FE5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CD8C4-CD35-4BC4-BCC4-A85685C4D00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65BE36-30CD-4DBA-864D-828C01F94D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7DF448-686C-4A36-B09E-6FFB8E6ACEB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B1FB79-DB81-4288-B638-DA95F0F13D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6A0929-152F-454F-ADFE-D6966E7BB8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995C9B-B984-4A0A-9041-4D05E1E0805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E3A20-E247-48AD-AB5B-81668203AD3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39D22-414F-4546-9969-AC16DACADA7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7B6174-8526-43D8-9E95-A62E953E42D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1C48B3-337A-4B96-9C6D-D4C7E84E8D6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2B692-6182-451C-919B-668AFA1F2F8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3C7C7B-E5C0-406A-AE3D-A334015022C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9CD0B7-1B76-4139-B21B-FEE1FFBC69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D28CF9-D36C-4A37-9953-17EBB35CA5D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C949B-3732-40D3-AB20-073775737E2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E1B5F1-9BF3-4D30-9599-D568C938636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FA32CA-BCD3-4DFF-B101-977B19A1C7F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E28B8-7A89-412C-AC03-7A42671BDE2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9DE547-D5A0-4165-8A4E-339DD7671E8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AA9D0E-42D3-4638-9E8A-66D5FCBAE57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BBDE0E-015E-4A43-A673-0E2423F88F8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D3750-606A-480C-96E2-1001D96E18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80943E-3E11-4767-883F-F81CFB5AD5E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7C5DFA-6509-46C9-87E0-5ECA3EAD41D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E926C3-004A-4B5E-A2CF-6D5800A697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3AC8F5-2345-4CD0-8136-33CDE89560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21BEC8-D0DD-4362-A619-7428A7CE013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DAF5F-E466-4DDA-8573-9F88F39D9BB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8E9EDC-4E1B-428F-A4EC-AE322FDFCAE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B38AC9-BC80-44D1-B0EB-798569349C2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FE1A3-7EA0-488A-A345-5CC09C8C44B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9F9C18-1447-4532-BF44-B9EA7142FF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8F04EA-C3D6-495E-AA32-0C2959F5D2E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545C71-6399-474D-B043-5E5F29E56FB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E25138-8CC7-451C-A6E8-91E3DDDCD3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B16C0E-D125-41E7-A663-8593D770D55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BED5CE-CDE3-47B7-B05F-0AFFAC565AB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C253CE-7CA9-4513-8440-0EF29AB3B4A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22548-B99C-4EDB-8962-2BA0333A10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8C940E-F3A4-4E38-81C8-BCFF8146453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3C9EF8-5693-4BC1-A691-CA7458934A9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02CCE-EAC2-4BE5-83BA-B85AA0A74CA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BBDD58-E3C5-4072-A905-BFF8DADF568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60DB01-0A90-4588-9543-DE9E255671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A80770-2C75-460E-94AB-AE0BF30AFF2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58C3A2-2F7B-4685-ABA2-DADBB6E106C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F4C79E-F4E1-4C01-B2D5-10BDC1B5164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D84881-16E7-4285-B41D-70FE25570F4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C00D8-717C-47EF-A4D8-C570F1EEC85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D8658-C246-495E-8E50-136EBAB916B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96ACD-B9F6-4100-8F14-CE679C457A7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B35F08-B3C8-4031-8977-EB29BBB2E4C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6FF6D7-6555-4492-BAA0-C72032B3461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2B772D-2DBB-43B8-AAED-C593C5445C8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7DDB26-BC5D-4DC9-95F8-6AF1BE2A216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8B61B-367A-42DC-9F31-42EBEBC0293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2110C4-F1CE-4C17-8935-A6E751CC26C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49BDEA-7E41-4C2B-9C71-746407B478E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0E80B-8E85-4731-8D45-5329DFB30B8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79D67D-004F-43C7-8758-FB5CF0F7EAC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6FE49C-234F-4520-9797-E2796F79606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A058C7-AEC9-4D44-A974-9BA680F3209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7D3EFC-5268-45E6-AF8B-4CDB7117AF3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65D67E-0593-462F-81E0-F4252C01069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83182C-A0AC-4AA3-87E1-8C75A9671A4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09C39F-6541-4E8D-9A27-03F37F77AE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2123F-1753-415F-80F6-9B3C2805B2F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0FB918-9C0C-4276-A7EF-349DA6C382F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E56866-3DC6-496C-AE51-87170969072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15CF20-3DB9-411D-B42E-70D15557F3F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723E3B-55A1-4C9F-A93E-162F9BCE581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80AD06-AD7C-471A-A10A-7E728FCAA85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3469EB-0ABD-41E2-8C77-F50206EECED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EC34A-4D5D-4096-8A9E-13D6A8E102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DEA8F-6329-4355-80D9-3A10619270B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A0CD83-B748-4F9E-8556-74EC0849298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1E8DDB-26D0-47D7-81F6-D09AD71DBEA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B0D25-BDDC-4336-A5D1-76A89388E0D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A59866-12ED-4257-8256-36D189CB6F2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730F3E-1AE8-402D-827E-0F64C772885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EDBCB3-8C6D-47D4-8134-8A6CBAD9D4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C1E87B-11A7-4D53-BCE7-2687304A977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C992B-3BDB-40A1-94EE-C739002FE72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AED6C7-B81B-4B5C-9FE5-87C3AAF20D2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1E1A88-8FB7-435B-AAEE-C1EC9D0650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0F095C-4BF1-4FD9-ABE1-6FD0F24146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796664-37EC-4022-82A7-270355BAFB9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A5081D-39D2-4B2C-9598-C98278E7A9A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6B9DC-329C-45CD-88BE-F50961E2DA6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6A5C1-A054-4AAB-BB8A-DB930A1758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C7F274-95D0-4B2F-8660-30DC0FBADAC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14C092-DAF8-476E-AB31-BBE4B74E989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8A6859-F54A-4B50-94BB-07D97442AF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737F8-6C78-47BC-A891-150CA44499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ED95D-5E09-4E4A-B747-A4AE9AE5566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924A5-18C0-4C5A-A787-7956275CA0A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48CB2-046D-4176-83A9-616D84A0C2D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80DD5-8309-4DD0-8F0E-4813DD7ABA3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66D5BF-4E00-46CC-9A7F-E8F6FBCAD70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0B004E-0495-45AE-B767-2275B61D011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47154-5CF0-4F17-A0FC-A565110F9A7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7021A2-86CC-4831-9E31-19B060454C5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BDFDBF-38F4-49DB-862E-6C6D648AF22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4CCA67-43B0-4D8A-B844-B19ADF66E86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0C0F7C-6F49-4BF1-BC4F-B22F94D916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5CB729-781B-4CED-92C8-2BE6C7FB539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69021-2DB8-4EAC-8029-65C2FBB932B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0AC648-CB1D-480D-8839-F10A31D2190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362D9F-E9C5-4EA3-BBC1-2756F1D2E78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A8C274-7BCE-430A-B3CA-04CAF37CBF4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CE3F0-CA7D-4128-A7ED-40DC9D2A550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B8D6A-E9E1-47CC-AD7A-15E0C3E56AF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819DB-E637-491E-B759-10FCAD66A88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DE4E0E-8DCA-43D7-846C-FDFD151956C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1106AA-10AE-473E-A3AF-50A2483855C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B4AEEB-7AC8-4C57-9416-15E240136BD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5A2D96-E719-4E29-95CE-8E8397F8701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B504A-6E16-4ADB-B889-D2E43407EC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E93E90-7187-4D49-A5E9-333B86BB32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F3B22-1479-4575-BD76-2FFCE3E023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E67EC0-EC22-442C-8C2F-C94B5061882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7EBBAE-F6BC-4BC9-A657-C571582830F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7FE3F-3B67-4306-B4B8-9B6A07DD9A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E2B09-77AB-4CC8-A336-4AAC9B2BCF4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923FB5-07C7-4753-A926-04E2F69A91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D9713-39AF-4244-A716-D239E7C71AB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3EA9A7-6C00-4D60-85A0-6A6A5D09710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E00D7E-D88B-4C73-918C-0FC9EC2D613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66A24-9EAA-44BB-B5E4-F2A1B2F886D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F23CF-EFC4-42E5-9EE8-F90595F5F82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AFA225-07AB-4BFE-9DA0-DF69C26B8C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B4FB7-B080-43BD-A425-1DF0F2F3578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205E1-9C06-49B4-85FF-84BD5FA7722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0C7102-11BD-4F72-A6DC-C5169BF5BBB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357E41-4678-495C-9F81-8B949B43061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91331-71FC-43C3-BC78-BB872793467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C9CD7-BE33-4C60-8F79-83A44373B29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651FF8-1A3E-44AF-9199-796EDD2C59F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31CFF-DA2D-4AA6-86FA-69A1042A801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36451A-DFF5-438D-8E52-76922E6FF0C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5D23D8-87F0-4810-812A-B777BF5772E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52EC91-FDBB-4475-A909-24559B3B3D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A5350-3E60-41D9-8CB0-CCB8888266A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000686-FC76-4618-B0CE-96BDF2D9484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54FFF4-641D-4F15-9E3B-CEC7D6853D9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AE6CC9-DEBD-4845-806B-C1EC52EFA0E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357007-5A48-490B-B6EC-E401F51D551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76B0DF-DD49-43AD-A126-7EA5F4DC7E7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69EA4F-7BD7-4F55-851C-F3AC947BF13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D9E99E-4875-4FB0-B014-5436F8456E5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BA5E8-3062-404E-ADE0-D0E0EB9F20C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171C06-76DE-461A-8F48-3AA9D78908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E0DC31-09C0-490A-BBC2-C9CD030568E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B7E49-EAD9-42C8-8BA3-06D34A9F7DC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449187-4030-40AD-83F6-8492CABFF24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51F67B-5FAF-4F53-807F-7C4B39BCD01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623F0-A1EC-4FAA-8137-D9F0C79219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CB025-A1DF-42FC-AAAB-67F155F991E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815845-F408-4E3C-B9CA-34DBF4575A7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7BB88-1D9B-4F3F-9722-DEF57E33A5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EDD923-934F-4664-9170-4DFE90EA8C5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03167-5E30-4354-B3A8-69FD828CEDC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3F6D0F-AEB1-446C-8EAB-2EA04CA1B4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59CFB8-E6D6-4D3A-858B-70EB9CCC749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0E24E1-C2CF-4376-8D6A-234324E0E19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C031E7-F57B-469F-963C-2BCDD90833A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8920B7-B8C9-405E-9733-DB8254D6DC2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84BE07-733A-4068-80C1-692E838FEE2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429787-20B7-487B-AD46-049298EE92A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E1178D-0F79-476A-9575-AEB672B15F5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F4061-5874-4304-9217-A6EA41E6299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98007-7451-4B48-90C6-D9F0B0177F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B6157-AC4D-4E5D-AEA0-6779B7559D4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79828-64F3-425D-ACF6-FA210028EFF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24D2A2-0EB2-4C18-8AE5-6CEC9FC70A3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2C904F-FF90-46BB-8943-E1112569303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646874-4832-47DE-A48E-44394EA17BE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CDF43B-D122-468A-8E17-A4985A3D9E1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8D2155-1387-4E8B-973D-1CAD5FA83E2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02CD13-D7F2-448D-A71D-69EC884D07A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7B2105-06D8-4AAD-8492-37D59BC5B7F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3069D8-FA44-4782-B2FA-4F831B7DA7B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939AF2-F307-4E77-AE01-0D4596E8545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9BDC4-F151-4602-815E-26F1490DB25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7357B7-0358-4AEC-80B7-677E3673341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40A9D7-DEA9-45C1-B44C-EFDDA14F69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C84C1E-71B8-42AC-AE45-6171D12634B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1F82D-FDF7-4645-A39F-B759FC2A60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1F485-278C-4C5D-A15A-01C459DD245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939FBA-F930-49B5-8080-1CDCBFA9177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442D3B-D383-4801-B522-48C4929CCA8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BA9BE-992C-4825-AC9D-4416697096B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D08F4-53D2-4623-80F7-5A0FEFF40C7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7E074-4621-4E2E-9923-A43741E22C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309A7A-3613-4B43-AF86-2EA0E8E4DDE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FC1A0-9C21-4BD8-BCCF-C591A57F058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C51C9E-4AB2-4828-A15A-A184D7D1A3E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3E5EBE-3CD3-4EA4-A064-0742A7BCDAB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E038FF-7078-490F-B47B-8D6E4221A3F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5B8FC-C1C8-4490-A018-4276DADF21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D4A44-F0B3-4AF9-9C7B-94B70A987BB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9E56F6-65BF-4441-A53D-229BF54D12C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F613D5-FAC3-4AAF-9090-476D6455EB1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CCAD7D-B2D7-4D76-AC5A-A879F321C21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B7EC67-5C96-494F-9A29-6D2CD7BA0CD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808353-29CD-4CCB-B8B4-4070E4F714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FB55F-50C8-4079-B2F5-674AB95B44C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1E7CEE-2A79-4A62-801B-7C21EA842EA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E5AA3D-9CC3-4E2D-A541-6B92C1D95BB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2A80DF-8A00-4773-B0E5-0DDE1E940E5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5D1736-7B43-419D-B93A-B7FEB06965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581E53-E31D-4CF7-BB3E-DBF5B442074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EB96CE-5149-4EEE-BF71-084520A4CB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F47233-B773-43E9-9137-AAC4B2AB809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2AD889-8260-43F6-B7EB-7182C75A9E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B9026B-67C2-425E-A462-990B3B37B19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9AC36-9C56-44D3-A984-2456D91F855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3AF3E3-9CC7-4DBF-9E11-9C269A0AEA4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A3B58-30A8-4E63-8052-94ECCD77F75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A2D7D9-FC68-4DE2-A4B7-F756B27C031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E97671-0EF9-4FAA-BDC9-E2620E6285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86141A-605C-4271-BF5A-D2F11928F8D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123469-E7F8-4AAF-97D2-A0AD390EEF1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A91E8-BC2B-4A73-B035-495E83DE17C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C9A71D-ECEE-4F51-AD20-DB25D4A1151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3D6DDD-39C3-4144-940F-C24C3421C8F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C8050-63F0-47E0-A632-49CBEC0A940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336CA8-613E-4C09-9EBF-6106E24717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85CD71-AA08-4939-B02C-CB290A8F266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0227A1-DE35-49D1-8E36-9AA5AB76679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6C302A-8518-49B2-9165-2383B320C7F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75251-FB1D-478D-9F9B-BDFA00B8733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4A90E7-5FBE-41F5-85E8-E87B1E50C2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5F5DAB-0991-4CED-AE4C-C5A6B09CA87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C1EBDE-26E1-4FC7-A859-0C82F9AE657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98B1B0-715F-411F-BB6E-70BFF207D1D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98049B-6888-45ED-B0D2-4369D478E72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474783-FC9F-4CBA-9EB0-8179DD1695A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E3BEF-4255-402D-B5A3-FC69AC7C48E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30091B-92F6-4CBC-8426-E8CA0B8BFFD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E1E1E2-14AC-4766-9E77-C210F61A41B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8ECB3-123D-4B24-9495-5314D2099D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B784E9-4695-4CF3-AED0-A1C6EB40CB9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5A87E2-67EB-442D-AA60-7A651ACF4C2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67D3A5-0800-41EB-9252-6FF099A40E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C2417D-79DB-48E4-856F-A6449EBCF1E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36F8B9-B65F-486B-A3C9-0E2C4D8A25E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F5DCF-A43B-4455-8375-54031D2E09B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56F283-EADB-4CBA-8F82-AD935930A50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5B1D6-5AEA-42B2-8961-81ED590C1D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A1445C-4DA3-4AF3-A03B-2FAB4A45D46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2C5D20-92E1-4828-854E-09AAC24D75A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0F1488-D417-4D9B-A52F-1FB5C249FD0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4BAF6B-5211-4B52-9853-41981499FBF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45338-8641-4A3D-93D7-4D3F80C5064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1FBCAA-4F23-4728-AF94-16B1BB0B384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A76B71-E9BA-454F-A732-0C4EB40D7F9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1B232-4FD2-493B-819A-775C65D201A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FA1736-8D27-495F-8073-9EAFDBEB0F1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49B6C-D64D-48B7-A24C-7213827E530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353BC6-B2A8-4A97-B0D4-919D08AC31F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403C4-905B-411F-9EE6-D06CD68ED17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EAEC6A-D09F-4FB9-92A2-9554C31270B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16EB2-C83D-4BA0-8A5C-212112035D5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45FF7E-EFAC-436D-B3EB-6EB8C278D6A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6797A-C414-43ED-A7A3-31CE5349EED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1352ED-827A-4B37-9476-024B59D1D31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46098B-E428-4AC3-AE4B-4E11BADB931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F3D244-B4CC-4FA3-B9B9-36CCC5EE222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05D618-BE60-4978-9D42-9C92196C052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5A840B-02D6-4DF0-9B0B-464FDE01617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3D76F3-4F40-4BDD-94BA-487BD441084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F3E53B-CAD5-48F3-9251-81302D54A5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60DA69-98FE-47C0-8F18-0407CD2F9BF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928B76-3304-40D0-88F4-4825F9F2296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A553EB-D5F6-4219-B632-7784735ABAB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D417DD-C117-4150-8D5A-0E7B7BEB778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1488BB-8755-43FA-8CF1-4A50A614494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CE151-039F-4188-955C-BDB94606D29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D3863-1246-4B0C-A5DA-053D4FBD41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84143-362E-4CDB-AC94-E2D87CA9BD1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E38BF6-0BA6-4177-B9B8-C2DE08FC231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89A4E9-0FA8-41F2-B7CA-64C062B6BE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7DFEA-EC0F-40BE-9A4A-B56C245E89C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F41600-4247-467F-8565-1FA1BD09468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9EB38E-5D47-4640-A79D-8B12FC00DAE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F079A-5BA0-4636-BD37-036EF0C8E2A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138D15-A714-43D7-8797-827920AED61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67C9A-A1D8-4A97-866A-9D67F2AFA2C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BBC3EB-0CF0-408C-92FF-3BBFB4D685C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2EECA5-1B9E-47EB-955E-C694AF66FBB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D43036-6A77-428A-91E6-8815C39EFDA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D6CC16-E9BE-488B-AD69-606F7156E50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B8802E-2DDB-4CB1-83CE-4FD960869F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CE322-7D6B-4678-9EEE-3D8BCD2B5B8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931A2A-DD3E-4F02-81D1-86E5502EE6D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C0AC58-9BF8-4FD7-B1EA-FD5339D0ABE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6D81A8-EF85-4815-AD0A-CBDCA6CA886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BD18EB-6A7C-4C1F-9D0A-C2C53053307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6A4EDE-1723-4E1E-993B-C56FDA13F9F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39F376-C917-44B9-980C-0C07FC0F05A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1C1756-41A8-4060-AA4F-07B6A791BEA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B536CA-1AF3-4AA2-B9A6-20128916D68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17464-9F8D-493C-B3B9-7D08F256133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34845B-7833-42F8-BC31-92A06838CB7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654EA-D3F6-4426-93DE-CFF2175A564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2EE51A-D259-4D0D-94DF-097C14DF905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025B83-AD95-4643-895A-60806606AEB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B393BC-FCCB-47CB-BC4E-B691CAD6BCF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9978D-A371-48F9-A119-E264D2A7611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B4A518-8C75-4A4E-A4C1-ACFD1766AEF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F42E5-3537-4E95-965F-D14C403DED5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BECE21-0D6B-49A8-A1D2-7DD8D594AA5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4608B-0258-4860-9DFE-5C4B815B64F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CD7E7-907D-47ED-9D0B-D0E6DB8A94C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E3B6D-3B27-48DE-81D0-2592DB230E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B0358-7737-4793-8983-A755180C25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0D2AD-30E0-49B3-8803-814068B79BB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8CF7A3-9051-4784-B6BA-1764A5787B2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E3399A-009D-44B5-948D-99BBC140F5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2E0018-7B89-42DC-9A57-0C424266E61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08086E-9AAD-4DDF-A213-B06E645A557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DF6323-A917-4712-9CD7-636562EF06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73C1BB-D0C9-4E06-807E-1148AFF5404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6D84C6-17FB-4AEE-B58A-D1CEA8A55DE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0B0DC6-1E81-4D2C-8573-D1E854CFC29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2E74C-C5FC-456E-BC5B-2CCE416BD6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EF94C-FD1E-4DA9-A174-05C309477E9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A5316B-39A2-43BB-B5BF-0215E177BA6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E982DE-7266-4C17-B1CF-4BEBC8DC63A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405EA-54FC-4741-97A0-1E922AB7C5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245E0-7048-4813-86BC-A8B9D16CE5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D6BE59-8646-4A35-A39D-0BD6D254A0E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5FFE1-4043-460A-8913-8BEAA3780AA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B03BC9-6F79-41A0-A7D2-47F3BB4EBB2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B6AA0-50FF-4449-B9A5-1F810089BF6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93C0E2-87E6-4AC8-9821-05338F1AD72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FFD4C7-8243-46E0-9E6D-12FA8B6684C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42BA53-FA8C-498C-BDD7-69E654F06E7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BF7169-7A2B-4639-A89A-64F3794D54B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DE741-B715-4E7F-9A61-C1B2B559E1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C2AD1-EA74-4351-A9F7-030C5D3CC76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512C1-9A5B-4847-A0B9-F6EE2B3C849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52396E-70EF-4F3A-90B9-C5D4FAD27C5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E101D2-F9B1-4D1F-939A-4CEBBB933BC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E72297-932D-49AD-BAF8-906BDD40FCB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03D28A-6CEC-4852-BAEF-CE6AE365272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A4F231-93C4-494A-94E4-986B7890D9E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3C1FF-AF3E-4F08-82D7-7E53FE53C7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9B9CAC-979F-475A-938A-6A44929C8FB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D21850-3518-4963-B793-87D549D104B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EA1809-633E-4DE4-AC30-75716B979EB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F4013A-2BFD-4865-9181-7BFA8BFD926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1FFA78-5153-4A44-80EF-F2D70BA5146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778829-368D-4929-9631-86EA8BE26D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FEEFC3-D67A-41E6-962D-A1BB0E5838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A825C2-CB22-4FA1-9ACE-D38C6907A19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A9F3A-E366-4166-B131-AA305E80435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719AD4-4A1E-4569-B4AB-C0A48A71FB4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CF92B5-A841-47F5-A140-C8028F6D264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B24B3-7EFB-4A35-865A-2A2B1F47DD0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22CBD-A53C-41F4-B476-72BCE6A1E1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2BB3F9-664D-40AF-8D2D-44D504C34A2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19D5DD-5883-4E9D-BEEC-87D965470A8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2A3FDB-77DF-42CC-AF3F-559DC02F710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7139A7-66CE-4F02-AC70-24B58AAA7BD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3C2DA-A87D-4B1C-AAAC-46E62759669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9E7AFF-E78E-43E3-8197-83CEAC74380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781ED-E789-4D3E-9209-311C74A02B7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06F045-BA89-4E35-9601-AF247EC6611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03D76-1025-4302-8F48-B4052DA8207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D9B988-6187-4339-9EEC-62CD4C835ED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227A5-AC8C-4658-A3C5-5987D148488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570B1F-F70C-4F83-8BCB-BB0C871E02A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450644-99FA-42F7-AAD8-11669D3B5E9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36770F-3E96-4476-B2A2-3456FB210D9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313051-BD07-4546-BDF1-ECF12375B6E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B50658-C24A-4361-A1C2-30FC5E7B21D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7F789F-40D0-41EB-8A49-E95A4803245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CD7FB9-E84A-4987-86EB-794AD65414D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75A3C-AC3F-492B-829F-5B8F9CD9FD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CF81DA-262F-479C-B1E2-62CDA76F8D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4C538-64AB-49F0-BC66-2C7E2D6D04F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F3C0AD-CE67-431B-ABA3-FE18FD7587D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2B965F-0606-40BB-A4E6-00D7A814872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BFCCB0-0593-4AE5-94C3-20FDD82C9F9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C3D2EB-6D37-4AF7-9CBF-A48FA988A5A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24FE4-1FC8-4319-A443-EDB6B20E99C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A34C82-A8D3-4621-A19C-05D8F7431E0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7D236-1991-4968-9446-BCC2A5CA13B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FE8667-92D6-4C7F-8AB1-70024FCAC2A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3D489D-9550-4520-B67B-DD3B5DDD26D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A7EB76-C85C-459F-B57A-6BA261ED5B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A2CEE-84F0-4EE9-9BCF-B42889D388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795A5A-7A3E-4320-B948-2650C05E85F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72E6D-6169-4DCB-8725-60DBB22AC5C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CED1B7-CAF0-4EC3-9DE6-1B38C0211E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B3FF61-8069-44BD-A1D6-CAE53A1B2BC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B10A3-6645-45E3-94AA-35AD80DD28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625B64-AE7A-4126-8B8E-B56091C6DB9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976C57-DAFD-446C-8B2A-A401AB6AA74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57782-C535-4A2F-A5AD-7AED1274C72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750A75-1C2B-4DC4-B3D7-C79740AF5D7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4AF1B-FCC1-4B25-9803-671B30858F2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A52044-1F3E-4FD5-9070-E5055B01E7A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71CB2D-303A-4C58-82C4-B4FDC71287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84FBC5-5C0B-494E-9C28-7769CF07979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264B24-4A62-4AEF-8928-1E0B70EAD19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DEB584-8F26-4F6D-99B4-BA6A41D933F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23CE7-D99B-428D-B978-265ED283505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B2898B-BF5C-49CF-A6F5-728D90A6328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47F777-DFFF-45FC-BC87-84A2B91BE0E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9D707-BC7D-4DAC-B908-C147193331D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0A00C6-7383-45B1-8B1F-0D3866767AA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5FCA3E-EF5D-4090-8578-DEA32664FAC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BADACE-13B8-4692-99A0-8746958695C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8B47E-99E5-4953-88AD-8884C09D32F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808310-212D-4413-A1D6-241BDE47A4D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68EF9-AD6D-4ACC-866D-2D71411C9FA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4F759-B0C8-48A1-96C9-2EB89C18B66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DB0088-40E9-4BFE-95DC-3398869F18F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636CED-22CA-404B-9135-FF3B222EC70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00367D-C931-4D62-BCF7-87A585553DC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D2C424-2D70-47F1-AC88-B57ADAE621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424E8-781E-4F08-AA2E-F236AFC768D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51E588-B67A-4AEF-ADD2-E8E486E7CFE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C19F9-BF98-44D0-B0F5-8A3544F7138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3F8D62-CA1F-475E-B8BB-5644440D081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8A7F59-4087-4197-9AE1-1A9307539F3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04B70C-1F3D-46B9-B500-4A76A1AB00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ECB100-61F8-4084-8A19-49FFF14F870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8B33B3-C632-45FF-A534-7FDF47798BA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0AEBDC-A11B-4AAF-930F-08A79DE27CF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121A20-BD4A-4D6E-AAA3-69CF1554C7F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3BF9E9-0589-4C77-82A1-EC18655E9C0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3CFA7-401A-4271-B94E-1FEB4EB41E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34586-EA98-4206-89D4-9018C6DAA33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0045C-F2E6-4323-A723-5B11AB742AB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C9A9BC-A0E8-4829-ACED-03F1B596E7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F9BA6F-E90D-41F6-B3C6-CE3A95BB81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5C05C1-C729-4BC9-A3A4-8FFDBA3A57E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BFF68-A2FE-4D68-8709-680ED50A791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227248-C313-4602-9571-5F172220DF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3949E-614C-49A8-AA22-1B0E2DA1E34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6D031-23F1-4B6D-9867-48C14AB649B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29FDA-68A6-4915-BD80-1742599B29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D9972-33BF-4F21-8A9E-88A7D5168FB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D496D6-C25A-4477-AF10-1F8B8BAD3E3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79553-D036-47AA-A30A-23BBE9B225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64091E-4B32-47D8-9110-0E24FE18726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8B8C2F-18D3-42C9-97EF-9E0A45F66B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AA10D3-F96C-4204-BA5C-EF1A866C5D6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4BAB1-0D66-4B4F-8A4D-F0617AF036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D59F1A-D6B2-433F-9A53-9A47AAB63CA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2EABB1-7706-488A-8ACD-1F777D1C8E4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075E19-09FB-4648-BDCB-184F3EF2A0D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0FC37-E4CD-4762-B716-59CF1C3EABF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1B17A8-D69F-483B-8ED4-5364E1FCCBF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B408E7-EF74-4B6A-84EE-B42AF8B2EC6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058D1-5186-4D9F-8D92-E6EAE12FFE1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1D4552-12DE-429F-BE5D-5F17D733071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88257-B8D4-472C-A860-BED4D9BC639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D4D44-C443-41AA-B549-56A5BA2934F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D319D-181E-4FD7-A2B4-07CCBA7FC0B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C50D8D-76E1-4870-9264-94C7BA54BB9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745827-FEFE-4B7E-8267-4D12F052101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083AE-2F73-42AE-84D9-F016A4887CE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B1EC82-89D0-408E-A7AB-6AA1E16E79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B80F74-AEF5-4D9D-A2CE-B50F77C0811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3C23FD-0B00-4A89-BAF5-77F45AF86D1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45BE9-8FAB-48BB-AD2A-F49D0362FC9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5FC91-47EB-4454-AFC4-AB0EFF24854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86141E-5F75-4F88-AC79-75AFA6B1011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4573A-5FAB-4548-8785-69844B5BF20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B6F642-2074-47C4-A17A-E810F575C68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BEDF2C-907B-4596-B1E1-3405E2C83B3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209F35-2B75-49AE-928D-7BC877FDFD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70AFE5-4C0A-42BC-9B3C-A02310B4B53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80D431-7271-42C4-A70B-FC1557829EC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2A6401-8DA8-43C7-8D13-5ECA768A118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A4E486-9370-4152-BFEC-9DA4525B425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0177F7-CE64-441B-832A-F74D0DA1F2D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60379-E8A8-4A49-8380-D4FD96878BE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594BF2-89E4-4165-B825-E7457144F5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F74F73-B0C8-4499-A28C-A718FF3F89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F27327-C63A-4EEC-B835-E3458F8CA8F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0EF39-F4BB-484F-8D79-1E67EFD0CE5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B89B13-9F76-4801-9945-066442FB83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58FC2-5F23-4489-B1EE-60BF5F57A7C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3007B-C541-4793-99B7-B34BFDE931E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18EA54-E2A8-4662-BE7C-59692973BE8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6AB818-3A3C-4E33-96CC-B1581532217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B54EBC-0945-4376-912C-882709BE50C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DA9F40-EB69-4982-ADD6-A2E35EF4680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F392D5-8783-4784-9D12-AAC3EE51488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3A923-34D1-4748-BD20-9E0558C4CD9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4C6859-71BA-4390-894B-DEC3BE113C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ED8DB-2DC2-4086-ACE3-7AA075F26ED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EE686D-89AB-4B0D-BEAE-01421213F51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62D088-128E-4768-BC10-824F4CD2CF6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A5293-18C1-4911-9FA0-590234D715B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A5D1F-876F-4DA3-A11F-D7BA83A4781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22C8D5-CCB9-4C9F-94E9-69E54BD6647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DFF288-80E6-47B5-AD95-72DC5E2145C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C3F73-091F-44F3-B0C4-5EF0738275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32A1FD-D2D6-4320-8D4E-B3E78A4F465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B5F7F0-9605-414A-986D-1A4B1601F26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92271C-373B-4352-A6B6-7B8609B124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C9348E-A009-4174-8372-056129941EF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2C65F5-B527-4E2D-A0C4-0B03F350CD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EFA71B-9649-4B67-B432-D6D4DFA961E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A29C4B-49AD-4787-8B34-FF859263B2B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AE4DF9-30A0-4BB4-BD91-79D2A064E2D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946D6-FB87-48D1-B5A7-E933B719002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D532A9-7D6E-445C-A4AA-149FED79A03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6659B2-474B-434E-8B89-2D079C14EDA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E3E8E-AEAD-4BCF-89B3-29E7D4365D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EC627-B88E-452C-942C-C185C703824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78989-5468-4768-80DA-66CDB9A7B21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E1FF64-05BD-4B6F-B20E-FBF058BA306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71CEF-F0CF-4A54-9CAF-81031A19F44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AED739-2551-4210-9E85-050B05B238F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123D1D-6D3A-4F27-AD07-F3FDD964739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556C2-53A0-4ED4-8BD7-4D9579A0018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5EBB4E-6386-43E1-8045-1DC8C2067D0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951EC-F102-4276-8B10-0EF6BDB276B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266C5-422C-4DB3-96AC-C5317F840EC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621553-2CF4-4D67-8CB2-3BC9F5D9E35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27DB69-8319-4F5F-B081-3C7A6C2D055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34FE3F-FC2E-4F07-8C06-8EDBC93DBDA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2F653F-C790-4E71-A598-4BF29F02FC8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1D020A-882C-497D-BAC1-5DF5E30DA8B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E01DC-7280-49A3-83A8-8A1236C9052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735F3C-C6B8-4C11-9FF1-F9BA9311ED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16C149-FA28-4D1F-902C-0AB7327BEFF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C1002F-C1EA-4B54-A928-A3621A987A1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EDCC17-81BF-4597-9855-7080176F704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BF2935-1B13-4C95-B807-F5530F0ECBC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5A2439-1588-40D4-886A-530E3ED38F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0E2CA-00F5-46E7-ACA6-FC3BAFCBE6F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1CA134-B3B0-4093-9392-1DC1C8685E8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DFE458-3415-4259-999A-8107ABD8B1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8C6B0C-3BEE-4CDD-BB8F-2CB0E5C6F4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BDFC5F-3A4C-4357-8359-3C51FF9C98F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6C4DFE-C257-431F-B575-B3E21ACFA14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1BCC3-07C1-4561-A699-74CB10A3784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E37F5-E881-4136-8F8F-E678B3815B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2E8BA-2330-4C06-9676-4BC7EA91828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D557B7-8755-4C98-9CEA-AA7BDF1E685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28743B-8FB6-43A3-88BB-897B4441ED2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5AC7BC-B464-4D9C-B906-A24FE0126FD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B604B9-3BF1-43D0-9B41-C1A2800FEA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1737C-16F4-4561-A44C-DED6B54C9FC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ED1042-1F02-4846-AF05-417CFF67B2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66CB2-641F-4F0F-9F8F-0081FCDE41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AA40D-6E2B-4652-82BC-70DC7063BFA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365ECE-7159-43F8-8719-FDF7CF78F47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5F5C8A-931F-44D6-9A19-FAA47735A27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42E834-F075-4FD9-A93A-8260412735E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24C7A4-ED31-4E3D-A874-13249CD406C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93EF63-5CE1-4E31-8FCE-5350589BC32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EED26C-EE29-46AB-8668-E4AD1BB36F4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DFE5E7-5F78-4369-B5BA-0269851BEE0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E20018-0F5A-4A2C-A431-2EAA26C18DB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773AD7-1E99-44CC-83E2-2C497514A12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2D462A-29BF-4EAE-9917-766BA60994C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F68808-1E56-41C1-A77B-36C9AF08D00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121C56-F292-4E16-A998-E36778B1D9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0E92DE-B451-43FC-8C3B-656BE94898A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7D127F-4B9B-4FA7-8DE5-151A674C954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FDC843-DDB1-486C-A4E7-5854CFFEDCC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6D7FD9-E6B1-4A9D-83B1-560ED53C38C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70F76-75E4-4875-8423-384F063CE12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B4876-8DC6-4491-BFDE-49E0235E945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6777E3-6BE3-4123-B667-57C1B16F1C9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550C7-C6E2-48CC-A0C0-1B6544CDCE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66EC71-9A77-41A1-B137-5AB36255B6F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72EF3-01B5-4152-85D6-1955FB71937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4F6B95-2898-4BB8-BA63-C7CE9EA78B3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7D692-E2B9-45FD-A026-3C6F122790D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4999B8-6E9A-4035-BAC1-F25BF2857F0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DE82EB-538C-4ECE-87DD-713EC06EEA3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BCD22B-3B19-40F1-AA5B-D683BF7855F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479876-7538-4C78-923B-26CD1340923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72A3C-75F1-432D-87C2-DC70B8C85AB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EC367E-B3A9-4022-926D-7B865DB654F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BD5C0-B74A-4AA5-99DE-4074DF2B936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D7CBD7-8EBE-4E56-A5CF-523B86C856B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493D9E-F00E-43E7-AD02-BE4E8370515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9167E6-D641-4319-A122-62CA10E507A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C8587-DBBB-4B32-89A0-65DC2AF9591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5F3930-9EEC-4837-8A82-7BBF68EE2AE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75DB2-EC78-47D4-8BAC-0BF46420F8D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7AE82F-8D75-4C8F-A8B7-B50E3029728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85B273-5EA2-447D-8F3F-9C11D28AE1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39597C-C2A4-4BA3-B556-C7A79B00E3A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394BDD-37FD-4F6A-A39C-3DE1A4AF97C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BF59E5-5154-410E-89B8-5093034126F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71D70F-4B55-4AB1-877D-362640202A1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79ECFF-CEC1-4B94-89DD-C78D01A717A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1DCEA4-D61B-415D-BFBF-68C45C0935B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D76FB-3746-4962-8AEF-97B9BA57240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E51A4F-7392-4F41-9E92-890BB6F1854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54CF5-E566-4B70-9D6F-1E3883DF95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924E7A-997D-43A2-B4AB-50D8805EB89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EE7C2-1D86-4579-A795-53A4416D7BB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0FE98-E865-49FF-9779-0C7C3C32152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140720-68B6-43D6-87DF-B5FD00B430A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07AED-2216-4C5A-8624-38E1A02EEE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B05259-6EDB-4F96-A254-88526FA0EF5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D82F94-466A-455A-BA67-3C5C9D3B251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EE15BD-F3D4-4AB0-B0B4-9FD177F84F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F4CC16-BCD5-4E75-9224-E7328C9C17E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DD3919-5C4B-4355-9C46-5969C10086D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2EE180-FE74-4962-9F51-7C54F674705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E1881-8418-430F-AF81-9CCEFB559B3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60FD0-4005-4B63-8DF7-2FE67C7003C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079722-B3E8-4D17-8626-9E7C354D9B2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2B8F4-2128-466C-B9C2-07F1DB954EF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805FA7-E6D7-49C5-9CA9-EA0D172BC22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DE890D-D2D4-4115-9406-AE29D877E85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D02A06-EC23-494F-A4B9-0449A62522D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8AAC09-83A7-4D24-B5AC-CD1E114C132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06E13-10AF-404C-9842-39BAFA0CF87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150B7C-BB86-4B68-A9B8-93C06878187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2DFCCD-F279-40AC-A5FA-028F30EBF2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4FA346-6D8A-4E73-A757-350DB01F01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8827F-911F-483C-A0B4-9CD4736BDCC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389515-C298-4968-A4A6-62EDC26631D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673FE-A0B8-48DB-AE0F-967D9A13640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312BC4-F747-4074-AE77-14457AA8E4C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4CC67-4376-4159-B109-4BFBB3CE761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EDC9C7-EE46-40A7-89FA-B0ECAF1A7DB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BEEC9C-19D0-4F14-A11C-74ADE390C34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99B0AB-B058-407B-B95B-697109EC7B3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E75BA6-4393-499C-9C66-8A84642223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5689E9-D578-4DD5-88CF-144A95DB956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65809-C9BB-4E92-92C2-5BAD3903B9D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A43172-E89F-4885-9194-91B967805CA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596811-B74A-4D49-B3E2-2D4FAA7177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4E71B6-2E90-41DE-A4C2-7852942897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14BB9-E892-46E9-8DA6-DA20ED44CE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4FE22E-2C60-4C39-AB70-5E0C7608CC7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35BA5A-1260-46D3-B7E4-8B92A0DF6DE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4EF787-E5BF-4EED-9D65-69FA6ACCF62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4216C1-E928-47C1-BAFA-86481EA08D8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981A7-7473-4E01-AC92-47A8E1A6172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74D9F-C8FD-4DD0-9D2E-B5974360521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4AFEA8-2C27-46CD-A89D-59F3A9C580F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137E9C-BEB3-46EF-837B-418FFEE4F6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0D750E-7014-4C86-A761-9AA0B0325B3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2F8502-1206-4BA0-B158-2935F03E15B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89DB5-D0CC-4CC9-A570-5CA28BD9D1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E17ADE-2A27-4352-9963-6A11284FE38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7F20B-15B0-4FF0-AC61-53CFE0292AD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E351E1-D962-482C-80AF-9808598BB46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0CB3A9-60DE-4EAD-83E3-0D91165D44B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E7F35-8C44-4D95-820F-8AC376E2AE8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C6907-239E-42A0-B517-89DED8A1786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D3F41-F0F8-44D2-822C-19D5A60E8A9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D45A6B-A7E8-4E02-BDD7-57F8D29E11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3B27E5-1F27-4F4F-8426-D79C6CE995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B00FB3-1A73-4A49-91CF-055D8027174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AD17AC-D8A8-4FBB-A00F-2CB55A69FD1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97A68-5E43-491C-BE9F-6BF7FC9051A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564577-FCE7-4E99-A5AE-2FF8236297A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2CFDF2-C7D8-4B77-9B7E-31C8D5BCD02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D01D6D-9207-4013-A896-DB6F07D3610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93CC8B-56D7-4E71-833A-0F088A2A575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5308EA-A57F-4B14-985E-C1720A0792D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095118-D3AC-40F7-8E84-41F26F270D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4C8FE7-503C-4AC9-B9E2-E7E9C856D82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EAA04-49A0-4742-B345-EAF4F03778C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166353-D19E-4ACE-93DD-6975C6FAAE7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8052A-D7FC-498F-B508-FB51F133F24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D59AA-501A-4034-9010-A636AE18973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FA13F1-96DD-4DAA-977F-DDD5B50F567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7B0BF-8196-45E6-8C76-176DF3AE257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99FC7F-BDE7-44E8-B526-48241C6881E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A360C9-63EB-4A26-82D6-B5E3AC5A423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F78E2-F0A3-4CDC-B0CD-0293686042E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83561B-DE4E-4C83-9AFC-CB8443B273D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EC8AF-CECA-4AE9-8E87-66FBE62554C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B31909-61B3-45AC-A671-69570273AD5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A3FD8-F4F2-4C14-B80B-6B2C0F073DD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CB7F0E-BACC-4FBE-A893-9D7300AAF11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71A7B1-09D4-4587-B886-52DDC8AF102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9BED2-D1C6-460A-8996-1C0F6C7BD55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090934-0C75-41E5-B2F2-C284E2FCB38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15B00-9F5E-4230-A1AD-A3C1F8E42A2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8C3185-466C-4403-87D1-EB7B0A6DF9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6B33E-00B7-4CFF-BC3A-48313E9EFEA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503D5B-CAA3-4CCF-B667-9DAE424CC3D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606E3-F486-441B-82B8-5352DC72744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419B04-6531-46B2-86E7-CE18CEC6337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3EB633-B479-4A3B-9B09-A05B809F2D7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41F0C-5876-4B1A-B53B-6C77670FB2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D3112E-3CDA-4A52-95FE-BF3C494945E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09D6FC-8692-4438-8B10-638A41B0BA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4F562-6D06-4304-89F6-9D33DA412E1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476CF6-C92D-44B1-95C4-CED2E5CA792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1C0878-A497-4648-AE80-170FFC20081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604D93-B609-4A9E-9DBC-D857A6EF765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E1288D-6154-438B-99EE-AA8473CA793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0DE975-D2ED-424E-8ECB-398C6CC868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B867F5-17A5-46E5-A8C4-18F2C9DE849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43283-3440-408C-98A1-C0D7184930A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AE6C08-EE14-4D1C-8922-CDA5FCC435D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5505AF-BF3B-4106-B2D8-CBFF5CE1370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4E4A21-7E23-4DA0-BD3F-5DA3E23A36F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69294D-9A48-43D0-9777-0CBAA7898A6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E9F307-CDEC-4550-BC03-88ACDA9CB8B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7FEA8-28CC-467E-BBD9-419E528ED12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997696-0C12-4B1E-AC29-6522A7F15FD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4729C2-76BD-409C-8D69-BD251893075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55E48D-6409-4529-BE92-6AC485998CD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1B973-314D-4539-82C8-D87E30B94E1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A39F1-DCFE-4605-AD86-FE26FBEC0F6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613274-0908-4923-8895-6D2D4B4CA2B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BCE5DB-8551-47DF-A7B3-47B833F487C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1619B2-A69E-422D-BFF8-B8C8DF9A833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3ACF94-89C0-49B4-A606-BD538565FF0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78F426-ACC4-4ABF-BDAA-1760DCE23F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9B6485-F37B-4027-ACF7-A6930BDD91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02E98-30ED-4D21-BC76-8655F9DB3FD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DAF59E-9FF7-459B-82C5-7AC4DE03AD8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4E1F10-1AB4-43B6-91E9-29CE198A836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DD62CD-B3FE-411F-AC0A-DEE592F04DF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806080-0113-4EBE-87CE-0B51E779A26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D0291A-D830-4A14-9ED4-B11D1295278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1CA6F0-D537-4408-B052-9709A5304D3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EEABB9-9597-44BE-87AC-D5BA3F50D7F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EED854-CD22-48C7-A230-F7C3E120BBB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6D2D7-3BA4-48AA-8F1E-9C88686E12C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DA94E1-0228-4836-ADD9-72E24482276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1D4311-A123-4EA0-8EBF-8227BE2894C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17B54D-9CD1-4DB1-A9FA-6964C0F35C3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2149D-E4BC-4013-9DE9-ECBB210F1D0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37D8D-5A8D-4CD1-A77A-22DE73901C8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58F35E-B1D4-4C1E-9CE5-5A7BDD50B52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07E7B4-6B2D-4C55-B46E-BEDA9EA859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E8EBCE-76F0-438F-BB26-0EF11997CBE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A9A5EF-6ABC-4863-A47A-E023881A2A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60EFF1-F9A3-4EE5-9999-32DF9F43DA1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239C8-8E5F-43D0-B9D9-DF5D888648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B32AA-F819-49F6-B3AC-34820746755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054243-A5F6-41F1-911C-80A7FB6B95F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03A2E1-93E5-485F-8BC7-D388034DF68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293A3A-0B2F-407E-B542-FE1ED91F0D9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BF6793-5E57-43B6-AFFF-F3221B8C4AC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35F14-39E9-4300-AA32-3CE0DBC7E88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55DEA-0833-4BA9-A3A3-B343AA8CEC6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51773D-02FF-43A9-9705-8EA20494CBB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819D4B-1B1B-4EE0-B99D-1D48D2BBDE7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982E87-82FC-4284-885E-AD6FE08974E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5D0B09-A6C3-4D40-9FF8-140E1F1F9FA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E6D449-FDFC-4C32-9CAD-2931147A96E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540788-9C9A-42B1-A296-3AB5E9D0A59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C2B83A-3B0D-4EB8-8F87-801596B4FA0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F917AC-5053-4C16-9396-F255301AE56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063CB0-7838-4461-B0F4-7DCCC20E808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D554C1-CB41-4350-A19D-BE6F8AE07E4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0344B-5692-4E71-8E99-61C4E0EC022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C6B2FD-A048-4857-A0D6-BC12C161C94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353ECD-8426-47FE-AB2B-C9AE2285765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F6B0A-F782-49D0-BF54-2DDAA7F7089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4E87E9-5461-4D9C-8B6D-474AF8EC4C0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1F57E4-7E2C-4B04-80DA-8F8CE5651B4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C873C-F9C5-4B3E-8F04-1D2A4C07357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CB0098-748A-467A-9511-58C4846D11A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9BC4C-BADC-452C-985C-46EC5B38F97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0A4C90-D4C7-45D0-B0CA-73F17645BD9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93E112-E9D6-4D45-AD68-67A5BC08F61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C8774-C18D-4B68-A74F-A83B84A814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6D25A-5D81-4597-928F-6FC5118BCA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2F4577-8D84-4BD5-8F21-02D9DCD45CD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EED2DB-734A-446C-BDF9-EA415D02D39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F6106B-6068-45A8-80E1-A5AA9717035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C9AEA-C528-4252-8C32-FF4151508DD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1C2633-D2F1-48EF-9058-38126FAE008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72220D-373A-4735-B554-CCCDF3907B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58BFD4-5BAF-477D-B425-82B5C13C66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7961E-A456-4DCF-8B4C-D0E12B7D7E7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895DB-B6C5-420A-8BB1-080F45B8AB0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8BBC0B-C2ED-4D07-B0A0-925811BCE6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570D5C-0AF0-4045-B305-F6646317B2D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185084-117A-403C-8FE1-75C24AE712D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77A0E7-AB33-4DDE-B369-BA8E7BA5B67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A55AD7-DC68-4D29-83ED-4FE81EEE020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9A077E-4E52-438C-81C1-BCD7B952CEF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77E28F-4CFB-4614-8AA3-381AE9B8B5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BEAF48-E970-4E2C-8951-10C817D2AC1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F9F8B7-8A24-43A1-836A-D471A6F2536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5C6CB-4D6D-4A14-97A3-A89FC9BD574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8FDAE-F3F1-4D1D-AA86-072F50F1CE9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36F832-0FBB-452A-9A89-45CD9FC7A0C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AF3049-A0A7-4C4B-A68A-69543F5D7CD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FC9C05-12A0-4262-B2C1-E0E1A4B036D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3326E-6FB0-4267-8E3D-D4B7F686135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807DF8-10F2-443F-9EBA-CB21274D46F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69BB1D-B9E5-4802-B8B4-66945DFF933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784C38-3FFA-4E53-A160-55C287331B0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41640-7FB5-4196-9177-CD4D1572DE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4A34EA-DCF7-444E-BC5C-FE546DD8BFA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EFAA50-7B36-4E65-86EA-AFB16790BBF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E2B802-AEFB-4F7B-BC69-2EAF0E92D9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D7D986-579F-4625-A5E1-8258A16C40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B71BAE-A106-4E47-AED9-CBF78B3E620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47F38E-3D42-4F9D-B6D1-496845BF88F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A864DC-2605-4A5A-8A21-21178C67874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01574-E3A2-4722-A9AE-702BCA9C2C8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A7BE07-335B-4366-AE71-660FFC1794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9DC02-9893-40B5-97DD-0821259468D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39913-9B31-474F-8FDD-50096DB6CC3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1C881-2467-4998-88EF-A4BD8801904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7CF19C-C3D3-4D58-84B1-1ECA816B51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65646F-C187-4AA5-A0F8-C14C4F09BD4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86AA54-F6B5-41C0-95BF-69644B6534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C7C425-98F9-4AB4-BC67-10D11A365F1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94673-810C-4F69-A5EF-7ADF0097BA8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7E2465-65F6-4A48-8F2B-415C0411EA1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9298EC-C1FB-4E8E-8D84-DA4AA1A179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BBD895-C973-4F11-A205-C945249A8A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CF2544-8DBC-4C53-8B40-BEE112E3D3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3E6D7-BBD8-47BB-BAF5-88DAC9B0B80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439C20-017F-4783-9D4C-BDC6D8DB3BB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587594-3268-4BDC-A31C-1CF1E502346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5362E-DBF5-4817-984B-F0280C115F3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3F582-D75C-4887-8532-5DB15E48D7A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32C552-ACD1-426D-9AF6-4B8C8195C4F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00FA76-93A2-4482-9B52-0568AFEC027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44D879-C037-4519-A869-9191481903F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A4E54D-F8E4-49E9-9E68-0A7822BBD79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D3250-C238-494C-B54E-5C7833AA89A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2AF87A-C8F3-4DD6-86AB-61AA5349534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7092C8-2D73-4CDD-9437-155FFB35576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2D2935-88E2-4395-BEF9-5FCC1D85A6A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9E3E36-13CD-484A-9A8D-D37CFC7822C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0CD6E4-2AD3-4102-838C-E4AC27FEA0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4DDA2E-1F7B-4BA3-9114-A8E6CC5FD0C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575736-C89A-4FE5-928E-2B4BC5AC05A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47318B-A4C2-4FB9-ACC9-63BFA0F7CB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DDE13C-970D-42AC-8E5B-4BAB6EB6EBE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48C7E5-E655-49BB-866B-A8369136953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3D26EF-D8B3-489F-9BBE-14DE3028AEA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E03374-4324-4906-A8C8-50446DFDCA0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C486E1-2599-48C7-AF74-DD3B25EB0D1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D951D5-DAD7-4736-8A16-FCB1A524B7B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EED1EB-A3DD-42EA-81E8-D7015592A3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AC99EA-16A3-413F-9111-A84972A48AE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AD2288-7C74-44DE-91E0-9230E094D51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CAC5B9-E3C1-49A8-A146-03982C29E0E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ECD166-B5BF-4E3B-ADC1-0D1D78B1F4B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477074-D036-4CDA-AF7E-DBE652F9A3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B5CC7-133A-4A18-A1B6-C640DA1E794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6C6420-3AD7-4A17-93A2-2DC26506A20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C7B2A1-1667-489F-B894-C9790DD0CDF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3B6A5-3213-49E2-B62C-16978870BA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6CBE3-9BFB-42E7-B611-A77D98EC99A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7B056C-0C92-4335-B1AF-6EABB2F795E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8F0A7-0328-4FE4-B9C8-5FABC195F9A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2E8C51-E6CD-4594-AB26-CC34EEA7399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02341-7E51-47A2-A50D-0CDF4E5EC0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60BB18-0419-41AA-8402-03070E9DEE6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915B07-9F78-47BB-A6A4-AC53E782C43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1B8CBE-D1BA-4843-85C4-A88C1F2AF36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F0FCFD-F097-4436-81E5-F7B720E74DE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609FE-9BAC-485B-8EF1-E60295982DD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12F1A7-819B-4083-924C-411E5543272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6348CD-D930-48FC-A4D4-55B15061AFC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9A299A-3575-4B2D-BD45-7A968B8D8AE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006F9C-17AF-46E9-84DD-78A4A5DE7FA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1E666B-4214-4D47-9300-CF07511755D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A8247E-BEDF-4BF1-A42B-5046C6DAB71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3E43B2-2877-4E1D-BE7B-9D69F5C24C8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3C5780-CB9D-4F39-8F14-D83106C259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272E4-D3F8-4B90-8292-60D82A00D5F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785ED2-4A79-4B7D-B685-88CA10C73C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4B8E5B-D16E-4689-8EC5-7D75B2D9F20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EC3DE-3E7E-4C01-AF6D-15776A5CF0D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6B7677-BD55-4419-A782-76228EE3082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7800CF-49DD-4E00-95F0-703F87BDA32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0D5E74-F106-4F11-9958-69B41AF90A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ED302D-F507-4D38-996C-FE82A995669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754D75-AE4B-4E2C-ABFE-333F762858D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0A813-F220-4425-A9CC-74CEFDF5AB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91391-BD45-4E5E-B24A-55419F22B35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584E01-C3C7-4565-884D-A64CBE8E2E1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8891E-DCC6-4ADA-AA75-6D92E94B107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38016E-03FA-4421-B51F-832D274D53A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CFFEA-FBD9-40FE-9619-0FAE25ACE32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6AFB18-2C11-41C7-BB91-9067B619EA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F84E0-9849-4AA5-813C-09319359529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86200-164D-4318-80A1-80C68E70A54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26DF8-01BF-4BF6-9CEA-E6EECB17EBD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556FED-B8AE-4700-8DC1-E52AFFC742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8F0E2B-9E5A-4937-9252-70F00C8D34B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4395C-E165-4B4E-B2B2-976D4A28340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906BBA-B588-4BE7-A791-FB3BC2BEFE8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55746B-BC19-49ED-913D-3EF644AE5A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C290EC-8599-4402-84A7-18310770FB8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F2222-CC95-47AC-9537-914B84B0604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26B1B-9789-4570-A79C-17799DC5349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960DB5-B9CC-4B15-8976-F89A0F24240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52AEA0-F3C7-449D-B4B2-D95A92ACC31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1A1141-AAAF-44A4-BCB7-2727973927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0CE49A-442C-4940-99CC-B23430F837F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A643C-C2E8-4DD0-9600-B1FD0DE5AF5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A7BE8A-37BA-4211-A615-C63E1260AED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742EF6-6B28-4804-9FC4-6D7E60F2580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755C48-4E83-4156-B731-10E5852970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14627-75B7-4A56-9101-ADDAA9A7EFE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C7BD62-E3D6-4A50-9920-EB053BD3E05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9A84C3-52E3-4B7B-8F3A-7368073FB94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5617D-E05D-4ACB-AFD3-25FA72A9638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CDF710-4135-464F-B27B-0446727A84B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6359A0-8400-4A70-AABC-65EFF11D4C5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BECA4-4FD9-452A-8BC3-C294EFDAACD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A8C2C4-1796-43A4-A633-38C1B4A9022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795725-8C1B-4A25-A4F3-6CFD57335F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D17766-5D74-4377-A27D-D5EEBD033F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EEB4FB-1330-435D-A6D5-862FBCC5500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626950-0682-459B-BAB1-2161ED75EF8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9EA75B-2B7B-43DD-89C1-81CC4CC9528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1EF075-60FD-43BF-939A-990BBF3CAFD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6E5F39-06BC-47CA-BF57-16C11A0C05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C4D517-EDD7-475B-A130-824E134FE8D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4A1A35-1F6E-4C78-BAA5-E423BE0BE2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30E66C-AF80-4A7F-BC09-559A2E3AE9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C75DFF-F34C-4B68-A23C-A7260EA098A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05BF15-906E-4F1F-B443-B8592B6E8FB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5BB97-08D7-4562-B29A-E0094B892FA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F6C7B-30E8-45BB-9450-6FA295AA133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F59BC-C29A-49F7-B2D2-C4212D1195B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80852-54B5-40F1-A258-871ABF5ED5C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197319-5625-495E-9D62-1FAC73D83CB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99CCE-FA4F-4B07-BC6B-E1048DB861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D69138-C3DD-463C-82CB-3F602E5216B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B4B3F6-EC8D-427F-AE73-5E5941035A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17A0B9-8922-4410-9F5E-BB1FEE3995B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D3161-61EB-422E-9F53-5385D45B0D5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3D5F0-A49F-44A5-B6A3-DF659701643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B25411-9D75-4C0D-9FEC-9BF728B2DB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5ABDAA-58E8-434A-AB54-C7018F91420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39AB1-A604-4560-A77E-3B425493F38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BD2121-9BB8-4498-9DE7-D3E52E93B48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AD7211-23CB-428D-9DA1-801D4E394A0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B495C4-9E0B-43A3-AA8B-835C5A18047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0BEB4-B503-46EB-BEF5-80238CA31A8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4A30C0-1845-466A-811A-5B302ED46ED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1562B-7116-4FDE-9EAF-19F169D0783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3687CA-363B-43C7-A554-BEAF89E8961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F26FE2-680C-4140-8C25-6C8E0BA83FB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1A0EAF-D81A-4918-A88F-809C003C34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A40803-82BE-45AE-9E99-5FA0F177AE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625668-0A6B-4D65-A32B-E17B9206020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ED1DEC-8389-4EE0-9D37-3C67DF5599A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64B673-A29D-4F7D-B1FB-2D39E1EFDA8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FD4AAF-8E36-49E9-B94F-62D6AFAFAB3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0AF382-BA13-49E2-B6AF-2A471F99D7E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2ED83-BB6B-4E65-96CE-B80B3AF52F0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31E86C-65D2-40E9-ABBC-6FA9F51ADE5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545D5F-5D2C-4B64-8B36-F6D8AF4E526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809E25-6645-4C83-9390-C9AB29AAAAC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37B3F7-6DD6-41D2-B01D-69DD606324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510F06-0B13-4E38-8CF4-C587227C3B9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2E32E-6E01-4EDF-AB62-441CBDE158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8B0B5-D2F2-416C-9178-E12190F4FC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14CD46-D077-4AB0-891D-3DEA85CB235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9E1162-A28F-4BAA-92B7-AAA7DA79060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C7E4E-7C93-4F85-8FC8-A3225AEC16D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4BB23-3424-4809-A51E-5D3FF7F1C6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FA44B1-743C-46FE-A48B-C255007A87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BD9964-A87B-44D9-8F97-B169D77A59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29F9ED-5E72-413F-81A0-8D9D0ED7961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4C1D3C-AD84-48BD-A36A-0EDD2B115B0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6DFC7B-A01D-4FAC-B52B-84CEB25CA34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A75166-510E-4EE2-8565-C333DF06C7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9C5499-28B8-442D-AB29-4D75189F0B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12DDC-588F-404C-8DA4-66C99DFA359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30F5E7-DA1C-40E2-92E0-80BD4C93823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D81864-BF28-4854-A5FB-3A94ADDE066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A85AE3-E5E3-4C36-B668-8F3BAEE4C7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C1CFD-FF59-40F2-B98C-44F287CCE16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4616A4-DFF3-4399-A076-143F69A223E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B5B2CD-80CC-41F3-A6F3-22F84C7B76E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8FB5F-04E0-414B-9454-828F597B8A4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5CD14B-7603-48FE-B48E-4C193E629C3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3F6BB6-6FB9-48C9-960A-C18CF884A4D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52519F-94C8-41BB-BCD5-362470650A2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A8B424-F0CE-4C93-82A0-CD90C46A59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3C40ED-EF69-466E-B370-9C565E72786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99A402-3F1B-40CE-AFBF-9FE4ED806A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0F783-CBA1-468D-BF39-86ED0C6CDAF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79C8DF-C753-4859-91F5-CCAECB5CC3F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39E6A-1D0D-460C-A005-89B8B9C2FF6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4B326E-BB9F-47AF-AC58-2E136E287A0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55FBFE-3AB2-4815-B295-AE67149BCFE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B82676-0D60-40E7-A40A-D709509544F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4B94DD-9464-42A2-AA2F-B31025F3D2C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E64971-9B1E-40F0-9D8A-5C6455A1A8B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44917A-BD1A-45D3-8887-0699CA9BA72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687F74-F43D-4323-ACBB-3CE3DD598C2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2242A4-F23B-4AF2-8C32-892CFAE5A8C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CA7EB9-8D3E-43B4-971A-AC4188DBFCD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82BD0B-FD78-41DE-B074-AA5694E148C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7444F2-EAAB-4A55-BFE9-60FB4B9E591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3B8DB9-69DE-45B4-9936-DD199C784E6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B3EBE0-B7CA-414D-A9EC-FBF57CA66BB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D56A53-0DD9-4CDD-BE57-10466A6BDAA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2DFEF9-626F-4288-9820-064097F31C1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D72E2-EB83-466F-9FF1-3BC908C262B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5C21E9-41A5-4CCE-A9DC-74FD058D440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7FDA7-B922-4913-B192-78BA762A0CC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ECB6E7-3A08-4CB6-93AA-7DE6EC9716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3B0E0A-981D-4BF8-960E-F8A66254DE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78EDB2-6C09-4383-8FFB-C2D3C8B232D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4C8903-392A-4B74-B341-AB9902569DD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5596EB-4AAB-4EF0-9108-FB96DBFCD61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F89C2-D1BE-4746-9745-2C84232430D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4279EE-2151-4DEB-9EB4-EAA67EED03C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24620A-97F1-43D5-B053-3E0618C785B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115059-1DA6-4772-AD06-0C16737CEC5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4D5C49-32C2-48D4-8104-0ABABF952B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801BAE-AF8B-4472-B1E3-23CACE9E20C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E5C183-4B0F-48D7-93AD-3282D4572B0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203E2-B19C-4687-A752-F3AED3AAC0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99653C-4FC3-4A25-87AB-9B9E46E0199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B70A1-AE29-4997-95B9-FB41D7B5F4F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BD0454-85E6-4FE1-9071-EA14047C5EF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AF85F1-C3F4-41E0-8A44-17C5D5C413F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E39852-5854-4D5B-8DEA-859BEC38C9A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74FE4F-FEFE-4A25-8C2D-1A85DFA2354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E39D1B-129D-47EB-B564-D8F11F1051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E2C56-E759-43F8-B2D0-35BB34CDEF4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03790E-1B7E-4E82-B0FE-E394987E2B4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C4A858-4CE1-4479-A5EB-3BF72DD342B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F30BE1-72AB-4E7C-B6CF-7C5534B04A1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D2B1CF-D40A-400F-A8FC-8D68F4C39E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5D01B3-E75B-4F1B-803F-46FC8A90291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C9A2E0-3B03-4CA6-AC26-0834D19F1C3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C7726F-F9B8-4F83-9919-AA55FFD9FE0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054C4-21CD-4120-A238-FC3E6CCF59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CA6D22-B50E-4434-A332-FCD1AB77BB3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621BF8-8BF0-4693-AEA2-F41D12F8C09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0AE73A-28DD-4791-975F-B76B93D19A1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1D1FC3-DD44-4AA3-99E8-60A9C56B973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079390-D55B-40FC-B54E-3A995D894F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35ECB5-6F0F-4978-890F-6D5D3248C61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24CC9C-6ACD-4FAB-8290-D5307DCFCFE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97EA9-987A-4FE4-AC5B-CDBEEDD2248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2CD25-B8CC-431C-8FAB-4817D133D38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0651E6-37D4-4924-B322-B6A8AF6F5E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580C6E-A52C-4C4A-9BA5-F17017CE326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96818A-BD30-4F68-BFB8-364A967AD53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BBE8CB-E7DE-45E8-B266-6298F523C48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107904-1914-4361-A918-2A074FAA6D3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474FE5-556C-4935-8A3E-C7AB4CFF98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5CB3B5-6076-499B-9825-B5134C4B201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0AAFAC-5D42-4E52-A122-A17E6C5658C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A68641-917D-4169-983F-3EDDB3C7E6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9181FC-5436-4C13-B582-3C5238FB003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DB539D-30DA-4ABA-9E50-2F764E52889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7F0B19-492E-4B68-8167-21FEDB809CA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07AFA4-D64F-44B0-A0D5-81EB9A31138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73B35-895D-44DE-ACA1-91E72E09CCE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FA3EE9-90D4-46CC-BB3C-855A6EE46B5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3702B8-7F7A-4DC0-836A-5EF4EB3400D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3D6737-99FD-4EC2-9633-5C23AD62EDC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EDDFE6-BCDC-4715-8F07-66A371CDDF0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E50E18-E2E8-4F10-839D-24B0D6A0978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BA3B30-9B1B-489B-9AC0-C884C5FD8A9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2CC17-596D-4C0E-B797-33F05D006CE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8C64F-AF68-4DC7-AAAA-29AC90D5D03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0F0D5B-2D89-4EA1-9041-7734BCC9D2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207022-A2C8-4EBC-8F08-E86DDAD5FCF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1325F0-5F47-4C0D-97DC-616A30C2723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62029E-354A-45FC-BE46-6AAA1665F17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0A1D81-5093-4810-A89F-5B46CBE0556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C7442-AA39-4155-8E4C-1582F4AD8D4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4B50B-6261-4991-AB44-0BFA235748E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BF8CB1-5A77-4B0D-850B-3EF08FCE68A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01C1E0-C2B0-4BAA-826E-E9EAC3D372D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394DE1-FF91-4BDA-9041-D046FF91F27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C7FFB-A57D-424D-A7DF-535B505C3A0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123E49-17FF-49F7-9817-11FF8857A9B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280F6-7AD4-4001-A415-EE8C917B363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4035A-6BE6-47B7-BEA3-1C851EFBFFE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872016-9E91-4923-8B2E-7D9D25E3999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47F63E-F210-4A78-A7F3-584EE7EB45C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B62565-3BAC-4D34-9A73-F336B6DFA29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FF95EF-93B7-4C1B-844C-63F966536D8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03A39A-1A40-4ACA-A55C-6996883AE3F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7B6D7A-4F29-45A0-9053-8209366E6B5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F612F0-0555-4529-9B1B-18A1749F60B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86E01B-8C16-44DF-9A4F-52E0EE40E73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D08C60-D4A2-461C-8F7C-38CDFDE14D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D4E72B-8953-4886-AB92-C83E8FA483C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4811F-2DEC-413B-8084-0091760A435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14BB4D-5CAC-47C8-ACA5-A8F56F5C570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2C8F5-DE4F-41E4-B81B-42A232DF510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ABEAD-6DAF-4C81-AB83-78C599CD6A1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1538C7-B1A4-4F23-B915-FF137282C2F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60EC94-49CD-4145-B34A-EE0F87DC051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7B9436-7FA3-4FA3-8793-8E69D456EA2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4BE6CC-BC91-4286-8BF4-FF266B02447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2ADD55-5296-466B-A9FD-D34126DECE4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887AA4-8914-4185-B220-09D339E40CB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41DE3-026F-4F19-A283-B24FC1FA2FC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7E1A07-7C23-4320-9606-DB0A883A25D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A285C7-CCE9-465F-BEEA-88027557CC4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17E840-8D21-4C80-94B0-CBE6F7FD592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FCFC20-A144-497E-A99D-29F800B148E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99A858-2E44-45B9-A533-23BCE056F58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F37AC-FE91-45EA-B94D-FCC07BF65C7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1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7BCDE6-7C1C-4D1B-AA48-19D230C8CC7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191F1E-5292-441F-B38F-C392160D752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C739E-9CA7-41CA-9D3A-B56AA4781D1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DA0A3-7B1A-424C-BD1D-5A9C05178E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03769F-AC45-4FC4-AB90-983D5B414EE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4A88D9-6493-4BE7-BFB3-2F9ECEDEE40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0C9CCC-D369-4818-9BEB-7C0450B6AAA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F40DA-953E-4350-938C-6F30682AA97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6C8078-0180-4A88-80A4-4D56DED608F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10C99-2584-4254-A6B4-03BF2BAD265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E16646-CBB2-4EA9-AA0A-39DBA1B927A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7939A-A650-481A-B7BF-0BF623204C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237700-A361-4F2A-877A-6DC8C7092E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AC8AC1-13F3-4670-882A-4C7D65781EA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598E7D-C53B-48A5-ACC9-FD9E8475CE7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228C57-7E59-43B1-B91A-3E7BA9027A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30E282-213F-4485-B227-22C70A2E805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ABE1D0-385F-4DA3-9607-D1157666FE2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39E0BC-C2B9-4759-A183-594630E3256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6551BE-DF75-4A80-8D3A-99EE34B725A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BD1A15-9984-474D-9B5F-FF6A132F151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DBF6CE-FF46-41CE-AE2E-57B27995C03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11653B-7009-46E4-B761-A9B1682E5D3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1BD90A-C012-4966-AC49-71DBE3C017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2620B9-14EA-4DAA-9687-6D27E44706D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BDB2FB-ADED-4A26-89D1-4C9CE585E52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25DC6F-75E6-4739-A905-D62197A2326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9E8744-9A7E-4F65-A8F0-AF45020C5FB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D12BE6-431F-4733-A97B-4F6F6386014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139C1D-B992-4045-BAB2-0A1D1B143E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FD1F8A-7719-49AC-BFB1-354E9D90025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27B213-E542-417F-82C8-2F11A7E041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D44659-CF62-457D-8A93-BF2D7C66E02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2D8285-1E12-4C84-9363-7684CBB2070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3D6B5D-A4EA-45AE-A08C-3144777E126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46E52-C209-4C3B-8DA4-B685916A58D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9A1A30-7002-45EC-9011-18966166886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9C9C21-4867-469A-8C8F-4F8EEC3D999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F0D4A-C950-476F-9B2A-12989E06DC7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058170-EB97-4158-BFD5-3B8664EB3D7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3AF8D3-8ED9-43EE-B4AE-F0129140E88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17E3EA-B7CA-4082-8D37-1EEF7E37583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F49DF-B62F-44F3-9D23-BB6FD867DC6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4F8356-43D7-40BF-B41E-66DC4CCBAFB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CA80FE-AEBC-4BDB-9EFA-68AD15B72CA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F04AAE-7037-4365-BC37-AC9A40DC63B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C05EE-EE36-477C-9E49-6F00172DB22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8B929-DA1F-4B66-85F2-8BE77BEAD21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17253-3304-4188-B748-4A706CDD42D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294EC-8B9F-4477-BE64-F00E2FC598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F54E42-4E48-4898-96AB-E7364684A3C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A6F8F-CFF5-4969-9D29-B042E6ABE77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19F652-6CFD-4F4F-8812-497269EB4FD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3698B2-67BB-4CEB-8E8B-FC5F3689EC7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832006-924C-4ACA-8C81-68C72935E43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213044-62F0-427C-81EA-FD47DCEDC0C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B9FB45-0F72-4142-BB86-1F807AE8483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800DD2-F536-4D97-BA40-2CEFDC5B04D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7CD97E-7BEF-4AEA-80D5-2A0FDF65F1B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DD99DD-3B07-4C5D-8C6B-553D5E8AF2B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83C088-7B4D-4CF2-9470-5FE0327E49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19CE4-BAB3-4D9E-A92D-AD646CBB480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956246-6800-4FE6-83AA-9E709FC6448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D49D1C-2585-45B1-BEE5-7D26C874591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D6800-511C-4134-99E8-50361E2DEA8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4F4EDA-A234-440B-944D-7D3F986328C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3B1C1-67C4-48BC-BCF2-0ACB0EC34E6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81368-929F-492E-8E78-FE1C9ED26E1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8ABEEC-4148-4354-92D4-730E2856223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D53DDD-C8DC-4F55-A04F-79B8210920D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E8087-478C-4B4D-9D7A-69D81807B8F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32281-8F16-4E70-9AB0-1C78EC48058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8D351B-D6FB-42FE-ADE1-93AAB66A1A4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1DDE5-4148-4235-98A1-8D2EE2AE287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8C33F5-9C06-4936-9ACA-2341824BAFF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53229B-C3CE-44CA-8839-0946001BF29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052659-91F6-4874-ABE5-BE9F7DAD715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2AB87A-8B47-493F-BB1E-3358571328A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1AC110-443C-4E0C-8320-C18BE7D14EA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80232-7B11-4B44-953E-6AA8426203D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600E9C-3A8B-48BE-B333-8402E90AC64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C9A9E2-54F8-42A4-887E-90DFF87E2FC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4E1ADD-3D1F-47E5-B9EC-49FD9191212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0503BE-056D-4A24-BA24-5A8BE6EC077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1C1DA-2491-4CD6-B79B-E05780CB790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F48440-352C-4053-A151-3AE9A6544AE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BD182F-4471-4342-8DE2-68DA2075285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41CC86-5AFA-4C59-BAFD-02F02A934FB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1674D-A881-43B4-A02A-27E64CD3EE0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6D2CFC-05B4-4E8E-89EE-D6328075FD5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642897-E3A5-456B-B7C9-478CD56FC44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8BA890-091B-4644-99D4-1E76ED345BB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D03F7C-9812-49D0-8C8A-E2CA875C4D9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91F87-A3F2-4DDB-8740-0375008740F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4E9F9-19A1-4B49-A910-1ECCCA3B277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6FF91D-42AE-4576-85FC-D130A8A9772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6A6D3-B552-4DDC-BE1B-B4620BBE18C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1C880F-776F-423F-A47B-E235AF559A2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ABFE3-3233-468D-8931-C0737AEE64D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CA6945-D17E-4ED7-8F51-9633922E401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2AF020-0D0F-47D6-9C0B-48836735604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9663A3-BF0D-4B2D-8675-CFE8C7A9022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6ED920-0E19-4E7A-8AE3-10E1474347A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6A98F8-16C4-4B63-8EE3-62899B31087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3DB3D6-F0C8-4F68-8713-EBB2BA03414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0FD590-6BBD-4AC8-859B-859FFE85B34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D0154E-98BF-4A39-AF01-2598CC45281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47B99-3C46-41E8-BA4B-1E5A6B7D697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43D2AA-EA02-4A5C-A747-21B0F173DA7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87CA37-F37F-482C-8243-6429002663C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6EF88-AE26-4FB9-8BE6-FB54011A6D4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686D18-E28A-43FB-8B8E-89A1B261923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DCE80-66C7-4000-9581-EA60B5B1B2B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E5060-D1D4-4225-B73C-A8A9CDB2718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03893-09D6-4A15-BAD9-776C0C56682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D19273-FC2C-4106-BBF3-8DE635DF1CB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D062D-054C-47D2-9636-F7FA0C868C4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8C4290-A694-463D-B8A1-D62DCE82560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C40EEB-70E4-4198-9BA0-D824AEE6CE2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88C7ED-3581-4F8D-815A-88FFB5B0B91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4A0380-A69E-4D7B-B10D-2C32BC82DED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0EA2B9-D308-462F-9931-C40A673FD1D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72C503-603D-41D0-9264-E4A65C555BB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034D7-12C1-4DF7-9CD6-6FDA8CDABA1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9911A-ADDC-438D-A5F6-83CF82C8CDC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4EB5A-2290-4784-9427-6D2A8405630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49B7AE-862E-47A5-A86D-C502B6738B0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DF6AFE-1DE5-4CF3-8AD7-2B4C61294E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027D86-48CD-4712-90E9-0BFB464BDE7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C17793-E6D2-4180-813F-6139A0F3D49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AD8928-7626-4286-93C3-2E02029CCF7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52E160-A49B-489F-90AE-8F9410049BF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5C4F1A-2CBB-4D19-AD23-B0139A25162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2039A4-3B38-4E07-A1AB-2C06FC15A9E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BA7B18-5557-4C33-8A58-201640AA371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D80EF-D5DB-449B-9402-BBEE6EFB3C2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AD43C6-BEAF-4097-A130-D7B065D6D62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F6D3B-5EED-4100-9804-F0DFBE0EBF8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78E244-8BB3-4439-A84D-094FF82A4F1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C5BD1-3CF1-48E4-A79A-42A5CE44E65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0DE381-0CE9-4FC1-A551-7BEAFD6CF36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ACA7B3-69FE-4EAF-B78F-63824BECE83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C3D3E5-FC6F-4339-9C96-6A1FD5F492F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72804E-354D-4B4B-9808-C4436E44776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C063B7-B7A3-49FD-BE20-AAD7D338608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FD2796-5FCC-4BA0-AC09-46BA0BC767C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766C8-05FA-4164-AA82-E97B49BD815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A1E9CB-2F5E-4A0A-ACEB-692CDC04817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08ACEC-6170-48C2-BA75-550715CD1BA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A46B74-5F43-4F01-879C-EBC5837A572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EEA7D-15D1-4C6C-B550-C2DC04FBB35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EBAF6D-C270-490D-8FFF-2C43735C8C6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546936-7785-4C2A-936F-58FB389236D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3464B-2BD9-49E7-8FB7-CCA900582CC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EAB15-2BB7-4B4F-B796-5BDC3F31391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ACB8E6-DAD5-4172-BAE3-BD6E1869082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CF879F-DD4E-4F1B-B9D9-51CE323209D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93A459-FA3F-4582-9807-3019D3818AC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054D4E-FAA9-44ED-BB89-8C060D2D88B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7E61D-8358-4E8D-82A5-A6D38180968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A91B5D-E8D3-4F58-AA18-8CA39255913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D6008-19A3-4088-9B9A-E476C01A9CA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72FB45-FF46-4FF4-933E-D3C1483D13C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3EC7D-C04F-46A5-8D09-C474AF7ADEC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705E8-9688-4E00-A904-006EBD7757B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F7D0F6-3646-4407-8CA0-4AC40ADD2F3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3F7402-8FE4-4F76-892F-E9927009EE8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C3D368-906D-4C0B-94F8-BBDEA78071B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3FEFEF-917F-4925-BB91-1BA5C0C82AC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83608-956D-4301-A07E-859D38DF647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D95DF4-6A53-4B82-8882-77E12C98B70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E01199-ACFF-421B-9D24-398B79B3084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EB7FAB-06E3-4309-B313-EA4367211B6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0D51D0-5A3E-49F8-AF03-9F2A7BC050F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51EA4F-E10A-480F-B2A1-CD71E1FBB94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0FB19F-AB7C-4DC1-AB32-531E92E065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34926D-3792-41AB-B9C6-E3ABCF5EA53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3ABAE3-9F3B-4B85-8D62-953FDB61E9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121D9F-F5C2-46A3-A3B1-7A977E6639C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C2AC56-065D-499B-B8CE-09A0FC27C60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F90D3-DC5E-4B4B-914C-FE8FE854021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83BA04-1F85-414E-9C3E-9873707168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FB7B6-80F6-4BDA-9FD8-068410FB01B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65EF86-FB0B-48AA-A274-069C7DA4387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03A1B-41CF-4B7F-A624-7515213A2DC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CF6B13-FBC0-476B-8560-DC9560DE864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D9DD94-9228-4F2F-B29A-3C74ED249B4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EE1D6A-4340-4356-9CE4-657F80B68E9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F91A07-C997-4A8A-B823-25690888D8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996B5D-FC75-46DA-B3D5-1B555FE56B7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70770D-735D-421C-A88C-DB8E1D232E2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028305-55E8-410A-A02E-D18B87DCDDE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E2304-E0A4-4CCA-940D-A927E4474A2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948F84-B49F-48A3-8A2E-709DFEDADC3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F1294B-7B83-45CE-BC54-1A1B4216623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33FB8-DF47-40CE-AF97-2C9D4789497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D6BDB-9BE0-41A4-B9AD-3E6AFDAD5B7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10C0E-573C-4603-94D1-D56FEC04E3A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161CA6-69FA-4583-9A18-F7486C18EB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2D86E-B957-4DC6-825C-03574DC540A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97991-9909-4B1B-90A2-DD66786FD6F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107</xdr:row>
      <xdr:rowOff>0</xdr:rowOff>
    </xdr:from>
    <xdr:ext cx="304800" cy="304800"/>
    <xdr:sp macro="" textlink="">
      <xdr:nvSpPr>
        <xdr:cNvPr id="2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82A290-F3F6-4AE2-9E9C-F197E1EDC4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53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06E8CE-FA9F-4F04-AAA4-BB8D122B19D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58FC5-C3AE-4565-A2BB-CC89473B388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267BD0-B88D-4F39-85C6-81349A8BB05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A53BD-F202-4045-B97E-3D8B25F66F3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471144-93B0-4471-8F39-F721BEF370A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E84F22-9E14-4A90-9188-FDCAC7ECDF4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3C0CF-F2DD-437B-BD11-FFF61FF1BAB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19BE0-97E1-4B29-BE3A-0E4CAD475CA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B9B4D1-882C-4000-9682-253C92ADC5A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431F5-1FC0-4BCA-9341-A9AE6D5A4A1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7167CE-350C-4D8D-9242-AA82519830D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ED245F-4ADD-4BE1-BCE3-E671F6CEA52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891F7D-5C6B-430B-8CC4-AAA2DEB3D48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B5C9AF-8A0E-4570-8D44-8B4448AF996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1176E-3F20-4EF1-AF6F-9919F55D89A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5A93D4-3E58-473D-B8C5-2DEE30D35EC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C6A0DD-222F-4204-A475-4F3F3BE020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367531-E9B6-444C-AD57-C3940D6F404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2F1F11-FFA6-4EA7-A680-C41393C5B43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1380D4-E118-49EA-8136-4F3055AEDE6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B91DB4-373E-4FD6-8198-48890F0F0AD8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D206C2-B32D-40AF-8E67-3FE6FBC3E2A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685D4-353C-438E-889D-250FF24719E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0DFA1D-2872-4550-BDEF-3ABD35FD87D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5CE07F-3B98-4D5E-826E-96E61A4D916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B3D662-4844-40C4-B1E0-9095579C3DF4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37317A-0B79-4B29-959E-45FB9F194C3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9DD9D9-3ECE-455F-9864-45F658EA004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B275B7-7736-4CE6-B188-D2D42088504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2D1B9-B8D5-4CD5-90EA-9F2E93A1DB5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20942-1528-430B-B78A-F6CDB1E782FA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E7C4D-5953-4C28-B74B-0D826F70B29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4B5EA-8B72-4098-B1C7-79258B5E019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86A2A-EDC2-4B71-950A-B9BEE57A01F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8CE57-E4CF-46B9-8AC1-D56EC67F8FE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DF927-0DAC-43D8-97DE-5F50FC2D039C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1C6AC-1A57-4D6E-BEF4-98CB09FEC03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FE3A34-8D39-43FC-8246-10F55D445B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0D88F3-FE33-4550-8AAE-659A128903C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1BEB40-2BE2-4ED6-A6C0-B27782855C9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D1B0A6-6C50-484E-80FE-79CDFB6BB22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44C8CF-64C7-469F-BD37-0CAABB802FE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F96045-986C-4250-81F1-00B4C31576B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1F435-29EB-4C29-8E29-CD01C4B011B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3C4233-F00E-45D7-8363-25BE9646289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991773-4089-482D-9036-973A4F95516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461BEC-EB0D-45E8-9D8C-2241B4E4E94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C3781-C717-41B8-A635-3D0D8ED5569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CBA1D6-ABEB-4292-A649-05DFA7F51F3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2C0AF4-6CB6-4C61-BCD9-BEA2AAAE905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F1FDB6-8AD0-47CD-B61B-9F8BFBC8227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183AF-0A29-4C10-94BF-3A8135550FA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5060F-366D-4376-81B4-AC1AA00657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0B46F4-6E09-43CE-9674-402B98C20E8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A289E2-EDF8-47B4-A801-424E8BE98ECD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E3249F-6BC4-498A-AFAC-F185E8C1DC05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DF2325-F162-4772-A772-2CBE3CC0A09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365B28-7FCF-41E8-B0FC-B0A2BFA0AF5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02CE0A-CB4D-47EC-89C5-2F94CD69EAC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B7825-580F-457F-862F-67D9F3BBD61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C0366F-0B10-4102-A582-6D9F00FBA7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E0F53F-A69E-416B-B2AB-D13AA13F6592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F443D-5C47-4D62-BC66-D6C6EE0EC5A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29EF5-68AB-46DF-B729-B7C6E532487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55E15-AB7A-4544-AB15-521A8581A6D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D4E299-DFDF-40E0-858A-786DC69829B1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7AA48-9369-4079-A8AD-00BDFF150B2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BCA3E4-8427-4AF1-9E64-DAA3F674648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DE29CA-C9D5-4AF9-9FA3-D09472E68C9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C1A4A9-2E9E-4DF3-98AA-5CA4EFA4884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99DF6-452E-4FC1-88A5-A085A1E19933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FE97F8-4551-4CB6-ABB2-FF0A18F7D32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D55930-53FD-4BC8-ACCE-33BD3A218956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ED6FC0-1FFC-4AB2-A436-D428D5E8F12E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3647A-2073-4934-A89D-93F39F2D7E10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FD56CF-6800-4B59-AA4E-9E91907EC58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2FB8D6-709B-4343-824F-D2E35ECFD12B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ACD17-046A-4C22-862C-6F5BB5FDEBB7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92DEF3-7FA0-4035-B60E-A2E9E7F8EEBF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37</xdr:col>
      <xdr:colOff>0</xdr:colOff>
      <xdr:row>10</xdr:row>
      <xdr:rowOff>0</xdr:rowOff>
    </xdr:from>
    <xdr:ext cx="304800" cy="304800"/>
    <xdr:sp macro="" textlink="">
      <xdr:nvSpPr>
        <xdr:cNvPr id="2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0F5CE4-36B6-482C-954A-9BAA59D090B9}"/>
            </a:ext>
          </a:extLst>
        </xdr:cNvPr>
        <xdr:cNvSpPr>
          <a:spLocks noChangeAspect="1" noChangeArrowheads="1"/>
        </xdr:cNvSpPr>
      </xdr:nvSpPr>
      <xdr:spPr bwMode="auto">
        <a:xfrm>
          <a:off x="18164175" y="204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96B1FE-0F2C-4C4C-B738-57DCF4311FB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8DD84-9172-4A65-9146-4357C1B03109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E0505-23A2-4A86-B35D-1051E8EEBAF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A868CA-E83E-4EEF-A03B-E54A9DB5E2D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7A0131-9B92-4AA6-993B-E1A9A6D4773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2C8D51-6ADD-42DF-8684-2E4E45FFC75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0F10D0-1C22-4F08-9803-368251D536B2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04672-CEE2-46EC-9407-BA41C5B7DB91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9BE0B1-3B94-4DA9-BD6A-18C213B5715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FC80AF-D246-448A-B971-813C314531E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64B2CF-02F7-4E53-80A0-5D42225C611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48A11D-661A-44FA-8F2C-75A77E73147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5FBE88-A015-4A50-BC05-FDB681CB368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736719-8E6F-4E51-8CED-E72B9F0165B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664164-3985-44F6-8581-C0597141108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1DDD93-BF9C-4608-8A6C-7C7A2FA8EB9C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6B6237-E291-48E2-A2B0-4BAE494F9E5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9D3B1E-9AF6-4C60-8739-F392A1FE26D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936E31-1A32-4037-AF9F-471053848FE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1CA199-863D-4199-A275-CF1D9FB6D72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865FB0-5C62-4CC4-AE0E-1906DD50CDA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171FD5-2782-41A2-AA42-5488BC4EE4B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B7572-D1F5-43BB-901A-30B203FC191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6F5BFD-521E-4FC8-B8EE-AD1C83EAF44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1E4576-7E20-4396-A9D9-1EB385113A9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DA8F8-83C4-43E8-9FAE-5FCC90788066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6D5C4A-08CD-4AF3-A5FE-7B38B8FFDC8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5F2162-1365-41CC-B7A8-3387840990B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D9D1A9-C671-4430-85C7-CD7514CF6D6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7BE624-B9F9-44AC-8425-0FE1C4814DF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638670-1F84-463D-B926-311692BE225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268C4C-7FE4-47F6-A5C1-0345E6B6687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DCD162-8337-4E02-99A0-E8602755670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C886B-3FB2-4140-9D7E-30572AE8138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D8143E-FD87-4173-88A7-05EFE00AD95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9C0179-EC44-46D2-915A-CD6E4F497AD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676181-6B14-4DE1-BF4D-5AD4B4225F3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438AF9-4A3D-46AB-A8A7-C6FCF9BE65E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C2DD6E-62AC-46A7-85D9-CBEE1EC4ECC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B4DD99-8337-4F0F-87FC-22C45B004AA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4F5E6D-C530-460D-9446-D34DE2EA8022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D3974E-536C-4DD3-AC83-EE1EA9961949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B60E5C-F03F-46F9-9D60-C99320A8F2D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11AC49-C756-4075-811B-E45FC3703A8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B3E470-B0E2-42A2-9536-66762075663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E18086-797C-4638-9006-A2F17DBFAB3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EEDEF-F992-4664-8F27-90CCE2EE567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68BCA9-893C-4125-BF91-0A2B440AACF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08594-495E-4930-80A4-3879A121BB6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0B7BB8-7999-46E3-B8ED-B17AAC7385F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27100-6333-4A18-B46B-9A6A71C4861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B0A2A1-6F37-4BD3-A353-7C9D1049C92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0F1752-817F-4FBC-8138-8704DDF1733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0C8020-56D4-4C0A-A655-798EA904915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23ED88-CD04-4313-A84A-BAF6A904303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5ADC47-59E9-456C-8AD3-B7AB5FBB3E91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5B4413-01AC-4103-A2B1-11D86746DC82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90F34F-3035-4C87-A539-EC9856F464D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1D4E8-CE9C-4382-85A1-D60BA59C853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6AFFF-9142-4404-8A4E-9EF92B8BCC0F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4F05EC-E446-4FBA-973A-5533B29F444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5F01EA-4DBC-4B14-84B5-CE84EB9CDC3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F04A64-DE24-4FA2-BA1D-A9EC96415CC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2A5A23-6CE9-4F03-B797-22A579EA821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0CB901-FDB3-4212-BA5C-9D14D23DF4A9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10FB5-02BC-4360-B418-FEA4121C499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B4A2E5-0104-4AD5-A8CE-AF6594428C4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00609-B718-41E9-9DEB-CD4355207EA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5BC2FA-568E-41C9-BC75-99B121E8B91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22705B-99BA-45EF-90D9-6459AFB9653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03E57-8D2C-48BB-BF33-58560353E9C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A8E156-77EA-4A4E-8D4B-269BBC89CF2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7A3EF4-5BCA-40BC-8B6E-B31326ECB743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2C365-62AB-4D3C-B10C-D1A81FBBDF1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D327F4-F72E-469D-A119-6CDDF978452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7549E-4C6D-4D3E-A545-12FA2FD258E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E54977-1758-45E4-A3ED-DD3282CD7CE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714375" cy="304800"/>
    <xdr:sp macro="" textlink="">
      <xdr:nvSpPr>
        <xdr:cNvPr id="2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7C61CC-F361-4E77-B943-9F8AACA31F4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4BAF5B-E538-4280-A2AD-503C04637137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6C5F9B-A298-4E3F-962B-0F3863CAF5E4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E31CFA-2BC4-439B-BAAF-1FD05B5E62D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7B05E8-F8AF-4264-901C-D7F8292C71B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88C0A-3EB6-4217-86BE-DA9E885631B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EE220F-0877-4238-893B-A9FFA51EC1ED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C4DB99-D77B-4770-809A-4CCB404F8635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E19215-BED8-4415-99E4-87E48374279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9DCBF4-9AF0-4463-8AE3-BCDC4B89CBC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8600F-A951-4781-9F71-86F798BB882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6A964D-E092-4F9F-B2B0-C158534F666A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9DE14-223F-4F51-AB1D-080367E8E43E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F226A2-7856-48CA-A29C-ACF916569858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27572-416B-4557-9DA5-481627348261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65591F-268E-456C-98F0-5F06E4DE644B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B42070-0F62-4957-81BF-7AE7E190E7E0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146BED-7544-47F3-A837-EDCF3D150E6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6613A5-253A-4912-89F4-7A341D23DE62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00C650-4642-40B1-B6EA-05711BE42319}"/>
            </a:ext>
          </a:extLst>
        </xdr:cNvPr>
        <xdr:cNvSpPr>
          <a:spLocks noChangeAspect="1" noChangeArrowheads="1"/>
        </xdr:cNvSpPr>
      </xdr:nvSpPr>
      <xdr:spPr bwMode="auto">
        <a:xfrm>
          <a:off x="4610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30CCC-87FA-4583-BB63-811BA864DAD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5A578B-7C50-4650-A385-3FBC8BA81A3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647AD-F05C-4E4C-B7D2-2BC52CC3190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AA754-00C2-4E36-AC32-BFF17442E54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20D5C-F477-4A08-AA07-297F7AE7DE0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6A150-8B19-4ADD-A80B-B29151C7565F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153A60-8C52-42C2-A77D-AAC2EA785E1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67C214-C951-4F44-B063-477C5CE6A90F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28637F-555D-418E-B91A-F99637270602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8BEB67-C486-41AE-A88E-91DBCF0FBAB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C39C31-CA1F-4859-A242-B0DA589B3B82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D4F54-64DF-421D-8141-8ADDFA9D17E1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221156-82BF-4B90-8B58-204FA8DCF89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042F76-D44F-43D3-902B-7BA2883E259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DA6E8-F331-488F-B3C6-C8C0B472E95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BAE15A-C70A-4332-8310-BBE23A6C7FF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3D219-0FCB-4D10-8AB4-8771DCD3729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714375" cy="304800"/>
    <xdr:sp macro="" textlink="">
      <xdr:nvSpPr>
        <xdr:cNvPr id="2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0F1973-34EE-4DCF-A0DD-7267501D919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D53075-04F0-4BCA-B5CC-6F689E29666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2FED9B-8004-4913-A356-5A3DF0AE2DE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792E8D-37D1-4A36-B0B8-AB4D1B5771B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F93EB-190A-4F3D-AD9B-447B3232115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4E695A-C2EB-4F90-BB99-2CC354218A41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BD3DE9-BFCE-4F1E-8275-5EDF63447F6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13396C-8467-4229-B4E6-BE3140C767C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924339-A36F-4916-92E6-D824BF83264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79F5CB-08A3-4E12-9F63-7238279EBB89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B0D204-2BF6-41B0-AF4E-C415470FDB0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04536B-684F-4875-8210-A5A34374895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1B5ECE-40C5-42A8-B8A8-29861986231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67E9B-24DD-484A-8C49-5D7B88180A5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93F41F-461F-427C-A2F9-03E61DE2DA2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ECE76E-DB66-44CF-906E-A9A22A9E817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CE9DA-EAA3-4E4A-ABA3-AC5C3A943A3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688E5C-7F84-4B13-BF96-0D998874CEA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140894-A8FB-4C6B-A98A-61312719E132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78F424-B052-41EF-B431-81F494013AF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71EE1A-FE62-493A-A7E7-38E7EC9F9E2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994264-127B-4C49-8BBD-FCB5277F2E1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71843F-D333-45EB-80BD-F645A26F345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EBB163-A2E8-452C-B40E-7A731B62CD2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0F850F-20D6-4FE1-B81B-6FCA89846DE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B7F89-BC1C-4647-AADD-EDE7CDF48761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4BF7F-C84C-4D67-8B77-DFE0DA3C30B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084CEA-8332-40C0-AE57-3C7C709349A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1721A2-CB98-48FE-AAD0-FBF74EA44AE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8BA56-BFE0-4970-A5C5-F0916E15089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0180C0-083B-4EC3-AB80-67E41384B78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27247E-8CC0-48D4-8F72-BF6F29BEA34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9BC4A5-615D-404B-BD41-3068ADEBB53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00514D-E11F-4A60-976F-0FCF80BDC54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9A7401-A73C-4E82-AEAC-7CAE087CC4C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E39981-8D73-42F0-A67E-1C67FDB05DE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BC3AD-B6B1-4ED3-B927-7F9FA1E8924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2E0332-7A52-4042-AEBB-10BF7B943B6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91231-5435-453B-8FA2-D8892B13F59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F5918-4114-44E4-ABDE-4747F9029D7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ABD3A2-BA1E-489B-A031-73D5CA404021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944F9F-7DE2-41F2-AE78-C2868F0BA71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937A36-132A-4BFE-8D60-04F89BE2A75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9D653-3DD6-469E-86C2-F9E41DAF1F2F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5CB1D2-1730-432F-9442-4214395D5E5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8020B-9128-49E3-8173-DA335BED370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5A9FF-8146-4702-B341-42779E421CC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316437-423A-4F90-A590-24147BBD46F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EF4DF8-B257-4C20-A99D-AB9D341BB09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19F160-9121-4BE9-88CE-108561FF676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768166-D93C-4263-B793-ECEFC8CB2CA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507A2-EA02-4F40-995E-AD85496F436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449781-54A9-44C0-8841-ED572139C07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2281D4-492C-4AA6-A790-188E9675E9B1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FB7CD8-F972-45F5-9911-D3527B5CDB6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4B76BD-051F-4A6A-A606-259B6AD082D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E5666B-0BAA-4BCC-BA25-6F1B4729884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243D77-7A22-48EE-8623-BDE3642DBE1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550894-7B2D-4DD8-8927-047D9961778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61859D-10EC-4C26-AD2D-B59DDB3A79E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F534D7-2EDF-4F6F-AA8E-56F5EC354CC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4FCDC8-FAAD-4BCE-B4EF-17683FF5FB1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4E22F5-DC4C-46C6-BA0F-4795FFA05D8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CCA859-9773-4CDB-A764-247C50EEA32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427511-E22C-47E6-858A-4C346780944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BDE35A-2ED1-408B-85D3-EAF2B7763B09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895146-3D6A-4D0A-AA9E-F5F865F3D9D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A7303F-CFBF-4519-8697-F277757A3F6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2B0BF5-71E6-4598-8BEF-D8322D83258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B1D450-2266-43CC-8631-46CA0B26C34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A89BB1-AC72-4C5C-93E0-4301FA03712F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C1FF6-02AC-4CA9-8909-CC9E9399A29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A51276-8BD0-4000-9B59-0717E56C6B2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9BC211-215E-412A-80F9-0C389D1FFA4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E1E7F-8821-410C-891B-A02B2C0DB86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F33797-7446-4FC0-8D04-01A420C0357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580559-AB74-4D6D-A4C5-AAE47828922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440C9-C1BE-49BE-8717-4FD46EFF1AD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9B7D1-7BFA-4503-9F7C-22189423835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52138E-7B35-49E1-AB96-7218F2AB6CB1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DA3C7-9928-438E-8F32-E2682EF8DC3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87D39-AEB1-4122-82E9-89BBCF000F59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84BCF4-1534-48F7-B8D5-72618BDC858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6E9889-2C25-494C-A2FE-F22FF67813B9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DB9EB-E053-425A-AE23-A069EB2AB61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C39CD8-4868-4E45-B620-B428A0EB4552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6450C-BA30-4FE2-BAF8-426B4C524D3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3A2005-F92B-45B8-9BD2-E5DA4CECA1F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109A9-1DBE-4D89-A7E2-7E593983E9D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E89828-574E-463E-9329-584C2DC8E7A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73A89E-96FE-48F6-B493-31B801C866B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618FE8-8807-48B1-830B-82B01261DE0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91FFC8-555E-41BA-A6CD-49BA2462D35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7</xdr:row>
      <xdr:rowOff>0</xdr:rowOff>
    </xdr:from>
    <xdr:ext cx="304800" cy="304800"/>
    <xdr:sp macro="" textlink="">
      <xdr:nvSpPr>
        <xdr:cNvPr id="2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26D191-D500-4ACA-870B-625C594D6469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2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29758D-C0BE-433D-A3E3-FF1B30B1A6AF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503071-A5AE-4D6C-955B-4A377A61247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318C5-1725-4CE4-9694-93AA2381E16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7ECEFD-CC20-4A60-A205-40B18AA6626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88A63-D799-4609-BCF8-0FFD3A685A99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8E4D99-72A8-4EB9-B0B8-067F627BF3E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2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DAD3B-6E3F-45C2-9BEA-E914F7CBD7E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720EB5-DEE0-4BF5-953F-25B6DC2AEC4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D29263-F6DD-4101-B80D-F743684B016F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983974-7C30-4529-8CAC-1D6160B6F16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0917F2-8A7C-470B-A81F-D6F957A1AA7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9F799-9DF8-49F8-BD39-8CE99861622A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6F8366-142B-41D7-B0F2-EB4DB4F28DC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238EF6-BCD3-41A7-A8E0-9F8D0E190FA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D1669-6570-45F3-A6CB-32F1FFB8F3E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79CE9F-2141-4573-8EC8-5E1C02F2B51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5811AE-09AE-4D26-8922-7FBBB05C07B0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DFF382-0DC4-472E-B900-2FBFFCC8C079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8687B2-CBF5-41AB-89C2-CFBC2859F2CF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071A5A-EBC3-4031-80D5-F2803901A1B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B45A6-E156-47D8-AA68-A08BEB9E36A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E3525F-F181-496E-A84F-FECCAF6180A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0E04DB-DAE3-49E3-944C-7F6670974DB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537447-0799-408D-8CCE-285EA9F1EB7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0424A7-78CF-457A-8827-70DFD1B0749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E5316C-A978-44BA-B81E-27B4DC3AAA4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850FBD-5459-4DC2-8C96-7125AD04D98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2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CC2D97-BBB4-457F-9CB1-B6A99EE7CDB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938A9-01F5-4A26-8262-ABE7F55EA3B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819693-9623-4B59-9EB7-2ABAE278F2F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0E1CB-99DC-4106-BE88-974FF6C0FA3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C1F2B3-7136-43A6-89A6-8363B3F400D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847913-4AD4-4932-9A3D-88D56044F15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714375" cy="304800"/>
    <xdr:sp macro="" textlink="">
      <xdr:nvSpPr>
        <xdr:cNvPr id="2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4F217-0528-4C30-B86C-C1EEB09279DF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FAF5B2-1FAE-4035-9AAD-F278DCCEBE21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D36121-7D3A-401D-8FD4-AC6DC709B82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FD8BF1-9CBA-4258-8EE9-D05F3E42D19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F87FFB-7284-4696-81F0-FE0FE8629DD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A1B78-9D8A-4E96-8E3D-CFFB8BB0D56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80CB7F-5160-49CA-A71B-03D06AF0C38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070B9B-545D-4F65-96D6-28789986FB72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C0ABFC-4313-4210-B32E-C98D1C9B7326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29AE8C-006B-45E1-9649-0F0D05521E2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77517D-0347-4D10-BDDE-6895FED4573E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EF15F5-CBBA-40A2-B53C-049FC748535C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303F5-E5A7-4D6B-9E78-6AA10E84C91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36D87-BC32-48BE-BBB7-CD4578C3A3F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09131-3914-45FA-8CE5-451C092D1F63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607B7-BD21-4812-B8E0-773AA3407318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91CFB6-E1FA-4EAD-85B1-231F3E329C65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52E78-9ED9-417E-9AF8-55EABAD6BA2D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85045C-48F4-4325-9ED2-E385DE4C8A6B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EAAB96-2FD0-417B-ACAC-B00CE7E074B7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34</xdr:col>
      <xdr:colOff>0</xdr:colOff>
      <xdr:row>5</xdr:row>
      <xdr:rowOff>0</xdr:rowOff>
    </xdr:from>
    <xdr:ext cx="304800" cy="304800"/>
    <xdr:sp macro="" textlink="">
      <xdr:nvSpPr>
        <xdr:cNvPr id="2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3BE43D-E483-44B1-89FE-5CEFCA7E9BA4}"/>
            </a:ext>
          </a:extLst>
        </xdr:cNvPr>
        <xdr:cNvSpPr>
          <a:spLocks noChangeAspect="1" noChangeArrowheads="1"/>
        </xdr:cNvSpPr>
      </xdr:nvSpPr>
      <xdr:spPr bwMode="auto">
        <a:xfrm>
          <a:off x="166878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5586B-9A34-49A4-869F-9526384AB2D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33FD0C-7EDC-4C2D-B302-B8FA775716DF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AF986A-D395-4C46-92EB-F0A652F269C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20D46B-CC27-43FB-B6D7-C2B53FAD163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B9398E-2ABF-4FB8-A3E3-4215CB6F0F13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CB5866-BCEF-4B83-9983-B224370E4EA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F3A664-5514-4927-AFC5-15FF559CC8B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BB4E83-06B8-476D-AD72-8B3D95BA105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EED5F0-5531-4FD5-950A-8A3A9654EF9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AC704-0F3A-4E5D-8B3B-BCABA92BB46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0CCCF2-1E09-499D-B600-FF84601B62E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9F0F3-ED84-4875-A885-AF5D214CBB59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7F6F0B-C78A-407A-9403-D42CFB01623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901A48-A1E9-4CA2-8675-04AACA48023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A9245-28EE-4288-BA7C-6CE9F1D4973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25172F-21FD-4540-AC46-A86EB5381A0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7F1D8-5587-45A0-ACB1-4954C5AB917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F0AB41-8B91-4B67-B85F-05BCCD0FEAF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BCC741-DE31-4E78-B4C2-5EF24623FB6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E6467B-D3F1-4908-A1CE-3B1D877DED1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ABC74A-F0AE-4B0B-87D1-D84033B098A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9EE616-152F-4B6B-AC3E-859E461736C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305446-4DD2-4EA2-9A00-2E97F17AD98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AEBD7-07D7-4829-81C6-EDFF08A477D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B4F958-A5FB-4B02-BF16-3338DFB8450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E76263-6B79-4CAC-831D-467433B5496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B9FC4F-4F59-4078-B91A-3703EBE59D9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85F056-C5E1-4FDF-980B-5B525E5B1B7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DBE9A7-4168-40E8-AFB5-E77E0B2EE23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C848E1-5CD2-458A-86EA-DEF8A38476E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986A1-C17D-44D0-B0F9-A9C54C41249A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002CC-33DB-4435-8E48-AA6EDE129EC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45259-11EB-4C52-A16C-A07F7333D33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714375" cy="304800"/>
    <xdr:sp macro="" textlink="">
      <xdr:nvSpPr>
        <xdr:cNvPr id="2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D70A07-4199-4471-9609-DEC0D842E27D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E5661F-4E1C-418C-8E1D-623CFA9CBB3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6AC6A6-CF14-46D9-B211-D424ADEF334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B8BF7B-1AD9-4295-8FB7-D6BF7C45D87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617AAD-AFD9-4799-BBFE-4269D0B2E0DC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9C4D02-3A21-4DC4-A517-F946B94910F4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548281-39DB-4F25-A523-3E9C4543060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43B8B-5DC3-4BFA-AA2E-9F4511A9DA6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4BEBE5-52AF-496A-BA90-AFABAE5AE66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EB4317-C5E9-4A0C-85D5-6681EF441DA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E875B9-32CD-4D8A-9F8F-0BA578F2870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AE8230-A25A-4153-8873-C14B186E9BA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40251-62B8-4316-B91A-F493EBFAB93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82641D-D3E3-497A-BD12-2E113CF7D80B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C0EF2-10B6-48CE-B929-B05E8535F727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BC24D8-2DF7-4CC8-97CE-82052B6305E2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76C8E2-6E88-4084-94AF-BB8992CFFD5E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67D62C-8FF0-4DE2-BA8E-22C8747D780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AED20-8013-4AC7-BE87-1C9345418408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90F3A5-3666-4A0C-8323-620B142167A5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5</xdr:row>
      <xdr:rowOff>0</xdr:rowOff>
    </xdr:from>
    <xdr:ext cx="304800" cy="304800"/>
    <xdr:sp macro="" textlink="">
      <xdr:nvSpPr>
        <xdr:cNvPr id="2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DDC39-DB82-460D-9494-0D04ADDE69B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92BCE4-59D5-4173-BD5A-1DEB866FDE8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6C2F6-E026-461F-8B81-6B38AD3B7C3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72337-0510-4544-A2DF-C434D36915B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970ACC-A453-4DE0-8198-6316DE4A3AB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07D83-74E2-4128-AA01-08AAF112AD2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EEA723-B66B-4E7E-8ADA-707A41488F0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11146A-789D-462D-85FF-78350FA314D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487BF-6BF2-45DA-A790-9C06F065754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056E1A-BA59-4716-A271-23F55093D37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D3781-94F4-4002-A5B6-B2B672D96F1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90E142-2F46-4A2A-BE57-C69B5C7879A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594CF-A288-455E-A231-33FD3FE6240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D5011-BCE5-4767-8C3F-92267F313AF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C62BB9-3AF5-4479-9EA6-3303CACA7B8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142071-9713-409B-A2EE-8763E59A85C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BB1C7-6DDE-4921-8953-EDA7C042408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2E693D-29EA-4999-9E0B-16764E91BFE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3BDDF3-EBC4-4147-9F7B-C570594A883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F8CF4B-A120-49FC-B0BE-BCB442D341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D56FF1-712E-475A-8F67-5995E23293D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21B093-53FB-4DAC-AAAD-16D214582C1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389852-293E-4934-81D5-9F23AD62819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36D154-8EC9-4B2C-8E66-EFCC0527E04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7812B0-CE99-414F-84E0-171E14587A2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F08FA-2CDD-4545-A6F0-15ABCBDC57B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2D8AD-BA50-4ECB-9D07-33F3491A029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909D05-3420-40B7-A183-1E12BFC7E1A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67DF9F-3DE3-412E-AC29-375A419A64A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96BF8B-DCCC-4126-AF51-0CE159170FE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44087-20C3-4875-A0CD-BA89EAE122E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D71B02-05F7-41D4-8E62-FCF375EA3F3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720809-DEEB-472E-AB3E-0289EE11BE3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4813A-0B71-451C-965C-1DEF5A72FEA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80DF57-1DC2-4503-90EF-690DB37FCC4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DB559F-C434-4501-AE98-022F661B67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04089A-66E4-4938-A330-0E97E84F526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91F2D0-A669-4503-A718-4640BE278C2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6F7F63-2068-488E-B45A-252DF4CA7EA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21BEED-5FAA-4FA7-AE35-F944FE630D8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121CFC-2FEE-4442-AA6A-4EEC470309B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2DD33F-6E8D-4751-A6FC-A4D2AE34B19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20431F-49BE-4CEA-81FF-CDFE761DE70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685AEB-E102-4AF1-935A-A14996B5B76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E779C-24AF-4A66-B2E8-7C7862A3BDC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144F1-1D94-4BB0-B207-1C3A20460A3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9EF40B-1C48-43DC-94FB-844C32315A4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06009C-B5FD-4FF3-A26D-9377585FE8A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1E2E2-248C-41F5-94C7-F76D1D22781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B777CD-2CEB-4628-90AD-2EAF687CF58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D2B082-1CCA-43A3-B983-3F3712750F2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01EE3A-A95D-4D3F-B259-E6AD0B24CD7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BC4B00-B145-410D-B850-1E5F74BD6FE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13B2DB-7863-4A13-8D85-907C4F82C7A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09E4A2-D07A-4F59-9131-0518D4738A7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2D3B8A-21A1-419C-9664-6C36A594390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B72396-C779-4A0C-A294-90AD596A8C6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E2BC4D-E568-462F-B5CB-C2B4FB6B7EC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EE4BD8-4348-474B-8E42-C7FE1B8166D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D65E07-48ED-4EAD-8BC2-0E1C0C5AB8B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380971-0401-468C-BEBE-0564C2D6411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26ACC-9B69-4306-88BC-AE6CD5AB8D0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14375" cy="304800"/>
    <xdr:sp macro="" textlink="">
      <xdr:nvSpPr>
        <xdr:cNvPr id="2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1474B-3A5E-4121-939C-C247737C40D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E3998D-D5C0-4A36-B44E-1810DCEF3C3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8913C-9FF1-43EE-B73C-5022C305DEE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1B807-014C-4B9B-A66C-26F6AA44F0F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F43A3C-F4B3-4C74-8D7B-B3022C43771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D0B388-82AE-4BF3-B727-F466B39CB2E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198FCB-5957-42F4-90DA-2CD69677189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9633A1-9C7A-4F92-834C-34D3C609905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D14DB4-E0B6-4B56-9983-557682A3471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4ADCDE-36A2-48A0-B94C-C6B509E9C47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FACFF8-A44F-4714-9C0C-F910CC3ADC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402F8-394E-45CD-9833-B087856CB73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ACD3A0-CD15-4742-ACF4-EFA105E0C35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E885A0-C7CB-442C-B02B-4CB2928422D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8BF78-DDEB-467E-B019-A7776545458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7FD36A-0BA7-4C98-A13D-7E202AFE2D8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4ED95-D2F5-4170-B9B4-0A0877A4749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AE942B-C87D-4172-BB8A-130CC814ABC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67A08-E65F-44C4-9F9D-BB172800E11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03D7D-3B45-4AC6-B768-1EBECDA28D2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F859D9-7312-40C2-B83F-E59D94F30C1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CBC32E-2D01-4D8B-B394-C85002B8FAB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1EBB3-5F99-458E-B9DA-B9C117B63B7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98149-128C-4EB7-B466-BE275D3C493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926B8C-E720-4CAC-8A36-D43BEA87BA8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F546DD-0CFB-496A-B06E-947F8695D7D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38B9E-DB7A-4BC6-86F7-0180831FA66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0B8B93-8B28-46B4-BA1E-25E3330E57A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E97F6-E7EA-4759-ACCE-68D755F63E3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FFCB53-28B0-4760-9C6E-3439097BEF5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96BCC-DF52-4F1F-8A48-CBF62292CF1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3543E3-9982-4219-A607-FC51FD9EB6B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785B75-F1A0-4073-A0DD-CA7CEB08F62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3D999-48AE-4BBD-81CA-322E82A497C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9297B-275D-4B1C-A7D9-BA4E97731BF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5D6DA-B242-43C9-9640-F77B6309EE7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A4476-CB71-40E3-9A36-8FE74271367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EB83B-8C08-454E-AE67-926D82CDBDA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31A0B1-CC67-400B-B4FE-BCCC46B99AB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22F2C-55B0-4169-B042-3C77EB9590B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DECE98-F771-42D9-A9D0-C77AED8E20E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99C5AF-639D-4450-8CB9-57CAB193B58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9202B-1EF7-461E-8D8A-18B2797CBDF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40DA7-E577-4981-BAB3-C2ED6B56816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80C915-0211-41CA-8BC1-192A075F2D4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AD82D-85D5-4137-8E83-25258D18395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9F7C64-B028-4351-A72A-823385F9503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254BFF-67BF-44AE-AC9F-762BB157018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E670D5-6C53-4147-B19E-6C41E3DE8A0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D653B2-0AD8-4EF5-A156-25CC2B37CE6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479D20-47CA-4EC1-9561-8ECF63B83AD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4376D4-AC68-4699-9623-EC087F6C4CA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5EE6F-F185-4E33-9FC0-62903314E12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82960A-6662-4BC8-A314-E5BB8DFDBE0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8694E-0D93-401A-BEC8-6451A88F083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597AE-9E75-4C57-9C9A-0A56F0E0D6D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A9CA26-B12C-427D-A17F-66539BA1C95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A55766-D84F-488B-AB20-5DF1F0620F2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C1370-4A62-45A3-9B28-27887AA257F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D3F5D3-DCED-4245-9EB9-537E2D10BAA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4EFEFE-55B5-4B63-AF8C-291D85F4E76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CBA1FB-F07F-440D-BD51-1D36EF84443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BC6846-70F0-4819-BACF-D180B64BC06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83B14D-1926-4DA4-A2EF-D5DE0A80145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34FC0C-4A64-43FB-AEF4-3D7B29A3AD1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346A6C-F1F8-4FA5-B297-5A2D29831A4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921F84-3B2C-4E7B-AAF3-153CA34C87B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A4D2EA-D4EE-43B0-A354-631A6840F40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FD745F-B0E9-4F05-99F4-5FDC18F1EB1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D27196-BBBF-4EE3-8D9D-3DF13C504F1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CC484-4D9A-4155-BDD1-D2AB7470590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289C2-EE7F-4CF5-B64D-CEB57F8B592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770CAC-C7A7-4098-8336-B92A3A2AA83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A336E-E83B-4D2E-B06D-2F844BEE547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65F894-404A-408E-B7A2-21C6D7C5C94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7B1CAE-7912-43A2-8527-C60A8339122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AF2FD-52D1-421F-AEA4-530011692A5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0A47AA-EC15-4040-9F5B-AB05978ABC6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F24E57-437F-44F3-9FF4-F9B71473D40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5CDEB1-4BC5-416A-8A45-B928204537F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752A9C-9ADB-4C15-9461-11D9F09B37D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7EE01C-53B6-44A2-95BD-A1F0520F3BE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59E344-6B1D-487D-8F24-B1D3BA5EFE0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77153B-C358-4C16-A771-03DB783C8E4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088A9A-B4A9-4DBD-A75B-37DBD2AB7A2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C5FD7-E8EF-4604-BC2A-E59833AA9BA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096432-F50E-4075-B44F-23A048A859B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F9527-E24C-4DD1-806B-F367F9BDDFB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CF13A-3552-4A84-B54A-FBBA8A3B88F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65B24-920B-40B6-A096-D4445025EF8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38AF8-2964-47D8-91FC-870C12D4B37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8AA75F-3232-4E62-90AF-AC64DDE23E0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77FBC6-D3CF-4008-B405-D5A47C977C9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2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7DE7EF-B7C8-4F1A-96D1-B580C7D9530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D13953-3783-45BE-B15D-1E59615D674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6F8471-C33A-427C-9936-896F91A2EE6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DA6A86-FC8B-4F50-8E61-AA0BDCBCADC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1284C-0338-4B72-A529-662E3785206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81A45A-0B90-4458-89E2-584F189585A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B8608E-8B0B-424A-B53B-D96DCE999B4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A5F4B-BCB3-4067-AA71-7972F1A056B9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176681-40DD-4586-BDE6-3C82BB0B79A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4C37AD-2E88-49EB-8DA0-C1C8A6FA5E7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03762A-246B-4A72-91FE-3D48FBB0CE4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348652-1AB2-4127-9E4D-F9FF10FCE2E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2C76F-3DF5-403E-A4D5-75B3BC02C4B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6986C8-86EF-4B5C-8285-52E67BB0ED7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DA7F74-7461-4659-8C47-CBA311C040B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D4F168-E304-4713-B27A-13DE4FF14ED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56A598-3293-4F38-8C26-D04977A82CB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1FC6F-EAED-4DE3-8B09-C1F59C7925A1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17745C-5ADE-4006-A93F-801817F3AF2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02092B-ECB6-4193-935B-EEB616FDF6E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2E5FEA-AE38-4B9E-B1A9-304CA1D688F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D4EEB-E3BF-4C46-9AFA-E91563782EB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E6E33-B794-4A05-91D6-179063E3421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AE74B7-E8A8-44F2-B96B-43FFC480D9C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D4ABB0-CEA3-4138-8A4B-8425A41929F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F222E-22EA-4505-BB97-07CC26A83C1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188CC4-2B60-454A-9C8C-007BA662F29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83116B-837D-41B9-B10E-44D94D8EDE4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3E019-90AE-4F0F-9F1B-B21A5490DA1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0FB2D8-C597-449E-85D7-534E3DE6821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31D60B-4E2B-4A05-8B5B-B09F726F48A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D14DEC-6916-491A-B32C-2BB1C48BE5A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6F58FE-1B1D-483E-B77B-28238DAA4DD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B4784-4B2F-49EF-B949-2548B37A25C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14375" cy="304800"/>
    <xdr:sp macro="" textlink="">
      <xdr:nvSpPr>
        <xdr:cNvPr id="2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03EF77-5DCE-4778-B4A2-E46352AB3C1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D5016-955B-4F90-AF4A-3201E8399E18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BC6423-D1CE-4377-A25E-E9D0AA8E772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ACE620-0970-4165-A300-BD8C64C144C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26C40-57FC-4FB7-86D5-317564439AE0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25EAD5-6B56-4EC9-8380-ED890555B6CE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087A82-880F-4FC8-808B-36DFF1A1C073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4F8D26-932F-40B6-8D65-33169C71D4C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8EDFE4-7814-4F69-A757-6E8F7A60F6A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899D50-7603-44DF-9BAE-5CA4263EFB6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36BBDC-1B44-4E9F-B7CA-73D533E3FF8F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90F00-C233-4729-BBB1-3BB15CE797E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75685-1F50-41B8-A063-7EE146D19B9D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D226AA-4E6A-466D-BBC5-3209C658393B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C6A34-24A6-48E4-B04A-0B2FFE47207C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DEA44F-B69F-477F-8790-3AEE7F227885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D94A90-1F0B-4CC0-AC6C-27D6C559D9C4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802513-5EBD-4C9A-9841-28EEC2F5A6DA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47E48D-54C6-4C3F-B8E6-89BFD2084A72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F0799A-621A-4F6D-9A5E-07B71B7A4557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2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C77EA-FEDB-46BB-80B4-40C29CE7FD06}"/>
            </a:ext>
          </a:extLst>
        </xdr:cNvPr>
        <xdr:cNvSpPr>
          <a:spLocks noChangeAspect="1" noChangeArrowheads="1"/>
        </xdr:cNvSpPr>
      </xdr:nvSpPr>
      <xdr:spPr bwMode="auto">
        <a:xfrm>
          <a:off x="556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D63674-5AE8-4652-8515-9BE45E07E50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5B963-7FF9-47A2-A015-5EE1D4DEBA1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13D6F2-4291-47F9-ABAF-AC0BC5010D5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A1CA44-5967-4803-9B4E-CFE505FD996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BA046F-EE9D-4C8C-B20A-C9F9159DDB7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15D976-45B6-4340-8D5E-C99588ADFE7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F5A61D-DFF4-4F7D-B888-E7970549AC6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041F1-3451-496C-8C23-F842B115575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1B6776-5A11-45D8-A322-B9E515D23CE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BF470-2CC2-429A-8033-1CFB44E8ED7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CC46D3-E484-4CB9-AE29-AD5DAFCD2D6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D7B9C0-14DD-4B94-8527-0CB8DD3BFDF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14E7F9-7288-4C4D-95F7-65CF2D4649E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6DF708-5A73-48EE-B47B-2C6E0B27EBCE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CD45C1-0CEC-4C99-A166-709E1072135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2B34B-F4F1-4E10-9192-E342FC2CF76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EDFD3F-E498-4441-8A06-6E8B1EADB0E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316ACA-E49C-416A-BB6C-0331781BF1CA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3B96F9-9301-47C7-B939-E129D2FE260F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3597F-7AEA-44BC-A6A7-277187AC202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67266-4651-4113-A578-F0AA7DB30D2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32BF92-5C63-4873-8D92-C9EB55596B5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39288-97F2-41A5-A7D2-C77278E17F43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AE3352-CF15-4233-ABF0-40C8863199B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FB4534-D35C-4838-BE5D-CF867ACB143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CA0CA0-3F7D-4275-9DF7-48BA492CEE8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F25153-FB83-4D57-8750-55CE9A6A79E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714375" cy="304800"/>
    <xdr:sp macro="" textlink="">
      <xdr:nvSpPr>
        <xdr:cNvPr id="2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A212EB-5449-494A-9E88-12BB8CA42CD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D8A872-EDBC-4089-B175-07BAA64880F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88B9B5-CA5F-49B3-8307-44FB5EA040F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A08E10-84E4-48E2-B7C8-1DCF249CFAD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3C791-439E-4EC1-B93A-7AF9B0B0427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106DFD-BB08-4FE1-AC3F-9E3EB303708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8354CB-25D3-4A82-BD31-D2FAC12369A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A6323C-6029-4473-9384-AB04BFA9957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DC34D8-519F-4B2B-A65D-5A09E91480F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34E33-10F9-4450-A631-7DA27775897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05F585-8F75-44B5-8DFD-EB4ECF3236F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28C08-A2FA-4AA4-A3A7-9F6980914CE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DDC4E4-FCE2-476C-956F-3797E46AD41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A1AB7F-10AA-4C11-87B7-7256856BB821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18B097-3A1E-4071-ACEF-5C6897F75186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4501A5-F560-465B-985D-8332519A5A4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DE26E-5E14-4E64-93F6-948398D5C63B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2CDEC8-4F6F-493C-B3FC-B4CFF7842659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863AD-5CA9-4DCD-BD04-2AEBD0E6298C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97286B-0CD7-4FC1-881E-350C689ADCD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DB445-8A81-4DA9-831C-2F616DA035F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EFC278-AACE-405B-8FAF-E69237DE35ED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9B246-3899-4E2C-B8B5-6C2D64A7E1A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A826E-19FA-4758-B05B-7581DFA0FF40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</xdr:row>
      <xdr:rowOff>0</xdr:rowOff>
    </xdr:from>
    <xdr:ext cx="304800" cy="304800"/>
    <xdr:sp macro="" textlink="">
      <xdr:nvSpPr>
        <xdr:cNvPr id="2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A213E2-8F83-477E-88CC-3978032541F4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F40C3D-8D8B-434B-9A3D-061A6BBEF52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905769-53C0-4AD1-8BEF-12428086A5A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74996A-3404-4B06-86E0-E76248488B2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8239BB-3EA2-4D44-BAE1-24C44A08581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6FC7C-5D85-48E8-9BB2-C0090C5BAE3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99E76-E59B-45CB-9B5F-A9BB5F2E3FE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0FC0D2-2DE7-4732-A023-3D3AA14CA78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8068BD-0B32-4527-AEEE-6121CC33501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EAF20D-0729-428F-9E38-5A3DE6CE00D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FD904-5054-4212-A9F0-AFA6AC20A82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43DA8-BD72-478D-B2BF-2085B058DE8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F8FC2-ED5D-4826-A685-C9CA327D28C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F1801-0EBA-40CA-95FB-E889F8D310E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956082-757A-472A-967A-DC7B0F680CA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2C43B3-B326-4ACE-BD5F-CA79F3119E6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E09908-BCDE-439B-8CBA-6A6311CCB78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D9F6E-FEAF-4BA3-82F3-7BA3DCFE590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F3DD1-FAC7-4AF1-A7B4-27D0B5F8DBD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BBCF80-F561-4439-8058-42A95E710EA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EA82D8-88E0-4DCA-AE11-A2EFA0E750D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BC8C0A-E926-4DDC-A395-6F954E1712C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805799-16F7-48CA-AEC2-F32037DC5AA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AB59D4-D63F-4CD5-A7C3-1F626DC1321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91484-0C2F-43AA-BA9B-1563CD6E37B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84164-EEC5-441D-BFB4-4505AEB9CC9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F61378-197B-4469-B7FC-BC144936035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CB3862-6BF2-4BBD-8494-B97BFEB8073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E737C6-55AE-4340-9405-B261CE778A2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BCCD25-0FAF-460F-BA20-200BF5A6895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ECF467-50D9-4B7D-BAEF-22EC11A6EC9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762AA5-48A9-4B9D-B0B8-F063312F8F8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9E4EC6-3B74-483B-97F4-F3DFC082EC7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5D95DA-233B-4549-8AFA-94748B4015A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F771E1-82D6-4026-A089-52C39888AC6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603A0E-A5FE-46B9-AF19-CD5C4E37829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2EE80E-F53A-401A-B2C2-28B6009AA26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A917B7-B446-4F39-BB20-E1BE57320EC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9D382E-422F-44D1-BBB7-2302CFADC11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68C5F7-09AD-4D5A-B050-C01619393B4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4B68FA-52B0-47B9-B9E7-F2C677F891E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1AE56-4A8E-41D1-A079-B917B6E6D07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C4F127-18DD-4792-BBA4-3DABAECF7AB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6A75F7-85DF-4A87-AAD5-A5882F8EE53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10ECC6-7426-4A6E-98CE-56CA81FDA23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43287-91BA-4C88-96E1-52E26F20350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DE3598-BE7F-4EFD-B8D1-B5F4D957D68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9A5C68-22BF-43F6-A165-F060E8793FE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CAD2DE-29A4-485E-A3E1-233399B7FA9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9725FF-8E31-4950-B050-0740DDF9D9D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D424E-14AE-4E05-B17C-D8CABA234EA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A9AA2F-111B-4C93-AC41-B7EA4F1EC9A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B41D28-0340-4E4C-8188-DB60DF0BA8E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1B58A3-F35B-4F97-BC7E-3271CEFB1F0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EA4111-926E-45D2-A88C-4EA24D4EBD8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881A5A-16B5-45B6-97CB-481555AB54C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7FC54E-FEEC-4CF3-BFF0-BBDA6E3DF81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8FAAE1-7FC1-414F-B27A-218AC33C763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64E9AD-550E-44DF-83C8-72F5108F9A7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5072E-2240-476A-8FA0-43C126C9098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64D61D-0A82-4CBC-9632-B775D1CC7E4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E8639F-39F1-46CB-9166-61A16536F4E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714375" cy="304800"/>
    <xdr:sp macro="" textlink="">
      <xdr:nvSpPr>
        <xdr:cNvPr id="2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859D1-0417-4951-BC97-7856BE74167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F5B42B-3713-44B8-A8E2-15D36C65933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87AAC9-19A6-47AA-B55D-5AF954D5C7D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706E0E-8CC5-4438-8B95-26375CF7C1B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2C92A1-10DC-49A7-AAA5-7B0D3F369E2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791D11-BDA1-45EA-8BAE-35D24160409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ED7EAC-0059-444C-9CE9-6EE92FD3C5A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5F5FE5-2EC4-45B2-852B-5D63F162C02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635960-125A-47C1-AD0E-7103404829B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50710-DEFE-44CD-98A7-2070B486B1A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4F3D23-B8F7-43F4-BE8E-B66C3D08DFA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44266-B334-40F8-8476-32DE3B273E6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2A26B-B052-4557-8777-A73CBF8C9D4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03F23B-B2BA-41A2-BE0D-969DA101E5B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F931F8-F35E-4B71-B79D-E798652CD48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0A90C-BCB9-4CF2-94D7-06824777C46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92A727-A963-4173-8C45-22345C380CE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4FA90D-9757-4A30-A262-AE4526A983C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5A17CD-F009-437B-85C4-3B3A9DB9A5C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EC5408-AEC2-44B9-AE70-235CC364E28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6A4058-192C-4946-A04D-5648F18A567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3FC85-7CC3-4E2D-B9DD-B4132EA87E3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2673C6-1FC4-4A26-9C1A-22DDD461255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AD675A-441B-4437-B936-EDDEFEA00FA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0ACA0A-4268-4737-BBB7-72E70DD27CD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4F2464-8267-4463-A14A-BEBA3ACEF99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643EE9-4E55-4B0B-BC16-5366F052FF6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3C8DE8-A885-4EBA-A3A7-66BD88C5F4C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94CD8-F453-4DA2-8FDE-C7DDE40C8B2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B1488-8BE6-49DA-A66C-C113D2D57D7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800133-FEC3-416B-8FCE-44575640C69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7B78EE-4AA0-415F-9E53-5CAE7629357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3C0CD4-944E-4042-A918-72DE89A44F2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6CC06E-0E48-4F17-96CB-F689797C3AA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8AE73C-1926-48D3-8815-B627BDF6DB7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C7D906-1865-424A-AAAB-C20D294EE9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DEDCDF-56D5-4B4F-8A4E-417ACF475BD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282CDD-C472-42B4-8A06-3F50F2C9F50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270098-506D-49B4-9792-884FAA36549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1E64E-D3D5-46FB-8BB5-0F852B1C2AC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7E5659-1F5F-4E93-8181-9242CA9C4D9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308A35-3FE7-4918-8B9C-7AF85B2FBFC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D8F7B-9F74-4815-B764-5B0133F378A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B298AC-2967-4CA7-90B6-868160E9DDC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A6B8E4-1FF2-4560-8DD2-C60C2EFD9DC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ECBAA4-9836-484D-ABA4-60AE86353E3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4D6CBF-46CC-4656-A263-9C4AA4D9F97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54D451-897C-4CFD-B8F4-66C72F1E00C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604E7-E90D-40ED-A02E-198C89B8F94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E9E81-33B3-49DD-8019-E82C09F315F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08163-E811-4687-8EC5-06CBB890FAC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A12358-6C00-49F0-A38F-E8A2C54D977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B984F7-B49A-4EDD-BF57-133B5F68289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CDA3B2-CF2C-4C55-A373-C2ABE7A77FD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37DA62-7018-45D1-A17C-9DCE7FD29E3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142F5A-5FC5-40E1-A0E1-9F379653DAC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E27DB4-A7BF-4549-AA52-4778FA7D426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9E17F-ADC0-4502-8F01-21EC986247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E13949-56DF-4299-BB43-945931DBCD9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ACADC-56C4-4C3B-B8A1-C226E8A2BF2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14E8A2-3F1E-4CBA-AE24-73316E21936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C1122-8616-4890-BE4B-5C8321CC983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C3D13C-D9F9-40FD-A95C-8991BEE522E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A3504-5820-4F9C-A0D7-A2E90C00D2A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0D86F-1839-4645-BB82-BC8E0B7EFC6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DA9AD2-3ED2-41D9-B872-5D2435A2FCD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940BF-8585-45EB-B48D-E37D41A2DE8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08AB1-6C18-4A38-8546-198360A5E8A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38DF7D-CCD0-4700-AB87-730D1C8BEA1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3BA84E-9732-44DC-9367-D34EAF57D06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C96D3A-3F4D-43B5-9A7F-B89E32E3EB4D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40BA58-D783-492C-9A58-27CED783509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3B7DFD-7CFC-4E86-9351-8B864457026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BD33A4-EFBD-4268-AA75-637B8AA1CB2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86D286-1261-45C7-B93E-10052320D30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34812D-C534-462D-8777-81DC0F107EA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5930BD-7348-4EF7-9263-8903AE3C22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35BAC3-C814-4A66-9FD2-A1832BF0D7E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72DCA8-6074-4692-9C67-F1C8EAC1B7E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34CF1A-A86A-4935-8B06-5BC31B81E83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2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1E8A3B-AF0D-4680-B975-6F515D22648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4BFCA5-7BCB-4651-9205-6CF3E3A73A2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A45FCB-D4DA-4B9F-B025-1FD005513EE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957E8C-02BC-4D15-8C54-8F8DFDD46D7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E29A4-53FD-4622-9F22-E8DDD89FA02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97B04C-0D4A-497F-AA4F-74D63D1D1E1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503C52-BD7D-4D8B-8C33-B2408B5886C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00F32-FC9D-4612-A7DE-04BF5C02897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C8B45-7B02-4C7C-A1B1-EA78F219312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AEDBE2-85A6-4804-AE65-70F04E8DE9C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1E0F69-45CC-4E41-A79C-9B9D5B21C72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8DF2E0-FDA2-4D12-B63F-84EF631B023E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D2817B-2396-40BF-B34C-3ED64801E68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7</xdr:row>
      <xdr:rowOff>0</xdr:rowOff>
    </xdr:from>
    <xdr:ext cx="304800" cy="304800"/>
    <xdr:sp macro="" textlink="">
      <xdr:nvSpPr>
        <xdr:cNvPr id="3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8E94CE-28C1-4C2B-B83A-786C49BC281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C8546B-74A0-46E7-B81A-F02F873F295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64CDCC-022A-47C6-83EF-F199BA3AA48C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DD1DF-A39B-4B0E-AB87-8D2F53A1CB4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3D0615-BAA2-4C85-9503-7861274693B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C7F417-3B7F-43EC-B98C-21E9B63C55E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313AEB-C8D0-4909-8FD0-E34D51EF6EC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9B35FC-0A11-41E9-AF9E-828B1388366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3E326B-A28E-475E-B5AD-D21D732C82C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39622D-0811-4D18-B983-3A8D09B40B6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866D8-8B34-49FB-8DE6-CF03B887AB1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DA2A22-5AAA-45E7-9DCE-CB3F563BF8E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EFAA61-1329-4651-93CA-375E5F60E004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8E373B-0829-4509-91A8-D839C071627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6B73E-BC1C-4743-B7DB-ECC33647970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CAFDD3-A6F7-412F-96F2-98625E791C8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C9E26-22E0-4075-9693-7E457E46198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2E2A32-A295-4513-97AD-9DC70B40174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2022B8-8995-4BCB-A9E9-5B31CE7F274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8EB328-53C6-4211-9074-09B3D62DACC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7806A-EDD8-402C-AC78-6E21B2C7306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419E0-FAD5-4075-8317-0625915DD07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80B637-8D23-487A-8B3D-D06F4B6617A7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E094F7-5E2E-4926-99D0-CC280B7E4D1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9B2AE1-41FB-4CBF-A8D4-B35ADE93F96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DA79CD-7225-4EF7-8D8C-DE74106A0D0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2AF98D-AE1B-4995-8D20-C1096B3D66D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EB6023-3182-43FB-B88E-8040D551F85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714375" cy="304800"/>
    <xdr:sp macro="" textlink="">
      <xdr:nvSpPr>
        <xdr:cNvPr id="3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B146B4-7CFA-4B44-9448-F191691040A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A7D52-7E52-4FDE-94C7-35F736E6B89B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5B17D-5F08-4204-88AD-DBE707B5A41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B04FA8-8A4E-4DCA-8F2F-FDF348A7270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D50A42-4E18-4E57-A578-16E046032635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D4285F-3E2F-4ED9-9650-A0152090059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D00ECF-2C2F-459B-B2AE-8B5DCB8DFE4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8EC80-E8E3-4882-B672-1179EC1FF9C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C9C97-9ABE-4599-B2E1-17A36BC952E3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71D706-A28E-4034-8F63-4317B0F6C0A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61A4D-251E-45A3-B2E2-4DB5B18C173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C97F3F-5D7B-42A0-BC5E-410194BBAA9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ED2D2C-C54D-4DCA-AA95-1A8C08C0E0FF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71F602-9751-40D8-A41E-BD543F12750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0806A6-7B0F-400A-8BBD-FAE84B6C3ED2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0A5C27-33FE-4FD6-8F0B-08B0DFF2ACA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B582F3-236C-4C05-8BE7-EDBCD6CA3909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8932E6-752D-4D20-9E38-34FEF7618E9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3C1720-3978-4F36-A4DA-615B154B796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5BC84-8971-4A4A-B087-A7E014F267B1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F09EF7-6F23-4677-854D-608277CA2E9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EE8E0F-F1D0-4582-8C97-D900366BF0B0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96BC06-750C-4821-B6A1-92A6E657A4C6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06DFB6-8140-4D1E-A5FC-54C543AD6B28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5</xdr:row>
      <xdr:rowOff>0</xdr:rowOff>
    </xdr:from>
    <xdr:ext cx="304800" cy="304800"/>
    <xdr:sp macro="" textlink="">
      <xdr:nvSpPr>
        <xdr:cNvPr id="3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AF2B9E-F60F-46B0-B650-B0934230506A}"/>
            </a:ext>
          </a:extLst>
        </xdr:cNvPr>
        <xdr:cNvSpPr>
          <a:spLocks noChangeAspect="1" noChangeArrowheads="1"/>
        </xdr:cNvSpPr>
      </xdr:nvSpPr>
      <xdr:spPr bwMode="auto">
        <a:xfrm>
          <a:off x="675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9DFE1C-8D61-4D9F-8180-B87ABC31870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6CD4B-AFC3-4CB0-B549-43E6A369E0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EB2D2-A1EF-452F-BF42-2EB4728CBCE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716401-5188-40FF-9F50-C59D1FC1898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3BE97-233C-444F-89F3-592544B836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77D1B-1A3E-4CF4-BC76-002790570BB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0FB227-1AFC-4EEF-A8B5-CBB8DD2575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AABFD9-7ADB-4BBF-A5DD-179AA833E5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D34CD2-4E42-4F69-9AF2-C06784731B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1E208C-E1B1-40AD-AFDB-16F43CF718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621C3A-CDDC-4971-A1E3-1958F25366E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5B9400-5BAB-4641-AA01-3B55ACFF10A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DED2DF-F442-4055-A724-55B59BA322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2F0430-C552-4E31-B5A3-C503CAA7424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FBBE3D-6360-4804-9C46-316FD0CAF7C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4DFB7-4937-43D4-BEF8-C160AAF1AE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69F52-EB37-483C-B53B-4D53D864A9D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9C55F4-1B4B-4668-9DC6-FC8119925F4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DABD49-0A38-48B3-AE3C-515AC7DCCB5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696F3-12AF-45E2-BD54-03D0D66867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8E1AA-46AB-4F80-9068-EFF020D2F8E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109F8A-3643-46D3-B282-A58B6A7764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9EA6D7-8C04-403C-9DBE-71A1750DA8F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E7F51D-A23F-4066-9BA0-90C30D34550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AE7EFD-34F0-4C56-87B7-C3DF806305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76D14F-AA22-4DA6-8783-C61AF089559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869E96-AAEB-4841-B454-301721A1DC4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340F95-C704-4758-998C-45B622EE34F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174A3-9430-4CCA-A7C6-816CAE1E8DB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0FC6C-08D2-4535-9E3F-E456D6F904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630F65-D386-4D6A-9A0E-D181E1A768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0471B1-8215-4F48-995B-E0C33C8AE10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A4DCD-D9A8-49B0-AC66-84E3D2E9AC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198BD-E282-4EC3-B840-6EFD835D7DB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F1CD7A-C6B0-4266-87F6-D7280A27C1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8DD0B8-4646-4BF5-AD62-E7904848CC1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DF1E47-1F98-4E94-A86D-58E1DBF6873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AE682-7415-4B84-987B-962EC6A5F8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EBACF8-FECC-471E-9656-AD3B1193C71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5A7B78-9E49-4D7C-B3A6-B3C75F7DA5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E11B94-1517-4A6F-AE72-4CC6854914A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830CD4-223E-4C12-A123-FA38DCB4EA7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FAEAEF-A733-48BF-A03B-241437E5AA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8D6579-399F-4B23-8B16-CDDAF2D521C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8D2D4-E0A5-4609-AB3B-EC4B9C8D453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4B817-4CC0-4BBC-9DD4-37C23417368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0136EC-2F81-4682-B58F-3A73BEF059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BAFDA6-46FB-4BF8-B362-6122DDDAE05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F0ACC8-87D5-45DD-B8EF-BD8AFE35AC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6DBA9C-2E37-452D-983F-ED343BFBF02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ED8F1B-413F-4B91-896C-DF9A912FE8E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D5336A-CC57-4464-B993-5C28890B6E6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03D01E-FD61-42DB-A39B-CFE2B4B8B43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E1CB5E-B166-4752-B31E-4FBBC66903C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475EF3-1FCA-4590-A817-9B6D1E8FA8F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AE24B-A1AF-4C19-A888-FAA871122E2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8136F5-9BA1-4830-A304-598809BEF95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90FA4B-6ECD-4638-A631-D2407AF6B1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793B9B-616B-4C7B-8921-E02095499AB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B0F0EA-6D30-43E2-A6DF-B345AA888B6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81A810-5B6A-4B9A-BECE-A6C02E6EB8D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543F2F-12ED-4C32-8493-DFD2EAAE6B2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79477-3C99-4B29-95B5-0073D5C268F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4F91A7-59F6-425C-A6C6-55AE757F2C5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CCBAE8-51FD-4AAE-BEE9-6EBFEDC7086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202FF3-2FDE-469A-8629-D0C7C6724C5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D30126-A711-41BE-8047-629AE71714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C6C3B-62F8-4C23-8731-07C0AAB82D7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BE13BD-08D3-4370-8A59-07C74AD7754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B1253-17E3-4441-889C-7414CA9630E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0AC9D8-B55D-406E-80BF-64509B72CB4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2B8BC-566C-4FBB-B825-010A8645E4E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0965D-47F3-46EE-B935-D7191556B1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EAF0A7-91AD-4FCD-8C27-EFC22736058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D7FD6C-69E3-4254-8E07-6686CD1B55B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57B01B-5DD6-4305-8B28-F1FD51076A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6670C5-7E4D-4DC0-81D8-05C9FEC2D99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25400D-DE3C-443A-A605-14886A1906B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F07664-3A80-403E-B920-81A428B9D4D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F0A73-D1E1-4EDD-AC44-072EED8655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44CF6C-9934-40D2-BD02-0E45FF55F91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F6ADFD-B4B8-4B29-B1E5-241ED38ED5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4FADC5-E57F-4696-8C1D-B513D574397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10A39-B793-4FAD-A6F5-84E0C9644F0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0EF956-2938-459E-9D6E-924B9B8B14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418563-57C5-4B20-9051-ADF39DE33AF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3A382F-0A79-489F-AB12-21DE6A196CF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D4FF4F-9684-4659-8943-85AE4104BB4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CCED20-B55B-411C-AD39-85FF2BD5DE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ED0D1D-825A-483C-B457-83D25169093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E65369-36C1-4AD7-8FBE-B2671339850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5FEF0-164A-40F5-B3F3-503B957E0C7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EBFCA5-2516-426B-BB32-E42A1E6A41D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3D8BDF-AAFC-464C-8BC9-AB49856A1EE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54981-6108-4207-B842-A69504EAAF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293D74-7BEB-46B9-97C2-B1BB185294B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E22AB4-7EEC-4C4A-8BF4-186BC214B76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B95097-D89B-433D-BEC7-F999A75D84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5E698-9A13-4F04-B051-AA5CA0B7F46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3BA288-693B-4AB0-8F06-4A50F2BE58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BA2465-167D-48FC-AFB5-8E66B521AC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8A493D-1CBD-4A1E-8C54-43C84CB3D60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DAAFD9-F951-49E2-8DE3-13F8EFBC1F8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B6D42C-37B5-4D93-AAFB-942B8595370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ADB9EE-4AA9-41A9-9606-2AFBA3534A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C19EF-FC4E-4240-95D7-7CC903EDF4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DA471B-2B48-47B7-87AA-B0F73D21891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783A2D-6A13-461C-8208-B12C8F5CDB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FDF22B-6379-49F1-AFE0-9BECB49BC2C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8E284A-6105-46C0-B555-9C3BC0B0C8F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3E6EF2-2A6D-460C-97BB-A1BE63C195A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9EF5F-0624-4F95-8799-91F00D77CA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124D28-D0E9-411C-A14B-DFD96F3A2F5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8F9360-0818-4D86-861B-63CDF66242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76A389-43E4-44C7-9913-C7EDF25790D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0A4B08-A8B6-4C57-B0B8-02E656B3A4C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37AA21-F672-4619-A059-F89025F46F2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89ED50-D48D-49B6-AFD7-D0945255C28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76A61C-8DDD-472B-A592-5CCD94D98B3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F275CF-78B0-42AF-AF30-FBECA571E6C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B065A-AE6B-41B6-8A31-3229EC0CD0B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D6C075-9A16-42E4-9CF5-19F6C9C51EA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0572A3-848A-4E5C-8DF3-4D275CB8151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3DC51C-3B71-4B4F-9354-9BA40A1759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0AED74-4F21-4C77-9E08-0BC2AD6F1B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E266A8-6613-42BC-8335-E8C0926C154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D69008-ED57-428E-B071-B6271FB36A5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93D986-6204-4C11-AA9B-8BB927186D3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82A2BF-679C-430C-80A7-6AF29C0594B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121996-18D6-48BA-A213-B49A346C843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C7F284-DE17-4EAE-AEBA-06CEAD2560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A0994E-725D-48E8-9E37-1F2190E4D30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EB0EC8-3BE9-4390-B13E-EFC57A9BE7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846651-79F5-41ED-897C-C004F0BBF5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D59C10-E5E2-4613-95E7-6A40BF945B3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6BE1A8-2BD2-4C6E-B4D7-3DB17DFB100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9B379-7964-43E0-95C9-F5F68595F4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7048DD-D4B7-4083-8214-513540AFA9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8F66DC-F57D-493B-AD39-2D832ADACAC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E605B7-6641-47CA-8E33-0953111B55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D8222-F9A7-4FE2-B200-B2E5A9C7C51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4DD218-AC32-42A1-BF3A-E84A45A51F3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79ACEF-35AF-4DCB-A283-8591ADCE717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6AC42B-3283-454C-977A-D2080128575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CF8EB7-C7CB-45A1-AB6C-E84CEE6A880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152755-5205-4D0A-A46C-48A80E00C2C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13739C-86BB-4B13-AEF3-7E6210CCC3E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4B4C19-3AC9-49B6-9312-7910FA0DE5B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1B19BF-2E6E-473C-865C-2866C2B75A8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9F57FD-0583-4976-B753-84EFE80346B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0794B6-4382-4AC1-A07A-5C69088435B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CB6CC7-A115-4ABD-929A-257822078B1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27B107-BA08-4727-BB28-24F37AEE01F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FC79BE-CE77-4414-A8A8-2A0DBAB185E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D3C19A-9D06-4D52-93C5-E43B617FB7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FFC093-543B-4595-BE6E-BA2A5115315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796184-9AB2-4A98-A40D-F1F402CF98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E415F2-4E24-433D-9093-11188A02B0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D04184-EDCF-470B-B1BA-05779933BB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7F658-3D14-4FC2-95F2-5CD5492A838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D7BA00-BD54-451C-BFC5-7CB028B87DF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EAF54F-C351-4BE4-A4EF-8550DD96506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F7A1F2-0F39-41C0-BC4B-52374D8B10A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DBB8DC-1E58-4CD2-8768-E2D41D06E49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3B5D00-07E7-4311-9DC3-818EF75CF8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79987C-F9AA-4FF0-A035-C1BD8944D8A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86FD29-D443-45E7-9975-972F9DA4E93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494F67-6EBD-4A49-99DE-1CF1F9EF354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BC55A2-CF40-4EF7-AE73-08C2AD5A9B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C74E45-A17B-48A1-9582-7DD4C50247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27494-88D1-45CE-B7CA-8719E4521D9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C2BA25-8BA8-4276-A627-71D389C18F3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3313F4-337F-40CA-AE9E-06D0E6E65FF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109A57-8594-48C1-BB6E-8B5DCC1AB3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AA195C-5528-42CF-B21C-BF739D050B7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B4106-17A8-4A3E-A1F6-A7A2CD002E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7D49EE-9F6B-4CA9-860F-CB2DFA9BA8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3E8777-E490-4AD5-82F6-20EE8ACBB98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7047CA-00E0-487D-8EE6-FB2F4961FB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028CE6-347C-49B7-B10F-8B8785EC093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0251ED-8041-4750-9382-3C4F66D0A4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6C87B1-79C9-46FB-95F7-194FA7EB9CE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2DB5B4-BBD8-4AFF-A186-BD74A70F70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3B3EFF-02AD-45B6-896E-99437CF431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6642CE-DEB1-43D4-B676-3B54780A956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45C9B-B38A-46EB-B7D8-188A964E13A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CD59F6-87EA-480A-B6E2-A8B9413BBF6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8B8B16-4353-4C97-ABE3-18D26C0D358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B5CC61-74D5-49D5-B6AB-C3AA88A8E5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B36D62-7250-4008-9204-5212371ED0D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C9F28-06CE-4084-86D9-19FD6BBAA2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E46DD3-1AE2-46F0-A2DF-21AEE39E3C9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A6137-3FDB-412B-987D-026696B9600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A30934-5624-4A41-931E-9D0BE80D270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8DA178-9064-48CE-AFE8-C449254B61B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889DA5-22D0-4322-9BAA-5EE60AF2276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8A2CF9-33D2-4FE0-8C14-FD748F1699C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1041D-5870-42F0-BCDD-884D44BD085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BC196-1A1A-4B31-A5EC-B976D18F31C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FDDEFC-2AD5-4842-962C-949A5BF39C2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81C2D-5758-4E44-8C1D-826AD3E5CB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2835BE-152B-404E-BFD9-64C8CB0CE07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FFC8D7-2FB2-414A-B9CA-36E2D2272D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653D6-C075-4BDF-91D9-4B11CF5B0C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6AEC9B-CBFD-4985-AE08-5EBE77D43B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367A09-2D96-4FF0-9166-D521A4C1A86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46B8D6-0961-4053-A5FF-2501ADEA9EB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EA6878-C6F4-4606-B815-53D603637C3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85992E-9E79-4356-BD11-E99FC20AABF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A7D427-B019-4CB4-AB17-8C2534D88B0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A63C16-D594-47E2-A908-F6F11393A8F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9E3566-42C8-4A6F-B185-253D7ACA308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DC33CF-C10D-4B66-9F26-670D37BBE56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48C61C-98A0-495D-A259-C584FB65149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D96903-52C7-440F-9A38-E7F0DA78948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5AB3CF-EE04-4B85-84BB-6D4D9FC854A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B7B8D4-FFAC-4CF3-A7A9-A07A6140C6F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C436CC-C986-4A14-AEA9-CBDB16E575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4422E1-3061-40F3-9B19-B4B8259C6E9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502697-B7F6-4258-ABD5-F319630947C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8FFADA-F93E-4CF6-838C-D70064E81D5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1A3B7-BB05-414A-BB68-3E23B690166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7E0B72-6C5E-4F2D-A8D3-A4D9EC42081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B7BAA-69D0-47A5-89A7-D3A9B4C53C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9DD0C3-70C6-4881-BD72-E50C56E7337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14E68-DC23-4B33-A3C1-DF8E5F1B03F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6E5090-FE75-4089-B919-7629C805AA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486971-0739-40EB-A84E-8BB5E401805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649528-B582-4B24-92D7-29979BD600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4454E0-64F7-468D-82F8-BBD18C4CA54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04153-F2AD-443B-A763-43C4DCD8272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99899B-AB43-4A32-B842-74F63E953AC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FCC56C-8A74-4485-9A6E-46E4F329FB7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8A5F58-C2D7-48E4-893A-65046BED740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A8764D-3217-4402-95D9-9E5AEC92379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06F57-ABEB-4E5D-8789-623CD6F6B4D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DA81FC-218F-4AF2-B24E-339B6F7882C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B757A-75E8-4427-8159-D5E3305135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171384-FDF5-4373-AD91-E790241984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70A50-122A-4E4A-9C53-751B0A41858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99072-E6EE-4BAA-A1D7-4B4E2D55415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EE64D4-3322-4203-8664-4B15A39349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D67B9-D88D-488E-A261-4140B5A28D2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BB811E-8EEC-4DA9-AEC3-802FFA303D4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7E286E-6D91-4233-B94F-18BBEC2D2A6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5F9B1F-951A-4B8C-9814-B5677BD4F91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33EEBF-09F1-4840-BD0B-189C0F61EF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4A0747-0D49-4949-85C5-CD30600C37D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8D77C-FE88-48D5-BD22-674FA43E26C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8A5143-9675-4508-8922-DDBC330D30F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EF8587-3C5E-4FAA-9027-47B7510B5F8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BB86F0-99C2-4A13-B4F1-0719D3781B6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E85CFD-C4DD-4025-BA09-B206092BFB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42238E-8BF8-47E7-8FE4-CAF18AC3E1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0B642F-2A89-4747-81B2-5C4F56C239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4DF6A6-0D63-45BF-9299-CB9AA3E8CE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035203-8811-4982-A163-FBDD1DA3D42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157477-BCF3-4313-827D-0E656A2A777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616B09-1146-4700-83DB-1FE9E2EABB8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05CC9-187E-4660-960B-5BD396D33D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3F52DC-086C-44F7-A195-DCFD1EAA5E6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F7F6F3-A992-4A22-B48A-2A58AFE0C7D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BF9E4B-2C71-4810-BDB3-B4A959C8AAC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1A25B6-4FDD-4837-97F3-0A7BB759438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4746A-E5E1-4548-BFC4-A27CC3146C6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D5A8F6-F651-44EF-9136-0193032E39A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4532AF-7620-4FA7-B7B7-E63002F64F9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30463F-33FF-4830-AEFB-D991A99EACC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962890-3B8C-4563-AB4B-F79976ED434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3EC18E-AA85-47DD-8228-3647F71D59D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EDF77F-0F19-4001-9CDC-56B289F0035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35630-69D0-4133-A402-331876A751A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A8C1CA-3C20-4A22-B5E4-127A57C5400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216E9D-68BB-486E-8108-46CA75B0CF2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42F473-A3F3-4578-AC8C-9ABA9AD936F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BC350C-259E-417A-A3F3-C19362882CB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245868-77D3-4781-ABA7-6AD1E1007AF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B3BC5C-5742-4FD4-BE04-690589DB972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0D6404-0291-46C6-A8D7-408161E01BB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7C7431-C64F-47B2-86FA-788617FE196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4A649F-2C33-44F7-99F0-96F3419CC14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952293-4414-4A27-B47B-FD3A44BCE11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FBBC7C-D5EB-4E86-B759-AF26C8E5C5B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3C8F22-C3FA-4756-B042-066A501310A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4BF1FE-0744-4CB9-B548-43DC84DF412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B5DD14-2751-4A4B-A20C-37A99D5409A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D9F767-065B-4544-B460-1DE218DD141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139FF2-DC0B-474D-B5FE-D317EF011AD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5137AB-D858-447B-B437-06B4A3D5D6A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258419-2100-49C1-B690-1BDCC743C7E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48D7A1-D3C1-4F39-A853-210D817CC2B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B4D146-36BA-4B6D-9A4A-E07E39A0B0C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98528-D48C-410C-8595-022380E736A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62879-5665-4745-BB5D-A4E4888206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5975C9-E45E-493F-98AF-97525A68E57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B6011-7641-4E7E-A735-61710EB77B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96B6DB-140A-4D50-9B29-62395C3D0C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E7B09A-69C7-4A13-BBB6-DBF836E1B1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CBDCE1-0471-4E2B-9DB5-764E6BEBC5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871C33-2FEF-44E0-BE9E-0A806D15198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0018C-6DEB-491A-86F0-B49FAC32FBA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354506-7C83-448C-AA66-65F0915BBA4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02C60-1B6F-4E61-BE02-F978FA9C537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B0F075-35B2-40BF-A953-C74CC574E1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59692A-742E-420C-9BB8-306ACB19814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0709E5-A540-4154-A269-5DC6407B222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21796C-4E2B-4855-8692-549AB465F9C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6CD3AC-47FB-4E03-95D0-F48CBA5A4E6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24936A-F590-4060-A651-4EB6849D0E2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E65B85-9437-402E-A688-E0F736C971C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C8438C-466E-41AB-B8A1-498616BCCE1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F1C7D1-688A-4621-9C10-521468ED2F1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CD0E18-31D7-41B3-B978-E12366425BD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9D6420-AD84-4DA7-B227-9E914C6C9DF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42EBEB-A2AE-4060-8E64-0251338A55B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6A881-F3F2-4C70-AC16-A5272523661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A2F4DD-8C1F-4217-9C46-3787C55342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4B620D-AE8E-49B5-9A03-5B60FCD34D7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DDFB2D-E7DD-4985-8726-9AFB215B8EB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B4068-DC5D-4D72-867D-0FD187ADA1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922156-56F3-41C3-AC52-B11CAB123A6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60EEC6-4CF3-4865-A644-7B794EB1C59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5094A8-3C98-4871-AC59-2FEA141684E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B59DD-EB54-4A93-A6CD-BBC1FC248C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50B904-7807-421B-BBB9-CFB2F998357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4E42F6-E3AC-420E-A069-EEAB3B9F4168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6ED06C-2776-4AA5-9094-265C3044E31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23ACDE-ADCC-46FE-8326-CBB8CD72D94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065DAF-2C33-4DEC-86E9-37D49C5D7AE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3AD4A-6458-47A8-99ED-381AA7212D5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6D9084-C660-43B1-BA0E-1F403FA4AF1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5143BF-7BF3-4CCA-9993-BB4B9DF9F77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97CDC2-9C7C-4885-9AB5-5546D8962CF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D2045E-09EF-4026-8712-5A3BA1DA20B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FC36E7-193C-4EC1-BB81-7D8547C4CC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D8533-E6D9-4B50-AF2F-0A3C1BB25DA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49C390-87CF-4770-8F02-14F05E25784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405EF8-565B-4FF5-A060-FF99D913176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053FB-24ED-40C5-9503-5C377D32E59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FE591-3C40-44BD-914A-0CABE7037B7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C7B04C-9DA5-4CF3-A749-61336C6F83C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87332D-2847-4C1E-ACDB-3C590E5495A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8403FE-852B-4036-B96E-5AAA39982F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F8DB84-B4D2-431C-A248-9068A6315B5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90B874-5723-4502-82CA-4DAB62C99ED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EFCCFE-9DB0-494B-BFDB-BDF9C6C584B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30AE33-A591-4B1B-A3AE-39AA211BD67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304800" cy="304800"/>
    <xdr:sp macro="" textlink="">
      <xdr:nvSpPr>
        <xdr:cNvPr id="3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C33D1-B2DF-4079-B1D5-ACEDDA51BD6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6DF653-ABB0-42D9-8187-75B61DF3A53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E77D1-B6E1-411C-912D-12D68381E69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CBF2CD-02A4-461F-9E80-4B0A5B67D2A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CB3165-61DC-40A7-9BE4-4D1E90BAF92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110A60-E87F-409A-8C5D-D1F16EDC8C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11A107-B62C-4FBA-AFF5-E0A90CBF57E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E67C74-074F-4B5C-9EEC-82FB767A17F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7CDCB1-7EC1-4464-BC7C-FE75AE9743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C60AF-DD73-4DFC-AF4A-D29C6ED09E7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F3F096-0F5B-4C2B-9A17-637A46BCD10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D79AAE-C3F3-408E-9020-60E63DB6E63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4DB4D0-69E4-403C-87E1-2B5D3EF4DAC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FFB65E-3169-4E29-B496-03EBA82003AE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7E35C7-414F-440D-84A1-577E7C4E7FC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EED889-B0C8-46D1-844B-74657F26019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74FD5-D0C4-44E7-837C-B8B43DC8470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75D50-A49D-4C0C-985C-5B9E3B82A6B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010711-44E6-4E80-BECF-076E3F28C492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09E6D-7CCB-4939-BBF2-A7AA4642753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4C622-0FE7-4FB5-B303-CADE4ECCFF4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088ED9-5D70-4E45-B76A-4270C7C0F2F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8F4A45-FF29-4671-9495-1358AF538DB9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B0A49F-81D5-425F-9B40-ABFDFB4A7D26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3E6889-5FD2-4F3C-9F74-2088B5F138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96D91E-17A2-486E-AE78-19AF7956F781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B4776-1353-494B-A9A6-37FA834D4F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1E8866-0D62-4C4D-9B2D-4562626FBB9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5F237F-6BED-42CA-88F5-DC7D8D0A032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03EDE6-0773-4DF9-9DB2-6E89F791DE0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481A3A-B330-49BC-8F2A-3D2557EBEB2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63E0DF-ECC9-43D0-B59F-8F73A5F5ADF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12297F-57E7-45A2-8583-8CDBE517B7C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4D37F6-FB9C-4B75-AC85-2CCA7257711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AE0896-DC1D-4DAC-ACB6-5C3D5224D09F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C61262-A157-4192-94D5-E882007173C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702A0F-CDC6-40B3-89BC-5AE5A29F834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EBA62-037E-461D-A087-109DF8F45B2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64EE94-0CBA-46A9-9441-BCD49230DC90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3BEB3-959B-4894-84DB-173BF03A7D14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D80AC3-19C3-4C83-89A8-C9A9015FC9E5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0F6E34-8E19-4D7A-9804-E4A18A87522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A70901-9F26-42F4-B185-451478E89EB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77E75-58B7-4F86-A7D6-83F33176D72C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B1CC36-1ACA-4ACF-8542-647EB24E3F4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33B3B8-BE1F-4889-8CD5-82D341E761ED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7EA14C-50E5-469A-9985-325112C8725B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D11B2B-45D9-4841-80D3-706FDE48B2D3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1CBC55-428D-49CE-9771-364D299A370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25AA10-1C88-46E4-A721-291FC068F9A7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304800" cy="304800"/>
    <xdr:sp macro="" textlink="">
      <xdr:nvSpPr>
        <xdr:cNvPr id="3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B52B7-BF73-423C-B260-D3065A4BBCBA}"/>
            </a:ext>
          </a:extLst>
        </xdr:cNvPr>
        <xdr:cNvSpPr>
          <a:spLocks noChangeAspect="1" noChangeArrowheads="1"/>
        </xdr:cNvSpPr>
      </xdr:nvSpPr>
      <xdr:spPr bwMode="auto">
        <a:xfrm>
          <a:off x="79438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7D21D7-8BB9-4048-A24B-C681308998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BB6853-7838-4073-97DA-6DF5B8094F9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CA8681-D464-4654-BBE0-44F4631AD56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CD413B-41B4-4EFC-8C66-8CFD17A40C1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3B082A-0435-46E9-9BA9-2C8B86D9CDA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EBD159-8D1B-4449-9B83-39A2066441F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0303DF-ED65-4802-8F66-47F9619757D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8B3BD7-459D-433A-8206-02AA283CB8E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82D180-BB54-45EA-8DAD-04BE59A8584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B8520B-568B-4735-87BD-B3A49FBD501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708134-4DFE-4D54-96D4-12CD9F54EED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5E7270-34C7-4B84-9740-1F9E0BA6D0E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7F54AB-3186-486E-B576-C7A77BEA174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E9B56-D534-44AF-83C0-D911328BB16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5B878E-57EC-4269-95D7-1972215A15E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751552-53EC-476D-8E43-3AE0FE0CCDB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9BA87D-EA86-4A59-8053-2D0CC809467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A3276D-754A-4E9B-B84F-14676A5E758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8DFA07-1567-41D3-A52D-4F1DB03C4CE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779CB1-F6E1-4BD9-9977-F1748386FE4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591908-A0FD-4618-8ED2-0AC3EE94D30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8EB43E-CCF5-45D5-A796-2664CEBF685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6263A2-C500-42B5-AA39-1F0AC8011CC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2F38A5-5F1E-4BEA-8A72-DD0EA6F16AF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29BD07-A3AB-4FAB-A6E7-8D0A49F594D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2EB1EF-E7B4-464B-8118-51AFFE081EE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88453F-150E-4170-ADB4-6AF5E55DF89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FD2BDB-3869-4A12-AD38-C245035AB38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944044-D5E9-4BFC-AB4D-BBAE2E43E27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8B089-2D04-4712-9F52-7861B1FC325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E7C1BC-E966-4CC8-8F89-28B8F078FBE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066CE9-C8A1-4E43-A425-EA1EB98C440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AF026-D652-495A-A2C7-6F219197076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0B937C-943F-45B5-8A56-2B66F8F1D03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D891A-F8F6-41F5-B2A9-7E09DEA25D9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6A698-25DD-43E2-BF83-EC69E390121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52981B-EDD3-42DC-A884-7A21DB634C5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F646F4-027D-44B7-BEB9-C85DA2AE457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D5756B-B4CC-4962-AE6D-6C06F07F730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CC4966-0F16-45CE-99E3-F0E5037E77C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721927-E2C0-47DC-9CE8-8DF7A4CE7AE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80CA9B-DF19-4779-8703-B2F6092E1DA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B3A34B-0E04-4D99-B6C4-4FB46A92EBB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6254B5-ED0A-480E-B545-5A7B7E52F34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C2AAF2-A94A-4E4B-B1B6-2EC56360C47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37DC48-5CA3-408F-9B5B-0CCEB055CA4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64AB0A-8881-4FB2-B83A-4F63262CABF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3BAA4C-DC6D-45D7-B363-04D957EB081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A8F8DA-D9B1-40E5-AD6D-EA302CFF38C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F151D5-9C0F-4C3E-ACDD-61EB7D1FE93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851A4-C7B7-4C70-BF8D-4015DF590D3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F2D076-CEEB-452B-AA8A-F8A56A7CCE7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EBFDEB-1DC0-46BD-85EC-369B4E2DA5C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527F7D-26DD-4D19-BA16-E6C63ADCA09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B7D34E-B8AB-4476-97BD-E7EE7E2B03A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76BDC4-C1AF-43C6-B949-2E53BD817F8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1E5658-53BC-43F4-80E6-9AFC0B047B3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8A5F3B-61BC-4F8F-BFA6-F5388E75271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DF7B05-B9AB-46F4-8DAD-224FC816BC7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0CCE2-7F0A-451C-9D0A-1FCDD353A5E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DC8FCC-B5CF-4C85-81AF-B4A97666B96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77278-A90E-47BB-A41D-52877E1F62E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202813-6C1E-4C5A-A185-CE5478D487F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E8D7C-9C15-4094-BD81-1C8E575AFEF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2D34D2-0469-403F-ABC8-CBA70DD415F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B774F-8378-48F7-A5F2-05A71C87FEE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21E13D-E5FF-4F22-AAA6-F55ECE5A0C4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D1E217-E9B6-4B5D-9FE1-6FDF86E92E3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225AC5-DBDC-4C4F-8719-9D7ED7C6C3D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23A57-5B23-4C80-888A-4E95A66EE20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C2B028-B00C-417C-92F9-5DE07558A4C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8D1FD5-5A36-4F1B-8D9A-70FE24AC9A0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496A93-BFAD-4D20-81D3-9A2097933D2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EC4466-1E0D-42C3-B0F3-CB8B3664FAE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E03BE8-4DAB-499E-AABC-2DF51D273BF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075A19-DE1A-459F-B79C-8DAD45EE83D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AAE2EB-0FFB-445E-A185-32772C13817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51C61A-294D-46C2-9D58-AFE5F487DCF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C64F6C-2A9C-4803-AABA-C6295F6716D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E4D5DC-9A4C-4956-8806-4F725F53A05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4C8BA-63FE-4CB1-900A-254ED637EE4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3E18DE-6DD7-478D-93E4-68B697FFD49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C5F8A2-89E9-4A68-8A6B-DC83D7904C0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B72537-C6D8-40BC-958F-62A1245F891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3708C1-A6F2-4FFF-80F3-F455CE668BF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52AC7-9F03-49EA-92CE-72842FB71AF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86496-453D-412D-A239-CC7A2AEF3DA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99EB0F-4FA2-4941-BF1D-52AE7C93556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C0FE96-9BEB-4867-A85F-7F11227C197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7299BD-0B18-4E45-9269-D9C38449FD4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F62FEF-5508-4655-B086-21CBFC7EC93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87909F-30E5-4FC3-9E71-8C15BAAECAE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DC20E1-EE0E-402D-817E-9F5B2176313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C5D676-3DDE-42E9-B043-BE266347460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EA3911-A08E-47AF-B74D-C334DF4347E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386585-48D6-4DC5-A60E-87C0083C109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B471D7-B18D-4A01-A1E4-3A2EC8E3529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2D3589-B056-4C6C-864D-F109F758729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36AE6-9B4A-4E83-ABCC-A21BD3EB54A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0F6ABC-7BFE-4358-B3F0-CE8DB29E22A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9E1EC8-A6EF-4F10-8B04-5FDDF8AD3B4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547BED-D91F-40C0-8D95-D42D724BD9D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8F42EF-C68B-48C9-A5FE-799C22ED847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1A6C5-96C4-4996-B693-AECBC1D976D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00CCF4-CA05-434F-940E-FECF8086701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0EC5E7-3B6B-430E-A767-2B0A155D354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2DE722-1767-4494-803E-A3BB6F00307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5E3581-4E86-4806-BCA5-75CF6BFB609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C2ECE-FC67-4046-9D9B-38725D6079E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57B4A2-37C4-45F1-BE94-A0C5D3341C5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9AD7B0-4CE5-4C4E-A7A4-C0E6921D6B5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A59AAA-FD86-4054-B809-D1BC6CB456C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1C15B-FB25-4C69-9706-B5CB66DC203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69685-043B-4295-8606-9AAF1CD49CB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F3E7D-941B-44B8-8944-1E7180F49F6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D698CA-C7D9-4F4C-AB6D-E85A71BE960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F8C47-FE67-4606-A632-0A03F52F4BA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F5030C-DE5F-480E-95B0-2454ACD017C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64EF02-1940-4F9A-B098-B188B412555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334B5C-AA83-448B-8771-CC04C4B1B0D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3AB35-AF12-4543-BFC3-597E250388D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52969C-7CBF-47CD-BC2D-03855C73340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D2899B-F7E6-4950-B1E2-E5C72371A79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224A2C-60B6-4087-976A-52CB303B3A1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D4DCB0-800E-4DEE-B068-7EFA38DDFA0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63772E-FF1E-43D7-A492-EA9786FBC93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77238F-E997-459A-BFFB-91DC76D8CEA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B44235-C308-4805-AA2F-8CD6EFF0397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829EE9-B2AB-4765-92E0-F6EC5F76193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A01BD-6F34-44EE-82D0-FC3E84599C4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623BE-C6B4-4780-8298-4D83C157A3B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FAD39-7FC9-4381-8953-254328D5C77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CBEF39-0960-42C3-81B8-01278304049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F17BE-AF3E-49B3-954A-37B4660E311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7A7947-E6E7-4E70-8E55-E33818DFAE4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1A6A7C-F7B9-4A80-8D27-19318115C3B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B1B607-4C5B-4119-B866-F79B84B6D8D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1F2B53-D60C-4790-B7A5-2EED4749372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6E26B0-DD4E-48DD-8789-BAADE41452D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E04C79-43F1-4610-9783-3AD8CC33781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B7DBCF-91FC-445E-B305-59F1DDC30B4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E8E37B-BF7D-4FF1-95FE-F983AF1F9BA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18B78-A337-41F7-8BA3-8B4AA9E00DD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775172-CD27-4A18-A37A-7337B877E47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B630EB-4E41-421D-B676-C908FC031D6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D23506-9EC1-4835-B623-F24629CD2C7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C390B-0C7E-4EE1-916F-FF55A211EA7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7</xdr:row>
      <xdr:rowOff>0</xdr:rowOff>
    </xdr:from>
    <xdr:ext cx="304800" cy="304800"/>
    <xdr:sp macro="" textlink="">
      <xdr:nvSpPr>
        <xdr:cNvPr id="3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B9CFBD-B3E5-4160-9D19-AC87D32D7C4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E532A5-CDE5-43E2-AEBD-868B09A8101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DA3F7B-FE9F-4DE3-8238-D4CE3876520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64FE6-8997-4940-95A3-CA9F1BF3AAB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FF068-0464-4CAB-AA0F-C0A2CE8E14B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0F9A4A-59E9-45E9-B700-8BE636E04B2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04998A-8D09-490E-AA3C-A3420946C28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125BCC-4926-4AA9-AEA0-B290F8522B7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DA604F-6C93-4930-9CE0-BE95D557C6F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708685-55F0-4B45-8A7E-8ED3149C477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E699EF-34E5-46FB-B0E7-BD59A1767AA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A19AE-B3BC-4280-84A8-4820BB87643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6EC662-2F89-48ED-8905-AC46EF38DD7B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89AD00-BEEA-4BE6-B764-79749282755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DC7F30-36AE-4216-A35B-EFBED18B82A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236C39-431C-4B2C-8BAF-79F242E4713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86E349-430D-49B5-B35B-AD7BEDF4798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BC58EF-B4C7-46E9-9814-8C98186CAC73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6276B-88F5-4573-A2C7-02D057D5287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2CBAEB-7EE6-4940-B328-A0265155D64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5A820E-FA31-4359-B145-0A31490E6D7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A673A6-BC6D-4C1B-9200-E83C88E90A3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E0CE64-8B96-4D9D-BAD8-6B5D81ED017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2FDEC6-AB51-46A3-983E-6A843AB7AB67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B38944-815D-4E22-A4A3-BAFBD7C1DC8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DC380-7E34-46E7-81BA-B1906675177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EC5BB-8C25-4D22-BA6A-8FC87B3FA59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A5316A-4EA1-4314-BE5E-4C828318BE79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178B24-1D4E-41F4-AB64-5C2B544E3D7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98FD89-EB2D-4E1B-8193-18D8FAE384A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72EF9E-3486-417E-8A06-29EF59E33C6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554D06-3D3C-444B-BA0A-9FF03C0945B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EC9300-5948-4D01-9482-1AB086CFCE8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DDBEEE-ABB9-4CC1-90CA-8B7CFCE99BB4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AC2F53-9D3F-4B13-B36D-DFE7895D2A4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2CE3E-5E78-4474-A52B-7003E529B23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2FE833-016E-43C9-8314-C9765513C8F2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401BC5-9665-4D09-B161-45FFCD9DC96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E42FD0-C508-42C8-A4A2-B26B49239C05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81148-24E5-4595-851A-B0409BF1D4E0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59B170-9F44-45A1-85E1-DD1CD64AD3CD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48B905-9EE0-4195-8772-3757AE79A2B1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88D21-454B-42B7-97CF-E9C7A45FC4C8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D694DF-E817-4E81-B724-434F955FCB0F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DCE194-1785-4916-BFF0-6E98E45E2E4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94969F-02B4-4CDE-9748-1EDAA8627E0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02A25A-E834-4E72-B160-8DE69A05764E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4910A-4C5A-4B9A-B5DE-220957EB3BE6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48D37-B88B-401D-BF21-01CCE0CA5B2C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304800"/>
    <xdr:sp macro="" textlink="">
      <xdr:nvSpPr>
        <xdr:cNvPr id="3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48796-57A2-4A39-8F5F-B88D7B3CC82A}"/>
            </a:ext>
          </a:extLst>
        </xdr:cNvPr>
        <xdr:cNvSpPr>
          <a:spLocks noChangeAspect="1" noChangeArrowheads="1"/>
        </xdr:cNvSpPr>
      </xdr:nvSpPr>
      <xdr:spPr bwMode="auto">
        <a:xfrm>
          <a:off x="81819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D201FB-064B-4484-86B8-281128E075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C186C7-611C-48EB-A6FA-7E77E34C204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FA8263-CDE1-4A26-BD46-F56EC4A575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94328C-AF3E-47BA-BCC1-2D282F8256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72ED88-9C71-4508-9B66-11EB06A36EC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35CB44-7760-419F-9673-F4497C8E8C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86F58B-9713-4E39-90AD-3FB2B29507D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A900BB-B0C1-4820-BCF3-25AC9C78521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6279AD-982A-439D-A5C4-F826D1E8940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6EF81E-8501-4A22-87B8-5E2D154419F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7CA27-4CC9-4508-B149-A20192A9084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4CD25E-20F7-43DC-B280-DD03FB46F71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83116D-CEBB-4FBD-B4F5-AA0FF1F0485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A3D98D-3697-49BE-8235-E70188EE870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E50FF7-EC97-41C7-A962-B0289FB7A6A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C5B9E6-2D40-4B23-BBE8-B37602A0D70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48BC6C-6AB8-4D40-BCEC-1DEE8C8BF3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18F9C2-528F-4D0C-8629-FCDD8245355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3577F8-A8D4-4DA8-8DA3-8F13F5B8A0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394E34-0F8F-49BF-BA85-9A7C46F9EF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87A3E2-DA3F-4578-8501-7FFD7B7E29B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EEC12-5E7C-4796-977F-0DD97158AF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42157D-422D-42BD-B0C5-FD3E13FDE0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462CB-C2F9-410B-A584-61A9673C316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86FD0-6DAA-457A-B9B9-1F605CAB76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4D9C56-081E-4D87-9E2D-CF9AEBFDC0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8DA38-2DF7-439D-AB8F-4C2B3341B6E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3B7DA0-8ACD-4BCD-9352-E59F8F8D266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F6E013-E91B-491A-90A2-A0BFBEAF87F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EAF55D-88F1-426A-9350-20CDC28E224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67F505-A837-459E-8EE7-BDF8BA73E7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8E84DF-6BFF-4F11-BD5E-4A15AABB97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79F410-5E86-47FA-8ECC-78E42E446CD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17AF5E-5E71-46BF-922D-BCEA29DDA26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1C2C99-AC69-44E8-97D4-E9035F291CB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F14104-DD9C-42A2-B35B-3D24611956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57D003-F87A-4B2F-9603-386F9110ABF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2CA7F9-A84C-45B2-A3C2-9FA85F39882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F45603-502B-45D6-85D8-04210EDCB0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CF8E94-ED4C-4915-9089-0698AEE0023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8FD63A-9EB6-4810-B361-230B63F034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C20D23-81E3-433F-A9BA-5339F9580E5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DE29E7-4AE4-4520-9D77-790394E7641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8A55C4-707C-4214-AD75-4290C81F60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5937C-E1AE-4C71-AC97-87E96BFDA8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CC9FC-396A-400D-A240-2EA5A032D7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028BF9-9742-4193-95EC-6F1184954D5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E51902-B2DE-4E9B-913B-F177FE6B00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6C63B-8625-42B7-A203-FB6371906BA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E87C91-2203-4112-8D05-8694CDD9765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AF2586-1E80-4A67-8045-F10418E9D22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F32DD8-F623-4843-8D08-3BD4344A406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F5545E-89FF-41BE-A951-D57FD1A97F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BEA2F8-0FE4-41EB-80F9-937E060A542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683EE2-15FF-4AA8-9C0D-10BD4C98DF7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7935A-5C52-4FF4-BD67-F747C157A5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4B6109-FA89-4A36-897A-F41023D1A6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F3528A-038C-4216-A5D2-BFF7C79076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A670B-08FB-4737-86AF-39A3DF682A8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4DE59E-BFCC-46B7-A50B-5AB7BF5FE9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A988A0-CBA3-4EA1-A62E-BFF5E2BDAC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AC7BAB-259D-4265-8D97-B164588E18D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E593D5-0BBB-431F-9E19-566C36A4F7E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028244-2F90-4159-B301-A62C7256B3D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C5142A-1E5F-4AD9-9F3A-5B111579425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C00CE5-2618-4EBE-AF67-2C3A54D4F38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8DF5B5-4EAB-4092-8431-2F35F9DB364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2C770F-F089-429E-B3A2-0BA3E13246D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9B86B-DE25-4582-BB56-7FC0D7FE213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1DE14-72A2-454D-9CC3-AE891DD7170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E5673C-3ABC-4C5B-ACA6-C2E6B0D5479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510718-C04D-4FA4-8D26-A5E322B204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8E13D-2EA4-427D-8936-AEE949F18F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5B275-334B-4E44-A52B-F4C97A1844C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5BBE71-F89F-4100-BA07-ADF10830A58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43E968-E635-4C80-8A54-2AF74EC0CE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20902D-58D2-4ACA-BA28-E8E4C69B08D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598E03-73D5-4CAA-A58B-72BF25FD633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11ADC6-E967-453B-8853-981B8C05625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0ADC89-C0A7-4240-8607-20C0A9AAC36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C3469D-FC71-4FE4-96F1-5ECAA82E4C2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C12C1B-651C-43A7-9283-C5A7EE125B3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7F05D8-81E5-4E13-B80B-C3E06974BE9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2D759C-D728-4BCC-804E-193241A3065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36A1C5-A62A-402A-99AF-F73FBB2D6A6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44FCF5-A467-4E05-8BD5-9C47A4012D6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37D801-CAD9-40D3-9509-1D9524B40E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22E1D5-A90F-4459-8967-D3A2E22DA3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DAF83B-7B4E-4651-9E7C-E7AF3F764A7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9DED4B-31BC-4C96-A9B1-5D38626353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C3D25-2706-43A6-9393-F3059A4780E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D70EB1-AE21-421D-928A-177E8FA94AA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25D86-759C-4CA6-917F-054254235B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B9C353-9CAA-4A40-B978-BF3A7AB745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2179E1-E8E6-4D58-8F18-76F67866C68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935900-5838-4D27-A9FF-71379F5D627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3C2B2-DEC4-411B-8DF5-43FA14FE03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ADC0F0-98ED-412A-9087-E2B8CE017E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091BBB-770F-458D-80ED-ED60A728DB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363C6E-6FC4-4DE6-83FD-C572ED7C1A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0236AA-12F2-44FB-B803-E5C78FAF4EA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02980-4E15-4A0E-93C1-6C40572E66A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20F2E8-2D1D-4CBD-AB9A-1A28FE9A06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F9BF3F-23EF-4907-9534-DB1B93266B4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930B70-5914-4205-A55C-B6B5A12CDD4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5D548-BE6B-4EA3-90CB-1B9D0A09EB5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B76959-CD5F-4408-9779-7DEE6E0852B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9E3E99-974A-4BAF-9914-84CF32B7BE8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C3A706-34C0-42CA-B58A-F02283DA8F4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37137B-E7B1-4B15-921F-6CE83CB9B6C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13295C-EC7E-45A8-B248-CB5BF58949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A120FD-D367-427D-9485-7279E7E98D5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A1738A-845D-4D93-A296-6E1AB067A19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B5C9B0-EA74-4078-82A5-92438E0A9D3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77459B-E78A-406E-9A1F-BD9BCFC3BC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5D776B-693E-4D9E-94BC-A32625D148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C0375F-33F3-4993-A636-E5E5FA05D2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3140F0-8DC2-4534-8798-25EB2862595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5BA188-0B5D-4F74-B107-726AFBF29CE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FCE79A-6117-47D9-8EC6-65CAD47449F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217399-93EB-4A3D-88F9-4F0F5B283A9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0B7854-88D4-4E79-B14E-88C0FE9283B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6D3700-6EC2-4BC0-9E8B-B8C51185A4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1C37E-F15E-4177-88AA-81433B90E95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64F734-16D3-46E2-9E56-62B7823D160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87B723-5498-4B46-95B8-C36690837F9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090D7-B6C8-40EA-9040-F7D0837F5E2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667CE7-EDD4-4AAE-BA1C-35428B34573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2D4E30-DF1C-43E5-B96B-D5C6682EFEC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D22BB-8222-4F28-B31C-8F040221B24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1CB24-B21B-43AD-A56F-982BCCAE6E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03CE6F-AED3-43C1-AC0D-24A58356E40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C2E9D-1A28-4A33-9718-9317E408F2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6CB8AA-8006-488F-B1F7-901E17AE14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2AE121-A15A-496D-A192-9843157EA0F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170CA2-691F-48C3-9852-16238F9B50A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291912-F0EC-4AC3-BF14-E8E0D61BABD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8494C7-80CD-4D24-8F52-8E37CF9ADC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68B464-3798-415F-9FF5-95724C1FBD5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4BF9C6-54A8-4C18-85B4-FA9954E3222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B1338F-0865-4CD4-A6F1-27666A56E5D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E2B32F-D3DD-437B-A22A-163FB657F6A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540A97-9AD7-4F75-BF54-A06F12CB88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430D4A-E5DC-4FCF-B7E1-1B95AAF5167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EB695A-8988-4932-854A-B8A8A736243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8EAF5F-0F32-46E4-ABD4-A5388F6093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42410A-5CF8-4349-87CA-5337E80D991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54721B-FDAE-4491-BE2E-BA264BF589F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86F290-E1D3-4703-AFA1-95C660636CD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C7303C-990D-495D-9172-0A6320D941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91740C-1901-40DC-A4A0-EB67A31D93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DED97C-DAE5-4209-A405-5DC14516B39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072DC8-F007-40E1-8CD4-6FD801CD0C1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1615C6-91E8-4409-BDD2-9A3E1E23BA4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4AB5B8-7139-4477-9347-05152D87DBF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D589DF-319B-4DAD-A997-A967398800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F6D6B9-E205-4C17-9F87-6F05D5DD599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D0406-3D07-484A-BFEB-97A0820883F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D4F2F-60A6-4175-A8E5-034D743F911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918FE5-E335-4BBB-B999-0AA9971309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465D10-F4BA-4BAF-90C9-6C962DBB049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986F43-F88B-4EA6-A37A-7A18D9D468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5A4D5D-88FE-4BEA-B286-AB15F48463A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1A53E1-F242-49FF-ACBE-50413C32E8B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3EA82A-E55D-4C6E-B670-CFFB2E7FB67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427A12-DED6-49AB-8BAC-DAA8EA4C44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42E43D-15DB-4194-A06F-1B4E708FEAE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F7613-0229-4FAB-9617-142A0448F66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C4D5DA-3694-4E6B-BAC6-AFC7B13F446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328CD2-9A1F-4680-91BE-2BAF5EC383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92FA1-EFBD-47EB-B406-43699B71D5D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BD2C6C-1457-4F9A-91A0-02145287627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8BEFEE-7287-42AB-85C8-08AA1D9056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CBCC5E-CB2D-4C6A-BC38-ABE9FF82F4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58F7A-61C5-4903-90AB-5FC367CEA63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466A0C-1FD6-4119-A8D2-CA71C3B735A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DB354-D68F-4585-9B6A-D313C554D8C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D0A3CC-2ADC-48DF-9B15-3498FCBCDB3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9B1BF0-35A4-4813-9542-21003A9E48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C5EB5D-35D8-4DEF-9747-A59DBD9477E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DB1384-D615-45E8-80CE-0845F2D07B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36A87B-3544-45F8-AA21-21AF4C84105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20EDC9-DA12-4656-BF3A-B308A44F3E1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DEA361-668D-4BDA-B540-5E1AE4A3E2F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5ECE63-F341-406B-BA34-F71DB72046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DF4A88-DC5A-48CB-AEE0-CCE584DC9C0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55DA17-7337-43D1-8B9A-CA050DD253D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A24A5F-4E25-4348-AB52-13B356E82F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F05E4-9272-434B-8373-2982F1FC81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BEB9A4-F4DD-4861-B964-9DB99096B10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72025-269F-4B0F-A450-924B7F997F9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80A9A-5B50-4CF1-B5B1-B8431B5B5D1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9CB5E-B7C9-4579-AE85-77753FB2D65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AA7B3D-F9CE-46C7-BE3F-8317837110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43885-D78A-4DAA-971F-1737ECB0308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B07729-3BB8-43F7-9630-D6FF34E8DE2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321CA0-608E-4A3E-92CE-A88BC6A647A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B1193A-1D6C-498B-B1F9-3E2C15E18FE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3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CCCCD3-109C-41F5-82DB-B12D0EA7A1F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A8EF32-AC8F-4CCE-AC32-22AA84CA29F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F42448-F1AF-4319-8970-50591FBB7D3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5FC4F4-D6EA-4613-829C-46D78778259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2C377-4BF0-4CE3-A37E-30B68F1F1D9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BB6485-E61C-4514-9EFE-6EE1A7B8161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198DB8-E13E-4DB0-9954-3ECB7427E46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4C94B6-3BCE-44F9-B304-58FE5A9C63D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D3D780-09E1-4674-A8C7-149CDB42A1FB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896FE9-3699-40F3-8745-49E263AB50A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4142AE-4F4E-49F0-B292-8F4ADB538F5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CE2A2F-6511-49DA-B682-731F2DA1B69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9FA059-32E3-4873-BD6B-AEE003B6FE5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E32AB6-AA8B-4EA5-8850-5E6B69C44BF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AEA453-3486-4D9B-8627-2C64E8C940E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F6E936-33F8-4F0F-8375-4DC739FBB41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CEE0E-2D2D-4D81-AF8E-C71AAAA8864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F189D7-F401-411F-B196-60120C0AE3D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3A7712-27ED-4700-A237-16FE3A330B5E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720B2F-BDB8-459C-8474-5DDA082685F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0908D-9EDA-43C3-A58F-76A2FFEF850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553492-80F0-40A6-BF2D-B32D80111E3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7F820E-31C8-4AAC-81C0-AFB72DC08E6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3A986D-08A1-4988-B4AA-7FB596F2261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68D923-42CF-437C-A960-0D154FD5CE11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43B842-158C-4081-B440-749EEAF211F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682A80-6000-437E-89FF-DAB1BEA39BF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8FB74A-F81B-4134-B110-43D3F86C7EE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9F0829-43BF-407A-BF5E-AA15E103CE6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A62284-2AC0-4CBB-A231-070B5739CC2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A7DCC-0AB7-4823-BAA2-7D30F99576F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030DD7-3BB0-45F5-A3B6-70548898A7B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A8502D-565A-47C7-83D5-6E8FC022C82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566491-A50B-4433-AA41-2B648FC6A87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714375" cy="304800"/>
    <xdr:sp macro="" textlink="">
      <xdr:nvSpPr>
        <xdr:cNvPr id="3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C587BB-6898-45A9-B5AD-C3DEF62BDE0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C41658-2CD0-44BA-8CA5-481000B1DE3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27F49C-6CBA-4B3F-B662-C0F197D795C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0D9BF-7132-40FE-BD58-5F6120DF1B47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0E4C75-BF74-4A55-833B-8FC202C21012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BF3D72-9A0E-46D8-B36E-0BC67BFCA59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7B4988-7794-4523-8CB1-A629D502F03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606D3-5D6B-4A89-89F5-3DB799A9DC8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FC1EF9-344B-4D2C-ACA0-E505226345A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B98D9-4173-4075-9D51-A2B40EEA0633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E58DC3-5687-4FC0-9A0F-4C2A1DAECB4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798DFB-E1B6-4F18-A67B-2959A6D55E50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E601A-E5C3-4647-87A9-6BD6DF6EBC0A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B7A075-36F6-419F-ACAA-1F93D5270599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9339D-975D-4572-93C0-88730CE133FF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4F5AC-0228-4170-870B-DF5BC99A0D4D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7F742-1AAA-4B14-8D4C-B7818E6A44F6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F93D99-C738-4709-AE6D-A0F9FC7D96C8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901720-7FF0-4E92-8959-95510167BDF4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6D0F69-B990-4615-A693-4DA181CD790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</xdr:row>
      <xdr:rowOff>0</xdr:rowOff>
    </xdr:from>
    <xdr:ext cx="304800" cy="304800"/>
    <xdr:sp macro="" textlink="">
      <xdr:nvSpPr>
        <xdr:cNvPr id="3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A985A-A7E7-467A-BE98-33CBD96EF6D5}"/>
            </a:ext>
          </a:extLst>
        </xdr:cNvPr>
        <xdr:cNvSpPr>
          <a:spLocks noChangeAspect="1" noChangeArrowheads="1"/>
        </xdr:cNvSpPr>
      </xdr:nvSpPr>
      <xdr:spPr bwMode="auto">
        <a:xfrm>
          <a:off x="9372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515818-EEA1-42DC-819B-3A0D2473060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1A8B61-B4CA-42AC-A160-FCFEA63BEA2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8D512E-FA2E-4B2C-B759-5127404EF7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3C3087-FF4D-46DA-8F3F-5E6972BAA6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FFE01B-AB52-40AC-A5C9-C406AC443B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644854-CB3E-4B39-B440-826EEE8022F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8EFE4B-D12B-441C-8D26-A71C7FB721D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7515E1-3C01-437B-B68E-396C12D8CB5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C8E181-6EDB-4932-8766-6D49B3284DC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59B21A-8FF9-4FA6-9C5B-E504CC2F5E0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43626-6ABD-4B7E-AD01-AE1EECAA26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4F80D2-66B6-465D-9DF4-56C20D16859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281D3-8254-4877-9DBF-1BA47C80E7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C832E-05D8-4227-A148-1FEC7975580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714375" cy="304800"/>
    <xdr:sp macro="" textlink="">
      <xdr:nvSpPr>
        <xdr:cNvPr id="3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02CF01-8969-47D4-B907-D2E4574EEE7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D5E7D-47DB-43DE-A6C7-F37126E3117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2C2A1A-68D6-4B91-8FDD-0B28335CA38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D0FB54-9F2C-4072-8A14-61D81B67DD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0C9189-0110-4AB2-9C91-8490D269395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BB1A06-4018-450C-BE5F-AA66176140D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3EFD88-73FA-4B4A-9005-9452340AD38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822156-0DE8-4A8C-A56E-D69D1CCA23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840BEF-050D-4D23-8A45-7D808E77AD0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BF1F3-4044-4664-AB0A-C79F23C9D22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0FB109-27B7-4F3D-80DD-03243A77256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55BF37-89E9-4A7E-B873-1317595CE8F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E3A151-026F-4E87-86C7-1DA670BED3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68ED00-880A-47CA-AFE2-2E918107BB5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C8BA3B-A6C3-4AD2-A8EB-F61D6B4A15D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1371B9-3136-4ABB-B975-662DB424871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5A8AF4-7E82-4C4F-B4CF-D811B0F678C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10A304-B00B-42CB-A42B-EF86D86EA11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4551E7-B59B-4FED-9C55-5F0EC312E95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1A356A-3560-4429-B785-64520C5B99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A8D960-FADB-4D87-B977-373FFDDF578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32D0DB-78D9-44D5-8CB1-7C7F72083EA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337EC3-DF24-4983-B398-55480D5025E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3B82A7-0DC6-4F69-8056-60DF4B23BC7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47A3C-3825-40FA-89BB-7636E3B2DD7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491314-7F94-4B65-82AA-D7600F9FBDB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42408C-5913-4ED4-9166-03FBE4030F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4D15C-6A49-4742-809E-1FC445517A1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78206A-AD0B-4E2E-A71D-78D8C854016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71F4D-474F-4A9D-B201-A2F0D25037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3E223A-0139-4138-9EA1-A986EA08A9B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9CAF5-5F73-475C-97BE-175C7D2A16D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F72843-42BE-41A0-A048-CECAEED63CB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6ECDDC-C81A-4667-B4AE-BB5A94DFB6A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13738F-303C-48C4-B215-022CE1299D9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0E4045-3197-4E12-B554-AD628F7ABB9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F7174-4FAF-4FA9-9764-1F1752847F6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36B211-C255-49CC-8A3B-41D7FF2D36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8E495C-E5AB-4964-B5BA-3C45C04C9BA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2FB792-DF15-486B-85DC-E59DD981B16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7F155B-72C2-4947-83F7-6C461E05523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CDC4E6-E9A7-44B1-81AD-9AF7C3D52A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12825-82C2-4AAC-AF2F-CC155C9EA6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D45537-9D6B-4037-BE3E-83749615233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42A430-D722-41F8-992F-100A1280C89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15B250-E4F4-46A7-B2F0-32BB88A4287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4B570A-81E6-4DF0-A12C-DF149B77FC3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099DFE-8705-4516-9DAA-81931C71DD0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4AAB3A-03EB-4DCA-8D8A-80B72E329D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184022-C150-43CD-8509-F72FCEE4AB9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0623D6-3F46-4077-BF92-DBDCA0BBA95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B65613-8866-4EAA-8204-4693EA644B3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97D7B6-67B3-46B3-93B1-569AB3EA6BD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54458C-9F28-4888-BE69-733EB4E2328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D53076-06A9-4AA8-BD97-385BF8892C2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BBCCB2-3243-497F-9540-4A3FA5F4B87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402647-755E-4676-85CD-2C88B73C4E7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8EDDFD-006F-4FB9-B316-B135E4CB18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C155CC-BF4B-4DC3-BAD7-AA3883939EA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F7DF0B-8635-4029-97A4-A055E1EBB02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A5026-F8B5-4E2F-A568-7320E4C248E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77B046-A0E7-4F3E-AFF2-703A802EBCE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06E4A-BD1A-4DE1-B3BF-0F4207B07B2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1B06CA-B467-49FF-BFBC-ABE56A7B7E6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80855A-DE4D-46DA-88AB-9B26589B421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27DC44-C4DB-4567-AF4A-49FF45DC575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2629CF-8C27-4381-8A61-7FE4C0B20C8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035D12-9C1D-4F2A-B683-1FCE90F50B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1AE5E-58BC-460F-810A-D1207CEAFC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60EECF-9001-41E8-8C28-E5391BC612B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824340-4860-4D55-BFA7-43C069F6842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A1366-3166-44EA-BD48-88EEA8DAE0C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3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201F3-8D27-42C5-8B7A-A6CD53E52B8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8B2FF8-FAB9-4D42-B793-D7CC231258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1C34A8-6EDE-461B-9F1E-6B7CF9942EF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0B2CF1-2BAB-42FB-9290-4A54527B9E8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A5AF67-1909-413A-97EF-6DBFF44AF60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217753-FA74-47A6-8D30-6D47E1C08FB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C8EE3C-22F7-4347-AC5C-2D70E8E2A23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710F27-FA2E-42DA-9FA6-A86C93E0268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F22B36-28D5-45DD-B50A-FE9E0C6218C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29F22C-C3D0-45D8-BF84-F7AA2CD0FF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669D05-62AA-4B7B-8083-A7C1C91BD1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1C181A-FCA8-46B6-8978-64653684C3A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017005-BA18-4A7A-9129-05081DD6E76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B612B3-1186-4A91-B9FB-5256F911593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1AB4CA-394B-4696-A380-8B20D6F5644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5BE78-5EC0-4B89-A9A6-AA1F76AED20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7D143C-5CAC-43E5-A7E4-AC3D656B060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E96A12-2378-4011-8CBC-616C3E0F938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633B7D-2A3A-4E34-A54E-A866B99EAF1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A2C25E-E829-4E5A-8ECD-A2204454728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572B7C-CD75-4DA2-8258-E3BE2778922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1224A4-99BD-4EA8-9BE2-98118612E24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0DD149-6C45-4FA5-A9CA-BB1874D29F1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FC993-4FE5-494F-A84D-623DFB19CC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E52CFF-5D46-4E17-BF9E-03F99571EB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4C1BC8-3D90-4C79-93CB-ED682837F3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34E1E0-B4B5-4DFE-8F34-505D244BD0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5C3C9-F085-47F3-A228-6DD5BA75B6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7065D1-D16C-42DC-B6E8-28EA15B1A22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2B6A56-7A2D-44A1-9C5D-34FBE2D0ED2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D4C257-2C50-411F-A8B7-CC511AE978A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47D884-BBF5-40D0-B2B2-0E2D93341D5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84EDC1-41DF-4801-8387-72BF989E4C3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F8A32F-834F-4168-90FA-2BA0375B6E7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F108E-2418-47DF-B0BB-0E946098E0B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197008-C59A-4625-8C4C-E1BDB614649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06349B-E6D4-4E8B-8CDC-AA590E99AA5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26564D-F241-49BF-9A6A-62E7F8DFFE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B762DB-3900-47E6-87C1-88002E7293C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CCE71F-408F-4FB0-88BB-AF372E97608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0BB0D-77B9-417A-8BF4-72301B31DFC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32CA1F-5582-4D84-B025-63A646DA64E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956EDA-A914-4A68-97C8-478D49A0FE8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6135CF-C51B-4159-8DEE-8AA59F2658E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40BA48-4392-4309-8BEE-E4DE5BB4073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0CEEB5-11E4-49CB-BA9A-F3E681B8F9F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882F6-5B23-4596-A2D9-3F5F0DFB970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F03128-FDDC-48EC-BCC2-068945E591B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104777-5F11-4A8F-AA04-8A723359C9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0FAA65-5FBC-41D1-A342-3D8AF4A6C95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711100-4BFA-4DF5-8190-539AEDCC8B5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4C2DEB-D138-4FFF-B5D1-3B60AFE719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9A273-25D1-403A-960C-A2259C27E97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312E18-A2F8-45CF-A7BA-B7893819FC2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7C8699-4B79-4CA4-9C1C-092C0679E54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219AD2-7FB5-49D8-B5EB-62657EBC7D3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61A52E-B6FE-4842-B596-CCB63390F2E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23FF36-A3C3-4C56-BE87-5D3E98CCAED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8E7A3E-C258-467A-92B9-C366158D03C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435C81-FF6F-440C-B6BB-B52AC180198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B49FC8-79C5-4949-9DA9-E520D1CA5A6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406BA8-CC5E-4B2A-A54C-413D9928236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D34CF7-4D6A-48B5-B8F4-DEF46BF7CE4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CF4FBD-27F3-445C-A11D-CB8C78DBB42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7</xdr:row>
      <xdr:rowOff>0</xdr:rowOff>
    </xdr:from>
    <xdr:ext cx="304800" cy="304800"/>
    <xdr:sp macro="" textlink="">
      <xdr:nvSpPr>
        <xdr:cNvPr id="4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3785A3-7592-4ADB-856F-6DA1AB3C830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86534-233C-43F2-86C8-CF583A52984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0A0102-2C58-4A6D-83E4-6D6C54BF356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B1B90D-896A-4613-85D8-21325C788C3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239896-E065-49E9-91BC-00F1B42EDBFB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5B801-B6EF-49E9-91EF-CE029004C4C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0C1ECA-3BDE-467A-B80E-F470C15D82E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067E4D-3BE4-4D7F-BFC7-EB411E0728E8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EC3AD0-058A-4C23-9EFD-D105F08F290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8E9F6C-6517-47A9-8C8C-0CF539796FC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A9AD32-F8EF-491B-8E4F-82A7B423494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4311D2-DC7C-404D-ACE5-D8F5E14EA90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BA4B0A-61A3-4F01-8C4E-59C9E6CF645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9FAE4-3AB3-4D12-BC3D-3F63BF9CCA4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A04A8-0F79-4B09-AFBD-CB21924FE7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5D606C-9577-4BCC-9EC1-E1BEA879973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8A0E98-8ACA-4A48-97FF-988206FD930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A3CCC4-3791-4068-8DEA-CA7BDC4FA52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02C09-70F2-4D52-A3FC-0FA510D6CB2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64A3DD-2DAD-4CAE-A527-373944C9D0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99B10F-37C5-4AD6-91C4-30029BCEA93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AFA73D-C5D6-41BF-9847-679B6858509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66E245-0E49-4CEC-976C-F35CDE7DD0F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1B0CBB-363A-4C76-A563-BC2A18D8EF8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109DF-D701-44DE-8FAB-F717229FE032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C93026-1B7E-4033-8F28-2B5E5F6845C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458316-9075-44D2-9E3E-DEC7CE18FA7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A6FCE6-C2F4-4F62-A2EB-A84AD6D8F9E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BB525-C167-4D2C-AAC6-FC1D45BCB26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712082-B7AF-42B5-8EF7-7509CC1914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5BF1B7-4332-4B0E-B17E-89C3DA77305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A7E89C-B81A-4E21-A43E-29D1E278F76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EAAF4A-DA1F-4924-A824-219FA941C68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B97644-7EDD-4CC1-AEE8-6666D53067D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714375" cy="304800"/>
    <xdr:sp macro="" textlink="">
      <xdr:nvSpPr>
        <xdr:cNvPr id="4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0664DC-128A-4483-93F1-EC01C8D6022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221ED-D7A9-4BCB-B472-98D0A81BA40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EBC4B4-6F87-482F-8C23-63BF760B0B4A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8A54AC-9D41-4F8E-9C95-A231F20E1BC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B11BA-29A9-477C-945C-4F96E703A585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A41BF2-5561-4B1F-B946-78FF3BE5170D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B6DD4-E7E8-4B98-8068-4286D4D053AF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0199EE-3CCF-44CF-A165-CAA8AA89E9C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1E5A00-9792-4FFF-9694-B886269F769E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F576BD-B3F8-4CA9-B50A-5B43CFD9CCD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6DA919-67DA-4815-83DF-2BC6FBFC7054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A5AEF9-DA96-48F7-BA4A-183B4921D23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FF5446-18FA-477B-9532-538DEF16DBDC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772748-7228-44C0-A370-7DE9BBED159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594202-BE7E-4A7E-8253-ABA852D69011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3C562A-0D94-44E3-8EA0-2DE87ED49449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54C2B-AA1F-4064-9ECF-70010E80FDD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84F8F0-49B0-4641-BE53-7AE452EF5D70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4A563E-1E3D-447C-9E0F-EB4D0D0CACC6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F1A2A6-5981-4867-AEA5-ED797C9D2573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5</xdr:row>
      <xdr:rowOff>0</xdr:rowOff>
    </xdr:from>
    <xdr:ext cx="304800" cy="304800"/>
    <xdr:sp macro="" textlink="">
      <xdr:nvSpPr>
        <xdr:cNvPr id="4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D585F2-0A5E-434F-890A-108DF7A4BC27}"/>
            </a:ext>
          </a:extLst>
        </xdr:cNvPr>
        <xdr:cNvSpPr>
          <a:spLocks noChangeAspect="1" noChangeArrowheads="1"/>
        </xdr:cNvSpPr>
      </xdr:nvSpPr>
      <xdr:spPr bwMode="auto">
        <a:xfrm>
          <a:off x="913447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F0AD5-96EA-4880-88FB-5DED7BAF236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6EB63D-E2DC-4D13-B231-8719D227371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A39F64-77F6-4C70-8667-779A5F70FF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63137-48D2-4C33-9E87-626409E403E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C621B1-3F18-47D1-B7AB-2D8659E56A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4662BE-D816-4648-BD86-B12020D92F4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24B98C-FAFD-4926-A216-8A78139075E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53547C-D40F-44CC-BECB-70B5B887DA1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627269-A919-4428-96BC-BCE6D45FF5A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D9FBD4-3B07-431C-B5CC-C3DC3FBA9CB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A8A60E-5C78-46A0-9457-4F43D5A4BD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8E8E64-04F1-4826-B6E7-EF0BC39384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5D702-53D3-4953-919A-0C120DB65BE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C55F7-D6EC-415A-9133-6F22FC67E4C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E28B83-6A1E-444A-8370-608FAFE95B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4D2795-7327-4C92-8E7A-7EB88C57FA0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C1039-3FCD-4BFA-8540-4697BFF60F0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825FEB-2817-4651-89A9-43B7942B7F9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A06B4D-DFFC-40F5-9E2C-4A667119C7B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DDC257-CE62-4E37-9AB2-8C199D4CC67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35F2C6-733D-416C-A225-B1638E57E59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4DAF8A-C4E0-4F6E-80E7-F262184970B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E637CB-B4A4-4BA5-8A88-3092D40EE88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FE21D3-89BD-4307-BE91-94363EEA700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8D1BD-C388-4901-9F7D-3D5F7E4C941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D78020-7894-4AAA-83A6-97649FCDF5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51C789-7524-4F0F-8F47-3543FB7C793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D4F1A-583E-43CC-8642-80894B98249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EF2EBC-CD83-4860-8922-F8377683394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3C11A-D3E7-40BF-9252-AE551B2B0D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DCE388-F50A-4534-84BE-1AB8D47B62A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C4C82A-1408-417C-B589-14228AAE739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130861-B4FA-4ABD-BB80-8CBF216E9E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3E0933-F022-4BDF-8846-6DE1CE436FD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A27BF8-5D1C-458C-B72B-839C85C9C9C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9F62DD-298B-473C-AF47-5756DAC4C86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9F9E85-5D06-4AF9-A59E-22CD7772E25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31E3F1-1780-49F1-8777-E3E9014781B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B616D8-026B-4DA9-B9C8-9080CAE81F7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19E811-7E6E-4DB1-8D25-097F6B9A687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7755C-CAC2-48B2-9E59-16BCDA446C8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FF049E-D3E8-4502-83D1-CE3BC090AA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542AAB-5F99-4D3F-8BD1-D945AE05A9D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C3A478-7618-49DB-9A64-79CD8B0173A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DCE867-D8F1-4B8E-90C5-3FBF417CDE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49463-C55C-42AE-AC66-4FED3EF16B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6AD5FA-2ABD-4EB0-8D4C-BEC728E54C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3C5084-5B91-44BC-942F-A14196C044D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47B760-73A9-4D7F-A12C-DFE92CC0F69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117868-C683-4415-ACCE-04F381DE3EB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3266D7-1E80-48E5-964E-C5719BA3525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D3C864-7D93-4DEE-9E01-3140267D7EE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673202-3128-4F59-9D8D-629C0E9B497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3646A-6F81-4B15-B9BE-9E011901C52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7A42B7-FF94-4FDC-A61F-889216161E1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8FD580-232E-47B6-B129-7392279152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3958FB-929A-4976-B5FD-82B9C95B53D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636173-A51C-46E5-9F94-6FD5B53233D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4A17D-3C89-4C17-BCA1-D033D1AF170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C1072D-3829-4387-BC8D-F1BBAB3915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A72A8-0191-4657-8ACE-E857501E706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B4D6F2-0044-4392-B87A-1BBAEE0554A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EB941F-F086-4965-9720-6722A10FBAD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6A1401-D14E-4876-9BA9-6465840C6D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306822-B27D-476B-B62D-3D886CD6893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92D74B-E67C-4D4F-810A-BEA7B47B8D5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ED2F78-E26C-4D27-A29F-D0CC4C04BA3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234FA3-0B3C-4319-96D2-EBFDCA0C121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8C5E9-0199-4498-9102-E13C22D411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1395D-941D-4B72-8F84-DEC59D77A8C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6E48B-5856-4618-BDCD-1E3D4DCDDF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A5CFE0-21AE-452A-8945-CAEE4C58650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F08B9E-7012-4AC2-AD77-8E3BBB3CCE4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1EE2E2-DB17-4132-9E64-A0511ED2754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BDC869-30F2-4CC7-9E07-FD024D9D514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C38AE9-386A-4975-8DE0-471BF5548A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5C9436-640C-485D-BB4E-542794AA6B5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7A754C-289F-4833-88C1-7EA8F4C981F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A9D27D-2E64-4326-B09A-40695719FE7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98B0D7-807F-4802-9B8F-48DC454D7D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06453B-735F-4A57-9AA9-95D21AB00A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9D169D-2146-4578-998E-7424DC1268D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950EF-CA89-46CF-9B71-395B8204AF0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327524-3DA8-4E82-918A-F4B0D369E31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232EA9-D8C9-4B8C-9991-841769A9B0A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AA0B6-16AE-4056-A1EE-4DEBA0EBBAA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A97757-4B49-4EF9-882E-B464FF2564B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E14479-16AC-498E-B080-D592109E852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97270-1018-4999-A34E-97058D2EC67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3101E5-F5E3-45C8-809A-F9B27E3D698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2608AC-AF55-45E4-8E5C-EF1E5E73831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A1BA73-BE57-4B3A-B087-39ABA3D54F3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C21DA4-B9CA-4B39-B711-8EF3BBD7373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EEB87F-0BC7-447E-8AA2-F5D4864D798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D86BC6-F06A-499D-BC9F-B8836D042C6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E6997F-E4E4-4FBE-A00B-62C02796896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94C390-1A1A-42D8-9910-D24303F6233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44A17D-F24E-4ED7-B4C9-4919F04B92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C486EA-64CD-496E-9D82-1988F7D7BFE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4E37D9-E8E3-4A56-A2F9-E5408E2F662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1387AA-DF0D-40E5-990E-5CBAD45D0C6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FB102-6AC6-4AEE-8713-764BF033687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EECB6-A7F9-436D-A46E-3E1FCE495E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D428F4-002B-4001-923E-5DAABEEB3A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BD5DA-F807-4483-BA69-409790BE084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CE3F7E-47EE-47A6-B06F-8895EB00A5E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EBDBCA-A5B6-4DB6-904D-FAB475863FE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99491-C8B1-4920-95A9-F0880E14BDA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8530B0-9980-4814-8AC2-98A0CF60BEA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5BA852-3E97-4BA4-B7E2-E07D8B954CA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4EED7C-1906-4EDB-A235-E840C7E74D0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EAA6D0-6E1D-482C-969D-657BE9F8744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6B318E-90D1-4EC9-9CF0-0DB61B56367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C089DA-1E0B-4C33-B00F-DCEBC622BF2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115B07-09BF-4DA9-8CA1-1A3CD64206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F089E0-F091-4531-BBC8-9141AC3649E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F028D0-7789-4486-967C-95A9DFADB07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4C6A0-F934-4628-98BC-AD0BDC3FF69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D617F5-0258-4AF6-AC1F-0E5498BC4EC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3C6146-CF09-47EB-8EFB-2E9CB5B2B9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69265F-C11F-4F7D-B914-1F88EE3F39D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327037-F751-4481-A249-A336AED87D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BD63EE-5CB9-461A-9EEA-0CB57A0BF2F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7BD58D-2778-46E1-A0B5-E5B7CCB6784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050008-67E3-4183-A49C-5BBFFEE89BD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27582-9A7F-443B-8CC7-6FC48AC544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AC2B7D-C77A-4638-98F8-D86CF0075F7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53CB56-936A-4018-A364-0A36CBE2C1F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C1BA1B-13C3-4318-B119-9F165049F9F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330D03-0BB9-4A84-B2AF-EC7030CBAA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A7FF26-C510-41CA-8E8D-A70AF3090FB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C236F5-180D-48DE-85DF-FE8C7D4AB3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96B9C7-D9EB-4A28-9CB6-9147E3E092F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7753F8-A5A9-4301-AE12-3F29AED07AC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9E0EE4-0A53-4923-90E2-69753EC878C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7BA2CC-75DA-485F-A596-4C7DA5E67C0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0DEB5B-5034-46B5-BF92-AB50DFFC373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87173C-8692-4652-B0CE-412DAC8AA9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B4142E-F959-41BC-B906-E838B2F635F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8252CC-3EF3-44C5-A8F7-7164806668F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F4C833-3480-49A9-B758-0FC9552F49A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FC6B06-622A-4850-8B31-9BBC0D472C2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9708FC-86F0-4724-A2E7-B43A1BB887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4508D2-7969-4203-8C95-14E1A5A44FF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93EF73-BC16-4410-9A61-772CB2A3611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C2B36D-3BDE-4008-83ED-1367395BB91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C87CD8-A3D8-40F9-AB42-2ABE7CF3A06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69CA60-1F31-42EC-BB6E-2DFD0931AF1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29E0D9-5C27-4CC9-84EC-E9E080AB9D8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6500A9-7879-49A3-A169-69AE8317B4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7A2472-1D0D-4E7B-A3BE-9797ED87174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024342-4E72-48D6-A8C9-EE2EFD1E2F6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14C031-7046-48AF-98FF-FB82761E8E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46ADB0-9F57-468C-9C29-8E2C3689243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D2C08-4CAB-4DD9-BB71-EC5E0FD678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65750-6EC4-46EF-A6F7-91A719B1DE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E83BC1-6CE6-4706-AB6E-DFBD35C9E2F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5EAFA6-D58C-4548-8086-AEAA88AAE98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51E04-9C63-4A3F-A632-7C1AEEDDED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68CB2F-67B1-4CE5-8A63-08FCAFC7DB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17FE99-F1C5-4E63-A06C-DB121DA4DB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E67A0-6689-4829-92F7-C29278B64BA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214BF3-D3B0-429D-9D85-9578310B62E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985A9A-D238-4D75-BB3B-006ABAB9994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51FEDF-4D67-4D1E-AC88-50391050C7B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2B330B-DA47-4E3F-9FCD-D4A79E60E79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6D00EE-A104-4DAE-8415-02C0D9FAF32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77FC17-123D-45E5-A782-B96C0A0525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B4C9F-478D-4EC1-9834-D791807D1CA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77F333-CB24-43A9-8E5B-F8D2EF9126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A6CE1D-B194-404C-AE3F-89F2D4248E7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47145E-51F5-4F6C-B031-35A2AF2DD89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133417-C4DB-475F-9388-5D75A765242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572C38-8DDE-44B7-AF44-5B5074F4F61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C87772-01B3-4191-ADBE-9330A9A4A8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537450-0A58-4A98-957A-7C426009E94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802D35-7C3E-494D-BE23-86BA9544146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FDDB03-D800-488F-BEC9-50CBD6D4C5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12AB6D-81C7-4E45-8612-52853BD9024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4ECCA2-AB10-4521-A49A-CAFD9E71BF0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83DB1C-7BB7-401B-BD6C-6C99A8DF4F5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FE8CAF-FA80-498B-8447-F9A72FA04A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2A55F0-C46C-45B6-8D35-A1DB5FB91DD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047B8C-683D-4DC6-93D7-5A02929627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4A9AA4-1D36-471D-B602-6160F35281A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606ADE-0B8A-4443-A612-4DD13EBFBC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6E47F5-C9E8-4EB7-901D-D73892A811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AD4EBC-403D-4169-A615-D5742AA949C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632A4C-F75B-4ADE-BF8A-EAE62A95562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EB0D93-19E6-4AE6-A7F5-B8353564789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F8E41C-DBE6-4B58-9596-F207A3B54E4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1063FF-7865-4219-9AAA-28724B1F29F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BF34AA-7952-425F-9D63-B62FD29573B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04744-C1C6-4C25-A791-F8046F3F518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E63384-77D4-4072-900B-FE85EA0E8A6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83A70B-7E39-4D35-9727-2842C4A9BF6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69F81D-B558-41AB-BCC3-E838AD6101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A50BAB-0906-4459-9D61-4B15C56D253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DCB456-EFA1-42E9-ACED-B28BEE02455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794E87-84F4-4F6C-9780-1EFC25FAD18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B58BAA-29DF-4D02-975C-A148F8233BB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2A68A1-D447-4188-B993-13983FF46F9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89B317-7212-4368-94E8-B127179A86E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82FFAD-4CEA-4A06-9D6B-7FDFF08AAD5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449E6-04D7-4F8F-979C-F05B44C4AC8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6A8EFA-292B-4398-A545-55AA5692EB2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F61ACE-40B2-4B7E-94D4-78B741728278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3D3A0F-B06E-43F5-A470-ABE28233534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06C25F-0355-4DC1-974C-4644711DAB1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A17A0E-8732-4952-8D88-29F67934BC1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3ED49E-B402-448A-8372-F4A1FCD7D48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F9A97A-FB93-4C03-A0C1-5D0053763B6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E38D60-8348-4B9D-9E3F-12FE9120BE6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10E24-4F1F-45DF-88DA-77D9EB101C2F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DDB5FE-282F-4432-9E24-B393EB29DC4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DC4FB6-ED29-4C9E-918F-BA483854A95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FD364A-660C-4620-9FF3-3A893FB4B23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36AF79-08A2-4737-97D4-DEAA7E0698A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9D2FA0-6C16-4203-827A-7977126317D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7446D5-8384-4B83-8EC4-D0B6E0C06741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48EDD-5B69-4C75-BF0B-620D56F4462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445971-16D2-4AA3-9E00-973EA15A123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49896B-5236-4867-8C4F-1B919F9BA48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96B62A-9776-4E22-BA5A-1B317AC3A48B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DF99F8-A1A2-4A60-BAD2-B58C275970D2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9CDE69-7733-434B-B1FB-8B07A6D0971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8C127-AC18-4848-B813-D9CDE13342B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76AA95-118F-4A81-8C0E-9F2158B575B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59EDCF-8A10-479E-A014-7B9D38E2032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51F939-3DEB-4A0E-8E8F-F8CB57CC085D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B276F7-5FE3-4D95-BCDD-FA102929E8B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275803-CFB0-4DD2-8E9E-35E40A8465E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714375" cy="304800"/>
    <xdr:sp macro="" textlink="">
      <xdr:nvSpPr>
        <xdr:cNvPr id="4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84F3A-6F1D-4AA5-8272-D0EFDDB4C83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20C68-F631-456E-8DAE-59FA26952A0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DA83EE-8245-42BC-A2F0-D646C04C8EE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2C529D-8E30-4967-88D3-79966C4E7EB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83859A-81B2-4D10-B429-3C1DD7D6C10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63A01A-F9F9-4EB0-9524-F712D9FA831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7DC68C-4FEB-43E0-BA22-A8FBCC08B93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6E178C-9E2E-42C1-8EE9-397D49782E36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EE83CF-27A4-491F-9F24-4C4B7CDB2C0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C03785-B347-4201-8ECE-25BCF081CA3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B0A55-CAAA-4581-8915-DAF28221498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893D59-B903-4B62-B3C3-6193E999BB1E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F12F5D-E2B4-4B99-866C-64D64BA61859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4A3F46-CF46-47DD-809F-1FD59A43398C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EF3D00-6715-4ECA-A858-9CC2A53B1B23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075DDC-AA26-4EC9-B9A9-846A928DC874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3E9DA-0238-4595-B366-516AB765B43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44193F-F88E-4C07-9491-9A93F2FDE32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B65906-C741-4F0B-94AD-B1D08CA749A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5B5AC0-1A0B-44C5-8D3C-69C4FE5D28E7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</xdr:row>
      <xdr:rowOff>0</xdr:rowOff>
    </xdr:from>
    <xdr:ext cx="304800" cy="304800"/>
    <xdr:sp macro="" textlink="">
      <xdr:nvSpPr>
        <xdr:cNvPr id="4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53B915-3644-404C-85AC-DC461393F2AA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CB6584-B2D3-4F90-9FDC-C971ACEB41D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6A04E-2205-40E2-B17E-A35623DECBE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234F46-0121-44C2-8EC2-CFF1FDCE758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3D8AD0-C670-4331-8C8C-6A3CEF4167D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C894D5-00E7-4453-B9AF-EA310C5975B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B6BAD-C9B7-47AF-9CE1-1617383E39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3450E6-BCFA-4950-8F7A-22144C6D25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521404-831E-4820-A831-BC7C70524A8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8B0026-0FA6-4CDC-A349-5E514000065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B850D-39F5-4C3A-A2D2-C9CD3A85FED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E6E142-BC8A-48E1-9873-C85DE5D49AD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BD3B91-D49B-49C6-98E5-673730D36EF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06FF0D-EC51-480E-863C-311DA86E31B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59AA88-DEFB-45E5-97D0-6BA6A7B08EA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07CC59-0901-4A69-8153-C916486A2BA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8F2B0-39B3-41FB-A11D-DAE8A2EDAC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6C5A36-40AB-4442-B970-F1E83A74240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81BA6A-9646-444C-8DF2-D1F50AF158A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C0380D-4EB5-403D-A389-3B8D7012A98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418808-6107-4350-B4C2-A72A1E9B7EF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CDACCA-3C38-40A9-871A-B0879F26360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9C2450-6082-45AE-A4C3-08A5FE0E99E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F747A4-4931-448F-92F9-A76E958870F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A5E869-2B38-4A03-8148-61D792A968E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8A2425-BCCE-4579-AF4C-23F15A696DC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FDE66-D5E5-44D0-BF39-5A1BA04A890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B52A5A-DF74-4091-89B7-F0C86941196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AC2DEF-9F3A-43E2-BFC3-C779B819EE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4E186C-875E-4AE8-9257-C20BF79BD84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C0B3E6-A09D-40D4-BA31-8ED8BC4E97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21DEA7-0484-49E2-A567-5962D885AB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8B8395-E532-43E3-B7AE-BF87E92D1C2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B3EAA2-14FA-4650-8178-5D20F53352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800A09-5A35-40A2-A72F-F27FE47949D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AE60AD-BAB8-4F5A-9F5F-3C5A5F4F4D4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A82595-92D9-4196-8777-D89DB35C72C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9234B1-AD5A-453B-95AA-E039D213901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E98C54-F6B5-40E3-B0E7-CFE6CB6B4FD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53844F-AD66-4C3B-A61F-AC0F005BB98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C443E2-C079-494B-8536-C996B929CB8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39828F-96BF-412F-B0AA-C50A7F086E9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9FF7C7-0403-4FFC-8DFB-82A102D6B36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47EF27-B41C-4756-A264-446CCC6011D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E31778-5E47-4C35-A7BF-0B6E346E3E0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A34AED-02B5-4BCC-ACD7-021232FA353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5C8F8-61B7-4AF6-80E7-732D9987467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4834F-C06F-496D-8686-8AFAAB8915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996B85-CA32-4F65-A530-B441AB7C054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1E820-CD1A-4CA5-992F-BECD62C2CDD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03BAE-4029-441B-B5D1-C73045DDA1B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135075-7010-440A-A132-2E004FFF420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7F7325-CD70-4281-BD4E-3826141CA46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A3DE28-5B51-4084-A764-CF8A0680FE6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8E3DE2-7A94-4725-9331-7E733FC638B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8041E-B77C-4BFE-9865-5A3B4EB3BAD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A14E34-49A3-45B9-B682-F7722B70639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032276-E447-4A3E-96AA-81932E79840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DFFBE4-BDEE-4B74-996C-48FA381A665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D629B2-3B06-4B1A-9540-C95356D8061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FE1AE-D27C-46D0-B515-C9675F1BA2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4A43DC-55B8-4EE9-9378-D7286DD84E9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714375" cy="304800"/>
    <xdr:sp macro="" textlink="">
      <xdr:nvSpPr>
        <xdr:cNvPr id="4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FB4713-CA53-49FF-9A71-21FB051838B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6010E-3268-452C-B89A-E659C3E6665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146E43-2341-4946-9870-FFA3CE5CEEF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A8493-7EED-4577-B9F1-C49A563E54B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E7964B-B671-423A-9921-B874268BCFE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4EF47D-A603-4C23-A977-45C7246CAB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672485-1BBD-4EC7-A97E-E33BD3F000D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95DA3B-408D-45AA-96CB-CF180894DBF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F0240A-D42D-4239-9F43-A5EC72BBB56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B1D917-2232-4201-8984-7031C7C2108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59E364-99CD-403E-8156-A6075465CBC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3C7B45-7E06-4D68-B61F-0324A23986A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627B82-5EB3-4EF7-A9E9-56AFB647BA4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AFCA76-4329-44D8-86B0-E750F67A8CA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0C0ACD-F366-4CC3-A276-AA22D37B05A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6D51D7-4556-464A-8821-67F28E797C1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B8A21A-2B22-48BB-8BEE-5A22D5B28A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752DCE-E866-47D1-A9A4-61036484D6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CB4C0-29FB-4062-BB50-9E33278A771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84FE05-06C9-4143-AF5D-81C72170A0A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99F70E-8095-47B3-8C38-0B905926E1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814A7-0037-4836-9714-7A79BBCE8F5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874381-7A19-4AD3-989B-A96EDC1F61A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1FCB1-9652-4080-BF5A-067EEA31385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33D788-92CA-439B-9993-2F0E8250348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0C42A6-CEFE-42FC-A91A-BFB39F140FF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A7CD3D-F7AC-4C69-8217-0BB5631D990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9B19A7-7054-4AEE-A689-89EF591A6F9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1D5533-CE03-4330-A2FD-AAF6078CAE9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A83499-BC9E-4D90-9E24-BB478CF9B94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C35C74-6D31-461F-A6E4-8F06A22AF7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91DFA-C673-412D-A734-6FAD0D6AC0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30D173-6C3E-499E-BEF6-DBE39279934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66EFB0-D1F3-4185-B2FB-2694A4DD1DF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3C0C06-B94B-420A-AD24-29E23CD0786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4B794-6978-4AAD-8C3C-F38D28FB0C3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E4DCA5-3D6D-415A-B464-76E0F8E8A22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494D44-1998-4B7D-BAA5-CC685B69F3C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88FF96-F23D-4C68-9922-23FEC95D65C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EE66F-C114-4AC0-A96A-8DE18D40227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847F50-01F1-4CF0-8BB3-0526E30D5E0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794A37-83D5-41D1-84D5-F89D3C0DAEA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F165FB-DB37-4F61-9112-51E481F6401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CB2F94-B35C-4050-A305-CA37E63D9EC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DBB4F0-AF9C-4EBC-8C0D-D91E3CEE42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E4CF9E-9327-4141-92E5-B5781E3A796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BDE7ED-DB2D-401B-AA5A-C7119450CC6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83EEBE-24C0-49F4-A8B6-E6AA644A975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D32FD9-1E98-4182-82D8-8619E539AB6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D5A7A9-7FE7-4A69-A10D-8CA8CE0F4FC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9CF587-D1F4-48C9-A73D-DA563D7829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C5170-9F0B-4FB4-BCA0-9684D9E4368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47EEDB-2BCA-4431-95EE-3B26701429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EA4375-6E38-4EE3-A403-E2C6768A2F3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7DC5CD-95EA-472F-A115-D2487823EB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B2ACBF-1217-485E-B608-AF33CDCD4DA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BC07A7-603F-4E03-BAF5-FD6B0557D4A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9D0A36-CEF6-4257-BCE1-E6E9D64B96D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4FA7AB-BF80-4431-B8B3-CDD5ACF3049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F38383-2EC9-422D-BFEE-F9F6CD49C4A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771B6C-C65F-46A3-8A5F-4E101E4FB41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B2A6E-04AA-4494-9B3B-7FDE6B0CE93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BC72FA-C0D8-43B6-AAB7-03967721A5F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CDABD0-72BC-482E-9B85-00CB6F826B5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92D10E-AA15-45AA-92C9-16E691933AC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4F544E-D520-42E9-BFA2-38F1B5CC07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C2B390-8B85-4B15-90D9-801C687A722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A70DCA-C9D0-4006-BB27-058E4570233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7CD220-47CA-417B-9EB7-10DC2E699F5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620699-CF9A-4419-9BCD-5A90ACFB810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34535E-2BD8-4894-8BC9-CCFD1554EA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64EFC6-0EE5-4229-B3F9-75487449D11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5640DA-3F2A-4382-9C3E-FC72FC65CBA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E6258B-404A-46D2-BE81-0E3A01D1251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B3EF61-A775-4754-91C1-3C85909509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984A9A-BFC6-484D-A2AA-3040DA5A383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4F2D21-C745-4394-8F36-E1DEB272BD3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C2729F-2ECA-4294-A0AF-FF60D7452E1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D1BE88-4354-472C-B8D3-76D6C039C4D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ECE9D3-B4F1-47BD-90BA-2E895A7948E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45CFC3-4E7B-4FF7-820F-CC49765AEB1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E73EE-6FCE-4E22-98FC-F49DE95E9D5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A6175E-2BB1-4A73-A20D-C7DDFBACAAC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4F843C-E6EF-4DB8-AD9F-45D7B9EB6E9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F7A941-6002-402D-B8B3-18197072B8B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767DD-560F-4AE1-9A33-7E7E06CE463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77F87-40DC-420D-B121-32F8570D8E2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CF75DA-5431-4743-BCDA-675148FF368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CFC7BF-D985-49E2-B158-8C447D14C16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51D21E-21A4-4A3A-83E2-F7400400DB8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69C5ED-EE6D-4081-B167-1B54D33584F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9BBF15-6881-4CFA-B511-A942DAEB2C0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7</xdr:row>
      <xdr:rowOff>0</xdr:rowOff>
    </xdr:from>
    <xdr:ext cx="304800" cy="304800"/>
    <xdr:sp macro="" textlink="">
      <xdr:nvSpPr>
        <xdr:cNvPr id="4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B0BE69-5920-4639-B64F-32EBCA3B0E3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C1A624-FD44-468C-B46A-7E31B775DD0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622E92-60B8-435C-A02B-4944DAFB2DA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659C7E-0F4C-4123-AD8E-BB6BB408F95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C45ACE-3E38-4782-890D-C4E8BA381175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936AF7-6762-48DF-B923-48D82ACF9D12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04B8C-6C1C-46B2-AB78-68D5E4D41C6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F35C29-4CD8-4204-8F5D-86AA463134D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56963D-B8FC-4474-AF49-B789C0EDC80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00CD16-68D8-44B9-A956-FF991F572EF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F9326F-B305-4278-995E-E4B78F0B4C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4397EB-364D-438A-A0AC-5C7AB7E9B90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C09117-D8B2-4751-8D89-E8CE429ADD8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CE8EA2-601B-4619-9BA9-B6817AF65C5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9C0A2-C39A-4795-AAE2-7E13730DD84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4067C9-AA51-4F52-A5D4-F38587E3163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04BA8-1A18-4275-9EAB-22DD006FF57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FFE2F4-C481-4952-B596-19AE9D933C2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B9B08-38DF-464B-9E32-A8109FB9759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08345E-284B-49FA-8187-64808562871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C4BE85-04E3-4869-AF99-C12FF82493E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A63212-549E-4EDF-87AC-AC287CDCF88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0E822D-1F9D-43AD-831F-143A18CA03CB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32946B-231F-44D8-9F76-E1BD89BFAE3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EB6B0E-EBE5-4054-BD5C-3123FB8A775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CF29FB-FA92-495E-8F4B-102D379D98B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8DBFAD-A8DB-4411-B870-C54EA154861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9BCF48-77E5-46A7-9CC2-C82BF02C4A0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1199C4-A1D5-4C45-8BFC-0CF227D811C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5B1D81-03DF-425F-9EB5-0D586511484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1F878-DAE2-47BE-B2EA-6912234D515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A364CB-E047-4909-9255-52751DDD2E0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71E90D-BFD0-46A8-A69F-23E99B96940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0798D3-117E-4CA1-B51C-A9157ABDD2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714375" cy="304800"/>
    <xdr:sp macro="" textlink="">
      <xdr:nvSpPr>
        <xdr:cNvPr id="4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EE0E96-5387-40C3-BCC6-FEBA07C74659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DE7B71-6DEB-47C5-9B44-919BA537359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9258E8-D5AF-40E3-A37D-A34DE19BFE9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232E5B-E439-47F9-B19B-EFAE3A7B909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F9FD9F-C234-4EB1-AF51-96A7A1B53961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DDA7CB-92FB-45AB-B189-691575B9563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054EEB-E3A9-4BCA-A971-AD596FB1721D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952822-87B2-4D70-976A-651B1A77044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27854A-5919-4211-833B-29855DD49DCA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35038E-814B-468C-B444-3B9BAD199D0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10CA439-A2A9-434E-AC60-2E058D645FF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889D01-9075-4AA7-89CF-8216F5AA2CD3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90A725-BEA4-4E7A-88A0-2EC8E19CC88E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EB3A6E-8BF2-4079-9BC4-5C356F679D3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8A2D66-D16C-43DD-A042-1A58E42A64DF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A8CBB-95B5-40D0-9EAC-644E47EF4A54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FDD3A3-54B9-428A-B008-86A8C72BCCFC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AE3FF8-EE5F-4110-A1A0-FFCDAC2A5216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DE5B4E-0EE8-4517-8474-812DE2210EF0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D89ACC-9E28-4FCF-B269-E5F7470B1097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0</xdr:colOff>
      <xdr:row>5</xdr:row>
      <xdr:rowOff>0</xdr:rowOff>
    </xdr:from>
    <xdr:ext cx="304800" cy="304800"/>
    <xdr:sp macro="" textlink="">
      <xdr:nvSpPr>
        <xdr:cNvPr id="4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64CD58-449D-4FB2-AEEA-F37DDD2A67B8}"/>
            </a:ext>
          </a:extLst>
        </xdr:cNvPr>
        <xdr:cNvSpPr>
          <a:spLocks noChangeAspect="1" noChangeArrowheads="1"/>
        </xdr:cNvSpPr>
      </xdr:nvSpPr>
      <xdr:spPr bwMode="auto">
        <a:xfrm>
          <a:off x="10325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FEBCF-93D8-40B4-AAF6-9CE8C00A75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E1CAD9-2D4E-4F0F-B23A-AAEA0BB0F92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7F1241-195A-43C3-B83F-2FF1B700846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8216D4-DA40-41C8-AE9C-4E85D8A0DEE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BD6209-9CE9-44B3-AB1E-777C142530A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9347F1-EAEF-41EA-BE91-4C8A6E95CE1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0C6411-A15B-41B2-8C6B-72A93A6ED6E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5E86AD-92F1-4F60-8346-B8D5B9AE988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FB2AB1-AE41-4E41-B53E-F0140A62EB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BE689-4D42-467B-8980-371013375EE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DA10EA-34D0-4EA0-91A1-46C4900BCC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F222A2-30FC-4ACE-9E36-A93E48B40D9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5FE52A-5063-4E2A-813C-6D09EAFC76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83874A-7A99-4154-8C05-235F45CBED2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990719-973B-4857-A776-C5EDFBAA5B4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30C97A-9360-470B-8939-48C8C7EA3CD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8BEE16-EDBC-4405-B0A7-30B7E357B7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F4B2DA-8A63-485A-B80C-3A64E12A6B9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835006-E133-460A-805E-3440448F575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B2026-5143-46D3-B06E-98DEF5BFBAB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D993BE-1D48-40EC-8A4E-C1A6ED2D1FB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BB59E9-615B-43AC-B6F1-472D8856A7E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A7ADFF-9EB6-43B3-9EC0-7DB8BEB8D2E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BD7303-30E4-4702-B9C7-39B7A4E20E3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A9FBAC-9F26-4880-8E58-A118794A895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4A85BD-279A-4255-B750-58B395929BF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65BAC0-2EA5-433B-862E-589A338083D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39C8BA-A5C4-4A0F-9A7E-40637CD62FE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8A708A-D72A-4F61-AB3F-DF8898CF26C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92B5B5-7194-41B2-96E4-FC068319FDC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A05564-4226-4EF4-A22F-63DC741EEE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1AA9CC-EF03-47EC-BEEB-2D9558A48C1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7D674C-BBCE-45AD-94D2-CD411DDE7E4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89F651-B14B-4CE5-84BD-09760D80366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13220-C3B9-467F-962C-F874A7B80C4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14485-6B51-4C50-8A8B-7D1A479D8D5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DB101D-5271-48D4-BEFF-59BE6B28322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02F9E0-4C3F-47D0-9FA6-AB102AAC411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E54050-3838-414D-AD0D-C1A14C2CCE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F9A1C2-094F-49D7-8BFE-125AB83BA8D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324F81-4C9B-4838-94D3-B895401B872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A08E5-56D4-46F0-85B0-09D0805EBE0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9A8FA8-5C59-47D3-A32F-73B158F8AE6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F7832-4454-4636-B1E7-C3E5684E63A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93EDCA-2B56-422B-983B-78D5B3AAD2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284CC9-AFD2-4C94-B6DC-2584109A69B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1AD261-F995-4C3B-B71B-A1BEEB81D8D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BF0BA6-B356-47F3-8BCC-A937DF1957E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D85FF7-2E3F-4758-9E67-9C3FE218814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A900F8-D94F-4D05-BDEB-6950051FAE0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9F48F1-39BC-4975-AF87-546BD4A8213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9ADFE8-F837-4646-9D7C-0042EEC8A0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236CCE-AFC7-4472-8A0A-6BB67CA1E72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2CF957-032A-4057-9E82-7F57E8A8590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79066-FB6B-4637-9AB1-3ACF11E127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292E71-B3FA-4273-9EAE-D106D0D332F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CB9EFB-EB56-41B2-AC2E-B29DA9C725B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99F133-8D00-417D-9055-6CAE74C946A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88B028-E15A-4EAB-AFD1-33A3F14A35B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0063A7-A42B-49B5-A325-49E6AFE5DF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842CB-8FF3-4FE8-8993-BC3418BCBE0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97D88-8105-40EA-B6EC-8D14851E7F3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102776-533D-48EE-9230-531EE9AB9B0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8B40A7-1592-4E9B-8188-B670B2DB42B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731258-1B90-45E4-8364-FE74149D8AD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5B0BE-789A-423B-B88F-C2E8D904D74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CB4882-7C17-4C42-9A88-A4AD3618A91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F24C08-6F19-4850-A78E-D1D3FB60014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BBA644-5857-4E85-A3A6-234C9192BF7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9B504A-17DE-45DF-B208-04537407057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395F81-B3F9-4ED2-88D3-0338399192D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7EEF3D-9128-4BA5-B240-95E3E72EAE5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55DCAA-5E8A-4B58-B66F-0D64FEBF48D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EE6CEF-BE05-47E6-A8C3-784DF29DB12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97D0B1-802D-49A2-88D4-9C9E971C7F6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ABF487-2E14-48FB-9DB8-AD874DF3CA0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1CCED4-E673-4B8A-9713-6CEF1957D67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3EA9E-2FB5-40FA-B4EB-7CA9B522083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635AAD-0316-4DF9-BB88-16B1A7E687D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B6B33F-8A49-46A5-87B2-B0EF391EDC9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F52EE9-A155-43AE-982C-AC425198B89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9D4367-B276-4EC6-84AB-703309491F3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E4128E-9095-43D0-A958-12FCEEEAE2F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BE418-F8E6-4090-BA21-59317B4E22D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5667F7-2528-45FF-A496-8362DEF67A5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BB465-4232-4872-A813-829B72BF5D5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711F54-2F8C-4438-83BC-DA4698CA459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AE4B3-526F-4277-A318-C18779B2D7E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C484D7-E2A8-4710-A778-9295D8107F8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8E87EC-7655-42CE-BB4D-B4407BE3847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608DED-C045-4CD4-AE9F-2B421E876B7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E46749-ACA5-4E3A-94B3-296F09550E8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A75AFF-CDDA-4324-8C90-CF447B41BC9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B7AE99-19EE-4ACF-88D5-8E1DE007949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032425-A768-4FA9-9A00-28F4A46795E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1A2A7F-C387-4E41-81E4-85FB6009117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B2FBAB-BB80-435D-827B-99DBCAED73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4ECEC6-B273-4C16-BC66-D82E5267206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F0987B-D8D8-4827-A9C8-7DBF2E84083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AF13B7-20C8-4836-81C1-623CD5DF42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4E56AC-A659-4DA1-A8C9-904428A3965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FCB81F-E21C-44F7-82AB-5516B7FD91C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0991F4-EB74-4436-AF7C-423A52128EB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FD290E-96F6-4348-8E6F-DE7C9D542A1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3F9E63-1E00-4266-A879-05F2FB8D186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E08392-992D-41DE-9E42-D11C5852E83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49299D-E8A1-4AF2-98F1-6B070E99DBF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A44FEC-949D-4E03-83E6-63A96C81F30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995C7F-B9BB-40DF-AB4A-EA2C18E98AD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DBF365-F80E-44BA-AA21-D69060045BE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38D274-C863-49F8-9A97-3576843554A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7A9584-C596-4CCB-AF2F-D934E773317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C2723-F0E9-402B-B06B-8F0EB75346C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61F128-0968-44BB-B1BA-72DDC898BA4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A89A41-EB1E-48DF-BADD-85066040F11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B81771-047B-4F74-9C8D-8BE9DD0803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7A0AB8-0A19-4A8B-884A-62CE4027296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7AB650-B292-4D80-9232-F4AF0585CCC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1C76EF-03A4-44B3-A594-FA02EDC6305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61BB5B-3C05-4D2B-B10B-C2C38420A2F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D01C46-73FC-4D44-AB68-765C42183C1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8F1BFF-01DF-44EA-88DC-9F975BE8CAA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4F2346-83F0-4FF4-9913-A085AF8DE7F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A65E90-6DD0-4C45-94EB-E136215BE76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AFC998-98AE-49FC-8781-7070B9354C28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358796-0553-41F1-97B4-337219F3AAE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C65E1D-8E41-4BD7-89AF-9EC1345BFCF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C18BF-A64E-4B87-BE1B-D7DF722B0BA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EF9BB1-5479-4735-B51D-8CDA4A24F6F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480A83-C902-4A92-82B8-C86283D4B4A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82CD13-713B-4B2C-9F19-E37BED21AF0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136D29-8A48-40F6-88AA-D1690817888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815DC-D089-4591-8287-812760D21D6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4B44F-6DC2-497D-B9AB-1CA6966190E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C4FA3F-AF76-4689-8F8D-55125F179CC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83E2DE-B570-4004-A14E-81B0B8BD1D3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7C729D-60E3-437F-8C58-73E8F98993E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2927AD-1075-405D-B958-FB9A224998A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43E109-EF0F-436A-9B3E-E13E1F83F96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A38D00-1581-4589-8C19-F6C84E2C111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061E4-390F-4167-9DAD-ECCFC66CE13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0733BB-A9FA-4B4F-83D0-0CF3B424FC7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88DFE0-25DE-4CF9-BF43-7D55661AFAE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858E0E-DE08-4EE2-BA55-1609D32AE2F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6C8782-A4B8-4D3F-AD1C-2BB56369585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4094A0-36A6-4D22-8A24-3A47E3C415A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A9786E-4A7F-4FBF-9157-085CFB1BD28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999B2C-53A1-4B61-BAF6-B6451451E13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7</xdr:row>
      <xdr:rowOff>0</xdr:rowOff>
    </xdr:from>
    <xdr:ext cx="304800" cy="304800"/>
    <xdr:sp macro="" textlink="">
      <xdr:nvSpPr>
        <xdr:cNvPr id="4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98AAB4-3404-4562-A4FD-B2E596A67B5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F09B2F-5A3D-40E4-83BD-5C529496636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EBB0C2-31E4-4830-ABBE-5295643D3E5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7E370A-E47C-4B01-907F-237E98EEAAF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2623FA-BB4B-4749-9DFE-7DBA0D39795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8DA0E1-C2FC-4F83-ACD8-18E93AD71A9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D2C279-7A21-4265-9E10-FE521CF8BCA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5E4AA6-CBF3-4CBB-A87F-0809DFEB47D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689DF2-5A22-4F72-8F02-27BB548D83C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0DCD65-1E28-47E7-9978-64388D495E2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225B208-DF90-4164-8D46-8974F923313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B016D-81CC-4D60-A0DD-34ABD032DB6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FB48E2-B114-444C-BF90-C3C885EC38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91C7A2-E5BA-4275-9149-E7F35F51938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17DF9-609C-44A9-909B-7D4E412DC93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D806C3-36B5-46D3-AAB4-79BC2A4FD3F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2DAA50-8072-4D20-A1A8-AB68E425E1D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761EB-45F5-4B13-9B7C-39B439299F8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4633DA-7632-4880-AB7B-3B14FE91188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F933C3-439F-4E15-AE50-34B6C8CC1BE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D95CB-3811-4521-BB4E-91F8DAFF28B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62241-D903-4D8B-87A3-906E7B53197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4FB235-D534-4CFB-BE68-97A9BEEFF46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74A79D-4EF6-477A-944C-D48AD25D91BB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0D371F-7165-40A3-AB88-5FAF5435D7F4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16F921-1B6D-4608-B88A-0E8A8EB3E0A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F92894-3E8F-4C51-91F3-11673194410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CABB81-5989-400B-A748-8E5BEA3A0E49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163944-2DCC-4206-B5E2-39093C322D7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CD8439-FBDE-440C-8C53-F34356B9CFC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40A42E-764D-4EE9-AE4E-5CD25F01DEF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B933E1-050E-4CD2-92A2-0E66CEB9E5E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642270-584E-49E7-A2F5-979A5C55EE7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0881B-0C45-49AC-8821-F077A387C20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5DD416-AF88-4FA7-BD0D-0E7849774985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22EAD7-2E04-41C1-860C-D365A682FDF0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9EFF11-51F5-47BF-A74C-569F5B5852F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7F2C7C-2A1C-41E3-A55C-824E5404F1A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507970-1ED1-4B99-A5A4-8A0FCCC70A4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B0F3E2-F022-4986-92F8-8C528643AFB3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92681B-3F56-4D17-B04E-1EE824CD7D6E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5604810-ACAA-4FBE-9B88-170668CA213A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3B2944-B9ED-4464-BE1D-E6892F6364FF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2082A9-B7A0-4F1C-9A7B-9CB429892FB2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C070BE-31FC-4C06-AAFB-146A19F7215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3020E5-0D65-4701-8B6B-6E6C4ED0198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1E1D41-BC1F-4FA2-9981-C14FCF2FDB97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E8D3BE-2FC8-4121-B9FA-E0CF63CC3A3C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85E1F5-BD78-452F-8627-4C7230DCA2A1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4E67BB-F22E-488C-9C5F-B44B0EC7830D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0</xdr:colOff>
      <xdr:row>5</xdr:row>
      <xdr:rowOff>0</xdr:rowOff>
    </xdr:from>
    <xdr:ext cx="304800" cy="304800"/>
    <xdr:sp macro="" textlink="">
      <xdr:nvSpPr>
        <xdr:cNvPr id="4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557963-5699-4B5E-8C63-BA769E27BAD6}"/>
            </a:ext>
          </a:extLst>
        </xdr:cNvPr>
        <xdr:cNvSpPr>
          <a:spLocks noChangeAspect="1" noChangeArrowheads="1"/>
        </xdr:cNvSpPr>
      </xdr:nvSpPr>
      <xdr:spPr bwMode="auto">
        <a:xfrm>
          <a:off x="115538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3127E-C91F-4A2F-AEEE-B699DF11E25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0C59F3E-2EEB-464D-9F3E-8BEA4C33392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D5C614-94AE-46A9-9607-6E82D9ED99C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A035B0-3858-43E1-BAE6-35B7B345678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02A1BB-7867-4E74-A660-296A5F3032A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EFC18D-0511-4777-897F-0DD61091B6A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4D4308-032E-4C87-A360-48732177D57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D5A428-6173-4AF9-9916-0A48419471E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3181FC-A47F-433A-9834-6E0BF26C135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106F62-4278-4842-A9E2-41B6818E50E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878375-F10D-4B34-933D-D4E9D5F47D8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F4A7F4-3BE3-4BFD-8B1F-1A3DD18B7FE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CF0EA1-BB83-40F2-9692-4699B567465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7EC105-400F-4A2C-ABD0-7D1E1187D34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D02D74-7801-4BFF-AD40-0B74B93D02F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992C99-C248-4AF7-A66A-9927A76E79F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4A9314-9655-416B-9785-F1EDDF0C2D8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B249FC-D5C5-4CF9-AA34-B7A548C53B2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6C1A67-835F-47D8-921F-9A1E52CE562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FF27EE-130E-4902-A7AF-1F8F47CFC78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E9C54-AE2D-461E-8285-D47C7576A35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E01B0-15E4-4E2E-B0A4-93BE2F01CEE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17A416-4C1C-48B1-A50B-FD123FA446A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22202F-0115-452C-AFDE-F5677CF1EA0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C9E21D-1A34-4423-A6BB-54A659D38F8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5735A-03C2-4778-8924-7D2F8D52940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22EDCC-8E03-4CA3-A4A4-1EE4F59F075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0118DE-2B49-4E3D-B4C2-A5FE7C08CDB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FBAFD9-35CB-4267-820D-AA4A6BF9B2D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410C18-691A-49A0-BA61-53137E39EAB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BE2670-D00D-4954-8CB1-4B03A6E43D4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F0CDF3-AF51-4ABC-B107-8D9E17EB011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2DC77-7B05-4B58-8EC4-47F4C584725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A89321-BB6A-4CB0-BACD-52224E0A9B5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C6DFC1-B1ED-4A10-AF32-B243C6B2D0F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0B5738-2833-478F-8488-FCC3E46F225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D1AD78-7762-44CF-B694-6C42D8DF406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9EDE4CA-3012-47F0-BA05-FFE20B0BC0F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5B689E-39B1-45C5-B5B7-4F7936B345C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349D4D-DE18-4609-B79A-C3BE85AEE60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BF59F4-4E7F-4B30-82CD-E447E8D6FB5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BF1C0-B692-4E44-8395-5E5368B7B34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A1F633-4517-40BC-90DF-CF41827C7EE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977D45-215A-442C-99D3-DFE27F2656A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76189E-3E20-421E-AB65-74515542F08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848725-51C1-4812-BD71-FDAC11B34F3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04664-1E81-443D-A8CC-C8CBD651652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79A558-9743-49FF-9CE0-20740135172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FDBECC-FB3B-4E48-9608-E7F38F233B6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2180D3-4D2A-4847-B6C1-F59124D1AD4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1F427F-1BAE-4357-AE9F-F97C2430C4D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EF7310-9D76-4E10-AE55-7E085447A25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257510-B197-42D2-8F50-4C4F561EE79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EF1107-6937-4906-B66C-B9BB318B6E0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7EB147-FF8E-4478-9B25-E6871CD79B1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4085C2-D1C9-4745-A145-2480034B0CC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BC830B-F468-4F2D-9101-B0455E1E702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D450BD-5C59-4F86-A8D0-7A38A7FC9D1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7085A2-D648-424F-90AB-11DA14A15B5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0D5CDB-CDC3-43BF-827B-6F530DFB674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9948B-90DB-4872-9F02-D4E9E6F82D5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6AB183-EB79-4CC3-AFA6-4492F19043D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53A9E7-7C95-4C7F-9226-D33BE0A4EEC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36D0B5-B718-465C-BF12-577AC3B9E29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964D24-0DBB-4587-B6A3-6E45204ABB8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D9430C-5861-4018-9BC1-A8D7A030C4B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6EC1FF-2E26-493F-B5B6-8901BDCA7B3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3B7C4A-7CBB-473C-BBE6-D4A612F064C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38D151-4C0C-4192-9C67-867B852DD9A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7DF35A-226B-4262-9F2E-1CC351CC42E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A80A9B-7A9B-46E9-9360-585B3CCE832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E5FC85-B454-4A47-B2BD-3B96DF40B08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70777E-2835-4850-B420-5F82E557F97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E86EB7-1D35-45A8-BE44-9AE7B6906CB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9DA8B1-BE03-4750-A8DD-CBA50FF361D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50C6D-3BD0-48F9-A210-C3C02A8FD69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DDD8C6-2288-41FE-8822-91439AB6118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95FA74-13CA-473F-A3DB-D7F01FDE324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3EF260-9DBA-48ED-8423-27356FB878E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9CB5B7-EA68-46F3-B9DA-5C21F1A4EDD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AC016-15F0-453F-851B-014B761B5C8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CD34F9-CE67-4EBC-AF45-D66F215090B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207DDC-D07F-4365-866E-AC254892A11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02AC44-B737-47CC-8218-3F01A291544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CC756F-01C4-4152-BD7E-B6CE47F8157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232B91-7D7C-4932-810F-BEA14D026A7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507025-0A74-4E1A-AE29-FB1B97B6216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399EAA-0F76-4318-A416-1C613749953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BC27E-EB33-4C1C-BA30-2BF2594C729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B8717-24EF-408C-BA99-66868CD7AC4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B365F8-6F09-4297-93F4-027EB3F081E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AF26F1-5EEF-4E20-8662-26E803E4699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211EF7-8433-4633-BE8B-0C94BC8B27D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050E9D-5855-46C7-AD15-45291CF212F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63FB09-60A4-4A25-A9DD-64E66715546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248FD7-D70A-4D0B-A2CA-E54F6760E41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37CA6D-1B72-49F4-A123-2134D1FB9C3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0E8A54-CDFA-4764-9FFC-1FB667C7B6D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86B8E6-F69D-4913-8E61-237E59956A1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BAE525-893C-4ED1-8130-6D22E415ADC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617D04-EFFC-4440-9248-E550B2D9304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A0F974-79A3-43B7-B21F-01BB70C034A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50DA1F-CE87-4E9E-A66E-791EE0A9FDA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EABF92-C82F-4E13-B5A9-66158ADF638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BA599D-9050-45A7-B5B1-1E4F9F4FCEC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C405E8-5246-4E0C-9A19-92D3FA7944C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366C99-23FF-4D23-B3CC-60BF4394D1F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D14E08-5652-4BF2-B289-E571F77FC89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120774-8D13-4897-8E52-E206766ABBF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698940-4C7E-4D1A-AF4B-CCB6E6475CF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B20E1F-2CB3-4807-B8C7-D53188703B5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4EF85-CA45-485E-B95B-E0D4CFCD6CD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701D98-EEDD-4E1A-9351-502F1286573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3946CF-BDA1-4BCE-A2AF-660F4EC638A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41D61C-80F6-4B1A-876F-942DB59D676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FFC242-B051-4BBC-9C9D-3366FAD9EC9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5D7239-0D2F-4694-8A93-97227EAFA64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F46273-B3BF-4A01-800C-1E28800DF19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87EA62-616B-4F7A-AAC9-AF3BC60F7ED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AD14E8-4D62-4914-8F1E-76DFAA24D70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F859E3-DB65-435C-876F-756CFC913C0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8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91EE71-84E7-405A-8EE5-007747E26BB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5FADFD-8EC6-4346-9B88-FF50BBE959C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5B9147-6846-479F-825A-EE9BA9F626C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4130A6-5357-4FA0-AA2E-888BF2F684D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2CFC90-DAB2-4FF7-8379-667805A3837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586650-DECB-4278-A249-CF91EF20AA9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FB550C-1D14-4187-9154-CEF58E2601C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5EB3CA-FFBB-43CD-98B2-C54252A7834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5CFB0A-E78B-4A84-984B-A7090DA5C5C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F50483-A462-421A-A2D5-86C9D10F0EF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C0E901-AED2-49E8-9A0F-5762F1C501C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023D8-F650-4612-AE5E-5BDF2857160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A70BE4-DDE8-4F79-BA5D-DB88C825A44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F9B109-60E0-45EC-A794-AD75DABBB03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EB9750-6EA4-4C53-AB46-A167FB3E47D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62ADAF-1248-4B5C-9F95-A36FC60FC6F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7CD1F2-1952-4D8A-8933-2F86604EF03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E304F5-EBCE-4875-BBAE-D3FFE09B6A2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396D5D-F90B-4B99-8D2B-F422B10455A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C9DF75-A01F-4676-9C53-9AC755AC20F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6740F-9395-4BCF-84B0-86C4A4CF119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EB3138-33ED-4736-B2C0-6E0077B4510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4D4BCC-9E71-4551-BFF2-340B321FDD6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1FFF3C-4E30-490A-9F41-407F50EB6F1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4CED1E-4596-4D26-9308-E629B3ED180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08868D-28F4-4684-BEBA-659C499CFAF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524F16-B6A4-4444-9FE9-94578711484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</xdr:row>
      <xdr:rowOff>0</xdr:rowOff>
    </xdr:from>
    <xdr:ext cx="304800" cy="304800"/>
    <xdr:sp macro="" textlink="">
      <xdr:nvSpPr>
        <xdr:cNvPr id="49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4FD0A6-8635-4F20-B14F-DDCFDB3A1D2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210A79-9EA4-4FE2-878B-9A6FC736A17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E39F86-C176-45CD-904E-82B357F7E2F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CD0F17-CA1E-4175-A4E3-06A4BDECCE4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4E6193-BDE6-4102-94A4-F6A7CA4B58C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04A05B-AA60-40F9-BC34-993D19AF73A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1A4F6D-CE0F-4509-B78C-97172DF7D35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4897B2-8ECD-4958-B451-3656CF4A1411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66B789-2143-4BB4-837B-41CB7BD37EE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FAFAAB-4DC6-416D-9602-948DE11F353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967AF3-7803-4A5E-8CB4-02458B55553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DA34BC-B32C-46FC-B98D-69CC3F94654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E2FE4B-B25B-4BD9-9A4C-320C58CAF7C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3A080C-3E9F-49C3-899C-A1F5E19BA4F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92F61B-79BB-4851-8363-A81B9027AE8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1BE6B5-39B8-4B7B-B906-D614F49E3AF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8D3A18-4226-4F53-BDBE-AD3302541E3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41BD2E1-A018-44A4-8A7D-979A97093DB7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2076D1-A55F-4E73-AC33-83DFA417FA5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587C43-8437-4109-8BAD-90458334222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83E6B0-ACD6-460C-BBC3-085832FBC6D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6D2383-C773-47E5-95E7-3CC3F8170E3F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AE6CF6-FEEC-4A17-B083-61BCCE58C9F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1CBB98-B65C-4366-BF4F-B5364696F78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721211-B88D-465E-B988-2DE1E6416EB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69FC88-A096-4C07-AB82-6FBD5B525BFB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FB75DE-8DA7-4558-AEE1-88570240398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6C9D09-6511-4059-9570-A57A3E33534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5E0831-A1D6-41D6-A95D-1FC7961A985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8ECA65-A145-48D3-9A5F-A9E43189D743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889446-4579-4339-982C-00FA2381626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EDB40A-04B2-4E1F-B3D7-7489D0FD64F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5D2B190-F4B3-4C87-BAB7-53D785F9094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284337-11B5-4FF6-927D-218CC34D6476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3A7792-B9FA-4633-BA59-16C3E46BD63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F2176C-2ADC-4B6A-8491-D59F3E51AB3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6482108-4A2A-466B-9A97-628DC46A224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71D002-BE31-42C1-8C76-11F376F700A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AA2CD3-7146-48E0-ACDA-5DD912ACA584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C82D70-D136-404E-AF3B-D89B8B63289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4C05EE-079F-4A8B-9E7F-8AD5F44091A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F68ADA-D614-4DED-A97E-7EED2F60AFD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7BD738-FA28-43C8-A37F-8A7C5AAE07FE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1E7E05-76CA-47F0-A8AA-106D79CDE4FA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0B96F8-3198-47B7-BD03-A237958C76ED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DB17A3-9663-411A-9299-B092BF98A0D8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97251C-5A78-4900-9AE2-02D38DB04145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9BA967-C989-47AB-A14F-951214C8AC52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80BB1B-763D-4A96-A76E-B6CD6B754F29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6F466E-0442-4762-A011-58B689D9BB1C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</xdr:row>
      <xdr:rowOff>0</xdr:rowOff>
    </xdr:from>
    <xdr:ext cx="304800" cy="304800"/>
    <xdr:sp macro="" textlink="">
      <xdr:nvSpPr>
        <xdr:cNvPr id="49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1B8B0F-F3D7-4DEE-BD83-91E06E992D80}"/>
            </a:ext>
          </a:extLst>
        </xdr:cNvPr>
        <xdr:cNvSpPr>
          <a:spLocks noChangeAspect="1" noChangeArrowheads="1"/>
        </xdr:cNvSpPr>
      </xdr:nvSpPr>
      <xdr:spPr bwMode="auto">
        <a:xfrm>
          <a:off x="117919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6A1FD9-B9EB-42AC-BF54-96B2E3BE37F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751BB6-65F4-40C6-9B06-705013326CD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6B981-5E69-42D5-A9FE-B29925A5DFB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C0AD28-D78F-4A9D-A578-348E58B5C0D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6543CD-CBF2-4AC2-81F4-870C70A5B80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EB837C-02D3-4107-9D3F-848CE69DA9A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B03743-54DD-475A-9DBB-30308292E4C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290305-FB1E-44D1-9E8B-B5741D06531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DF3CF-6C8D-4801-A874-28452DDCBB1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D9A915-5D98-4DE9-BEEA-A4F0A51AEF5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13B87E-2E60-4703-9D5D-39935ED9C2F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F2E61B-EAFD-455D-B68B-43554A4C7C1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BE5B2C-2D05-4456-B893-CCFF3800013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AAC9BE-EE7F-4110-B4B9-273DC22C8D9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0108B9-3787-4FD4-B97A-73D90C1A1CF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631A0B-77C9-4772-ACC4-BE9C1180F01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C2D160-15DC-4404-8D66-CC101F2B8E4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9139A7-BCCB-44F6-8D8F-282581702EB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36B0E9-FE8F-4ACB-9189-8D66ABE3DA2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2B2657-B16D-4480-822F-5D0CD80FCDC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3FC8BA-826F-4CA7-959F-15B4789FCA1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E87B3C-449E-46C6-8B91-A9C34F44420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49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60CFE1-5E59-4706-9912-6811846A74D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E7ADFE-8D53-4976-903D-6E79F90D97D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D8BD4C-4F51-417E-AAA1-3CF9AFA5D07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1DEFB5-6CB8-4A5D-812F-C6CB3EB5FE5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398427-F908-4085-A815-A6577AF05D7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6F8DF7-4903-41E1-A401-CCA236FF472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821C29-6C11-408E-AC46-B342F9145EC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1BEAD-64B2-4C03-A294-E2EFCFD98C1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5426F8-53B1-4907-A4E3-F8BD30CCE0E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5A6279-291F-446F-A250-A70A8A791FB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63C651-6878-45CA-A3F3-5B6F4AF308C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9DB83F-B9BB-4D19-9D6F-C56CC424F75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814F95-8542-4884-A332-34E6DD91521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448998-7D2B-421F-BAD3-17E60B88F3E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C86CCD-41D9-4610-8D35-6183F896519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0B491F-9D67-40CE-BF1A-377B5FC5934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93DBD6-C389-444B-8E14-A7D86C38336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D85EF3-FE6E-403D-ACD7-3FAC702D045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F39F7-1E55-40A9-BD02-ED344D5A525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1BA398-554D-4B20-9A5D-852E7E982A9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46F643-2BFE-492C-8156-B4A9EADB269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758F42-A570-4F5E-BE3A-ED83187D9DE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85C325-B863-4A5B-90DF-8E1BDB3B7CF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F06C0FB-135B-4979-A9BE-1DB96050CF4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84DA77-8D98-4D71-934B-C3CA5C0D0C0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2697E7-0C63-432B-BF15-F84E49FA1F5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957B424-A44B-45A5-BF47-B246A3A36D8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B0B9F8-F0AB-438F-8D62-75446C179BB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E8374-97A5-468F-8F1A-A7D6FFBD965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B341A-79E5-47B8-8FDB-C70208C17E4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4D3490-34C3-44F8-8928-382FD083ED3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5DF91E-C77D-42F3-A13C-880E0F747B2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6C736A-EB86-49FC-8DFB-275D86405C2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93399D-2F7D-47D6-A59B-EC3369AC120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7A5F6-4931-4E84-8317-45F1F4F4C99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B9BCA1-A606-4DC1-BCCC-0246F842324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75CA48-C6F8-4B34-B051-09CB37388BE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3114B3-13A6-4318-ACEE-0FF0350156F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A733B-00E2-4DFA-8F89-D4D2294C2AB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33063-2006-452F-97C0-2679D249653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BDEEFE-8878-4ACC-8319-0F98EB5A809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EEAC96-E067-4F05-8E6F-F5191AB21EB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5C2966-085C-4623-ADEB-0F6707EB2A6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89680F-68F4-45CD-B110-17C66E3B903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4BECF3-D250-495C-89FA-EDD6240F749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FCE9CF-FC38-425D-B302-89D6287111E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576775-A50D-4CA7-A6BD-F8C29145461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207962-1974-442D-9840-9FD6E83F549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0F8F5-0803-4A3A-B88B-3A9C3EDB1DA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7B606C-A279-45FE-87E1-F81999FAEEA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A282D-8D0A-42D3-9D38-8EC8B1E9D41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A80282-5659-404E-B51C-FA0143B03BB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A761ED-E2DC-445F-A275-102DCED528A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0EC99B-2B88-4715-881D-1585E0A4B0F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EFA41A-063B-4FC1-9EC4-E72EC048D2C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F3612E-BDDB-4F22-B1A0-E86972B05A6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C6EB93-FE46-4435-8D44-31269BE8ACB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4BF8D3-23ED-41C9-8A66-33B17718E2E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7E0BE-86ED-4AB4-AF03-AFBEFC95D22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25B924-DB28-4918-B0E3-CB5A513FD1B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091234-92EE-400D-8149-0DC42D39137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30C08D-DBA9-44D6-9DC4-4991EEBDD47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D9E6CE-4F1C-4615-A339-F0303BF7504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2D6C8D-364F-466C-85DA-BFF4041B00F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9270CF-C956-44A1-B89E-BFB622B2D4E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433D01-021F-49C8-AE06-FD1EFBB5DC7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63A02D-1DBF-461A-8E27-1560DABA22F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40EEC-9D9D-4BB0-A7F9-C4A5BD04DDD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2936FF-72FA-4B51-9F1B-CAC7D3419B2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89A851-2166-40CE-8433-894559FB68A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840E2-9102-4756-B9D4-0C1A27D2A6A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E98B5-00E9-46B3-A270-C1EF9ADAC7A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E713E4-7938-46D5-B2E3-2D332D8781D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0D7E4C-275F-4589-BD55-2344A85EB28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2AC353-DE99-4EBE-AF2A-57E34135C09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DCEF84-D93C-4AED-933E-E25F3117E2F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E880D2-4AD2-49DC-9806-3221892320D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EED8EB-C7AA-45E8-93AB-54C3623F67B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CB31A4-0E6A-4827-9C32-E81F01F6124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13D3EF-2431-4B73-8F66-7107970B191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FB1722-5A72-49AC-8C1D-4BDF584FF8B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5C2826-8845-4A50-87E5-F87F74793EF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54DDF6C-A441-465B-B502-19B771FCE09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D6C4C9-121A-4AF3-8B78-C954EC0D44E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EFF056-9245-493C-A3BD-8E912B920E3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EB0550-15FE-4F3A-8FAF-5E3FA9C08AE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0AC593-FE0A-4425-9728-3D04DF9D01A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ED03EE-BD10-4E65-8931-7CAEE56D775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F16C74-37C3-4A9B-916D-6ED909C04CA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1979ED-7C69-47B0-88C8-F33ABB76DDE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426872-D318-4AA7-B17D-C593E370B6D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371480-D9CE-4479-A2A8-875B95743C6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6837D1-6EF7-40BB-956E-378946901C1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A53317-43D0-4ED8-92EC-AC70707CCA1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1CD996-027E-44C3-B9F9-A8F4D4F187F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EBE4F8-C508-4A82-9C7B-58D59FAD582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03C07F-0E86-4319-9F31-E082C32D517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D08C0B-906B-4622-BD82-99674BF59D1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56BD55-E201-4893-9ACE-598EDC458CC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7E49D7-D206-4B77-BBC8-2A4F0764221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0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23BCA8-573C-4301-8488-64CC6288A9D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31691D-A550-492E-9A65-96C57D1ACFD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D6A7CE-FAD5-4C22-A3FE-28EAD26A80B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00D07-2C91-4822-81CB-7A5C9C9F8E2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DEE501-6B7E-4203-88C0-5768877D1A3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144589-1379-4401-9264-F4A7D020708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5E5BCB-359C-4ADB-8564-A3DC73855C4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24936-2217-4783-B197-7214429D4A0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A85BD9-AD44-41D6-BE62-094426A978A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E3749-B26F-4A8E-AF75-83CB5626A69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E66DB-0374-4796-8AEA-EF0AC53C904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CA9624-A6B2-4926-9E54-9576356939D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36E4C-873A-498F-9384-6D2BFCBA9B0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A33A06-F40C-4251-842C-E05A6308BC2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0085D4-4C60-4B6A-A13F-C0BF83EE9FF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1239CE-1E79-4A5C-AA07-956BD1EF5B6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78B65E-7645-468D-A9C3-89D880AAA2F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7238C6-62FE-41A1-BED8-17D10791683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1AAA8D-A1B2-41A5-A4B3-63741E96473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717B6D-70BD-4B9F-9D4A-6411247A153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555C3A-AD19-45FA-8C34-1E96B175EF4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6D077-1BF2-470A-89F5-E83DF30FCE3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F29199-57EA-4542-BC85-044509BF006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98017D8-98FA-46AA-B0E1-124EC6BA6C9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CEB2D1-DD79-42DE-ADA9-4093219451F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9FC3BA-7566-43D8-B50D-9988AE20A6B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7</xdr:row>
      <xdr:rowOff>0</xdr:rowOff>
    </xdr:from>
    <xdr:ext cx="304800" cy="304800"/>
    <xdr:sp macro="" textlink="">
      <xdr:nvSpPr>
        <xdr:cNvPr id="51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941621-FFB3-4926-82A7-FBAE8E9FB50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D78976-7BB1-4E65-8FC3-14A34764060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23AD02-67B5-4A51-ACA4-EA813A80710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7BF359-6E9D-4C33-AF4C-9C364BB51D9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FDE0E7-D8F8-4924-8DCC-9F6DCEFE99E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0CD2E0-112C-4A19-9BBA-B1D87EFEB71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249AD1-24B3-4DBF-8F6E-EB1AFFF22F9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7A7EEC-E4DA-4A6E-8F6B-21FE00EA29C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1B5497-D9E2-4F1C-BA01-67564DCA60E2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4B83A-7172-4725-98A0-114F5BA8E9E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CFE2CA-EA5D-4DEF-BE5F-B8BD218366A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E6ACEC-99B7-4D09-935A-2C635F452AB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42F88-39A3-4DBA-B6DA-030D3A97A29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1B7175-DB78-41A8-80A9-B8735694018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E87816-31CF-4DFA-82A5-50CE7F7F3C6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97F098-303B-46A4-981F-2434E3EF1C8D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0F88A6-B2B8-4F88-8B04-7CFAD31BF5F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2A37F-3B45-4734-A2B3-24B797D4EF7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343F87-3A0A-4F5B-9D3D-A163BAE2656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B50C26-1856-4C5B-8EA7-DE2226263C9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139D65-2B09-412D-9B6B-574216FBA1C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BD3FCE-C500-4C35-B0B0-22272BCEC9D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C85A87-71E3-4B34-850C-DE825C80FE6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4C2D35-B83C-497A-80AF-10243CE9E65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85F4A2-320E-4D94-82D9-89505BB33F0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D53DDB-D412-49B9-AA34-E7688B2BB84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5DB0F6-340C-4C2C-ABEA-CF6A8691B8C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686687-3BB0-4711-A4FD-3237101DE50B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AC408E-0DBD-4157-8223-C549337B5CBF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F99A2F-E8E7-4F42-8D5D-63FA544FB9F7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41559F-7766-4573-A263-E38BA925A719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6D9C9D-C907-4492-856C-3971459D33A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D647F-9541-41A6-92CB-62705506B09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0F9E28-67C7-46A8-9520-29C7662E5F1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5376072-2CA7-419E-96B8-697064289091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875B11-8ED8-4CF1-9EE3-1CA7D6E3FFB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171532-3D4C-42CB-BC02-FD21EE68F91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103D62-AEBF-4DB6-9C4D-899264964B7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A3D6ECE-7EDC-4CD3-88C3-7B7277DCA21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96C8FE-D2D3-4BC6-B260-746C08912B0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F5A735-69AE-439B-86B6-56DC80E8E87C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E3097D-18C7-4518-AAF1-1B20B5C1014A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EB118-C4DC-4F26-BEDC-D48EA119BC9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498947-D868-4E28-9A6E-2AD9C9F27295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3ED47B-E2A9-4531-BFCF-5889E9265874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EDCD71-2BF1-459E-BD28-01F9F8354A9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1372D9-17CF-47DA-85D4-4E0B3FE44326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ECA90E-B109-4C05-AFA4-5529BE0FF8CE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5EDCC5-338A-4318-B8B0-35DD91DDEED8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84401-1FF8-4305-9B9D-7F5111CF8670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25</xdr:col>
      <xdr:colOff>0</xdr:colOff>
      <xdr:row>5</xdr:row>
      <xdr:rowOff>0</xdr:rowOff>
    </xdr:from>
    <xdr:ext cx="304800" cy="304800"/>
    <xdr:sp macro="" textlink="">
      <xdr:nvSpPr>
        <xdr:cNvPr id="51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AC7514-07E3-49B8-81B9-AD5039B04053}"/>
            </a:ext>
          </a:extLst>
        </xdr:cNvPr>
        <xdr:cNvSpPr>
          <a:spLocks noChangeAspect="1" noChangeArrowheads="1"/>
        </xdr:cNvSpPr>
      </xdr:nvSpPr>
      <xdr:spPr bwMode="auto">
        <a:xfrm>
          <a:off x="127825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054853-F389-4DEB-8CEC-98D68F045F5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6AA4FA-24FD-4A2D-8AC6-8F182FDD28A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65C20-C23D-47AF-9FED-8503411EAC8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9A31D8-E536-4243-A128-2AFE01879BA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B152EA-8216-498B-B8EA-9DA9BFCDF3A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FA648B-0241-46F7-AE5B-116BE67E198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5487D2-A4CB-4240-B376-B1ACAAAB441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4C9482-45AE-4282-AF6A-FA3ECAE334B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7AA2FE-558D-4452-AAA1-FA6C0943C26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77AA72-3313-492F-9CEF-F460F989DF2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3001EA-E9EB-43B4-A7A8-D354AAE44D6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CC9A55-0F38-4FE9-88F8-0E50A9D465A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67146A-A4CB-4C13-913D-D4A57CC5453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F03682-DD94-432C-9DE3-0BC8E418A26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4F667E-0973-422B-B46F-61AE6ECF26F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A43B98-D907-4089-9C5A-D020F3ABFC6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17BC1F-0BD1-480A-9B0D-47484928BA0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20F388-B355-4092-B59F-F65E5B1A3E1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46B810-04A1-48CB-A97F-4ADE396D293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14E82F-7D37-4E7E-B202-A0DD199DD3E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C2B6A4-F288-48A3-B271-917FEB151FF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EE82B6-0F83-475D-BFF6-A5ACC9F2516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4B0195-B75F-4463-B2A3-32CF110E92C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1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7C87C0-8313-4044-A1A6-827FD709D7A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0547E-9EF4-4F05-97D4-451F9A3D54D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B1AF9D-1832-4182-AAFC-9930B7F219E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4DBBA8C-D770-4BA8-9479-71EC07C93BA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BCFDD-90C0-4537-B4E8-24C042775CC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2A1F18-6745-462E-9657-C63D52ABC49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A77CB8F-E529-4A96-88E8-33EC14E1401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082731-84CF-4079-81C0-ADC30FD5234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B9EA81-7C4D-42CD-8115-2792B748B89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6D2B8F-2E4A-4239-9788-99E0E6D3033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9BB51D-E924-4FA5-AA33-3E076D6F87F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3E4F3C-C9A7-4049-9AE3-172276D9D82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BDFA0E-C3A6-44E1-B3DC-9204F32C079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165EC6-8D2C-4870-9A91-D7EE7C4C1B9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A0571A-D13D-4310-B463-3401F45C1AF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D2855B-6D5A-4B27-AF53-1C5F101E7EA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30A0B1-ABB7-40CD-8204-DF6012B0F78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1D6EBD-5251-4CEC-8AE0-CD3904797CA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8C3A3D-72D7-4FDD-8825-EEE271F44D0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D47C8E-3083-4384-A6AE-CEDE4F26A83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467645-0113-403A-ADB3-CA06B06E1D1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2E2373-2AED-420B-B2B8-263302CDC38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8343C-16E5-4736-AE3D-7282B979C04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B8CD2B-EE08-49EB-A3C5-A238D614486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1B1280-36E7-4069-B899-61A543E75DC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F3482D-52B3-4C52-B3EA-F42B67037C0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F4ED0B-D230-4F74-9510-BFB08372F90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4550A8-15F9-4BA0-B4CC-EA201AF77D8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3CDF70-8991-4370-BF98-B5FCEEC8225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0897CF-2D41-4C1E-B3DB-BD06B1F5184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122326-C500-4FFE-AD4B-377B998CE01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AD4C0B-3D60-4DFB-A650-7ED3F194164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20E97-EC60-4964-B97E-32C2F8D34CE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5BC9D5-679F-4FD5-99F6-CFAA93F505B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6E4F34-3E61-40E1-9A35-E7CA7B0EA55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830271-F787-41E7-B9A1-D5B229DC22F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5275A9-C473-4C71-BBBC-26F5DB63121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9AED23-A5CC-4446-B1A7-CBCD8D076F5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00AA2A-1ADE-4F5F-9DE7-5E27AA3BE31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8955AE-EB1E-4951-9290-C88B3BD5297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3CFC7D-1733-4420-BD8C-7F41E6483EA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A5316BA-F032-4C04-8169-2611DBFBE5F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FB9CC-0B18-4EF6-90D1-7796D1F1063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429C83-90D3-454F-8E22-0301CAED6A2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FCDDAD-449B-4404-AEB2-378C652ABB5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F545A4-96E2-47D0-8BD7-8606B1AF80F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7C1B3D-9D17-493E-9E5A-1BE6823A0BE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A99D8A-2631-4A66-AC83-5FC64DF9C7E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F2CD2F-4E9A-42F4-854E-7E6C09C2D25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17E10F-7729-418A-B8D0-53A905B5E99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5E24F3-0263-4566-89E6-8B0913A033A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BEA3FE-2EB2-43E2-8F97-3939612A318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3815DF-ED30-471C-86C0-41487BF0BDF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EA4F31-C134-4AA0-BD1C-EF6B3B7D14C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C4D8CA-31D4-4D30-9DC9-993984D8001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A55FFE-2CF0-4373-A02E-7B20FFF3B4E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40A27F-121B-48F1-BF4E-5D92525F527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F4A647-36DC-4929-8013-A67F4B84612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13F1F5-45E8-49DE-A5CF-95D91419BC4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3093BB-834C-406D-B225-57D269DFC31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056AC52-754F-4CBF-8D46-C2F441C643A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682BE65-07D8-4A19-B058-154089EF04A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B4B274-9FB2-4629-9B60-A69C94BB617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5F06A5C-7FE0-4944-B9B5-AED44DB1D8A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DBEDE8-A2E9-4D0A-95F8-278FD7B1667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AFD9BB-A90A-4976-B8BA-D69D36FF4E4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948BF3-340F-41E8-B71C-7082A106897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6C410B-FB27-434D-BA1E-4EE47A6A506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961E36-2F23-4C49-9F1A-11451FCEB23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6D244B-FF44-40F9-A67F-9F2B485A3ED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45835-C03B-48A0-BF85-056F9E49798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71D94A-04B7-4374-8B12-C4E63115063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800026-610B-4901-8C61-BDB47D4361B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4FE90C-E950-4CC9-8D07-53676B49AE6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3BC408-F232-473D-8216-FF60179938C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2805FC-58CE-4BFA-B1A1-19E74AEB926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66CC49-40CB-41FE-8476-49629CF5945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116C66-99FE-4054-8791-72F660B3EF6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887673-9859-4F54-B958-B38900E0CFA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B2692B-1648-4A9A-A84A-DE180EFCD42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7545A8-56EF-4AF0-930A-1FFB5E1BF29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8B9297-4B88-47D7-B945-66984D9B033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629883-1820-4D24-8D63-9980EF76146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BCA0AF-A98D-4F24-A3D9-DA5ACA0834C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CC4689-6EEC-47E7-A495-2B09D5A4395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B1B176-5A13-4C73-BD43-301B16A4805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7EC2C8-5D92-490F-B398-DCA855D35AE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AE11FB-A8F9-4A3D-9F1C-52BA804DE3F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9D8163-98F5-4B0E-A969-B9716C869E1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D23C88B-D279-417C-A6B6-06E82DE2BE7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8574EE-F1ED-42C6-97FA-B0746DB8784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2A577A8-0350-40A4-8325-796BDB9820C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EEFF67-4BB7-458D-8CD8-7025F1520C1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111AE5-68B2-4BD5-834F-44851404D40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BCCC915-D288-4241-B373-C317C303669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3A95C9-DCC6-4C81-9441-A26C9B60D6D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E4374-252D-4611-9F4F-4A4C3F25024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84E2BC-6B2C-4032-BA42-87B51C5B763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422178-9EEC-4A97-9940-78F0FBD6845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273497-0A71-40EF-B0DB-88C60A13CDA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2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ABF100-009D-4F42-88E0-B2B794B5DB3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7688F3-726B-401E-AB55-EAE09A45A14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0DF9C3-DBBB-4B10-A8DA-64F5B21AFFE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F2A5C1F-A2C2-4F14-B591-EB3AA2A4F3F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DD2009-3884-4684-B4DB-6780AB54D7F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883D95-1C3C-4E77-8088-9558EFB8EFD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D6265D-C2B8-4D6F-BE78-47C696AD697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E00DE4-2592-4927-B881-71F6B92A859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CC72CC-9B3F-43EB-8996-9F0425D5AE5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DC39195-935A-41C6-8D70-E5C78ADE70C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E7F90A-585C-45E1-A65B-018B5F3C0B5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8EAECF-25EA-490E-BFE3-FCA2F8871F5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5F2300-1A02-42BC-BF16-8EA4F1C4F76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6A0407-31F3-4372-BE78-F767959D291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39FE1D-5B07-45F8-856D-CB2395ED277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212939-CE2A-445A-A239-8D97B7AED5F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6DC60C-E05F-4D8D-8124-4958A350F9D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3858B8-AF49-4871-9FE5-0AEA4906A6A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6390A4-E626-46D9-9683-7C2D26C82FB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631C6E-332F-495D-BFE0-81B1AFDCF5E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C43AF3-01D5-47B2-9318-ED448AC7A91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07E6C3-ADBE-400A-AA34-266EE1EFA4F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A0E46B-D7F3-45D1-9877-AC0D5D5B167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0C57D-79AF-4430-9878-B373695B62B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7</xdr:row>
      <xdr:rowOff>0</xdr:rowOff>
    </xdr:from>
    <xdr:ext cx="304800" cy="304800"/>
    <xdr:sp macro="" textlink="">
      <xdr:nvSpPr>
        <xdr:cNvPr id="53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B3194A-1B87-4C45-9BDF-A1809821161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145948</xdr:colOff>
      <xdr:row>6</xdr:row>
      <xdr:rowOff>99860</xdr:rowOff>
    </xdr:from>
    <xdr:ext cx="304800" cy="304800"/>
    <xdr:sp macro="" textlink="">
      <xdr:nvSpPr>
        <xdr:cNvPr id="53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5CE2D0-7F88-4393-A9ED-A19A00244B66}"/>
            </a:ext>
          </a:extLst>
        </xdr:cNvPr>
        <xdr:cNvSpPr>
          <a:spLocks noChangeAspect="1" noChangeArrowheads="1"/>
        </xdr:cNvSpPr>
      </xdr:nvSpPr>
      <xdr:spPr bwMode="auto">
        <a:xfrm>
          <a:off x="13176148" y="137621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FC0566-AC9C-48F5-B762-9403BF8D745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22608E4-2B6A-4A96-BCA3-078CE2FDF0B7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774256-A02C-4B5B-9F89-A0A0B191B2A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C50FA9-3644-42D3-8C95-B810ABC6594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7DE825-E5DA-42EA-8F96-B51F272DEF2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51F6B1-11BC-44D6-ABC8-CC28B1513DC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34EF1A-AF4C-4170-9BB7-2B3E8EAB6C5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55B7D5-C220-4927-AADB-9276FF541FB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922171-E186-4BED-8106-9D7AB3F3C1C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9F0D95-C1FD-4CB3-8349-7D864920E7A5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A48678E-A57B-4552-A4CA-80EA924AD04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E3986C-7B5D-4892-8D52-A2C154130A0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B69BF47-C6A3-40C3-A89F-26E7D079AB9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82E2DA-3E7B-4FB6-9C3F-420578FA8BA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D30C5F-8DE3-4662-BD2A-27A5E0A1158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2F975B-99C9-43D9-A095-4EE02D9FCAA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68332-0089-4955-B183-D36032ED2F0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5378AD-DE12-4B2D-80C0-2CA8B3F578B6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941D2D-B503-46A1-BDCC-E8C9D0AE12C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326156-9F4C-4E62-9C42-4DBE0DAAB06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016589-C0FE-4965-8FB8-FCFAAE2DE42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74713C-B797-444D-BB1F-80AFD0BE64D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182AA62-A916-445F-B1BD-C529F84B244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1F7A27-2ECA-4BE2-936D-130D0290BB4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9FE795-3B4B-4C51-90AD-C91584F4DE38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7F269-E48C-43D4-89AD-7CE1E2268CC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F90B15-5033-449D-B872-0793B40FFAE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065AD2-FBB9-4D8E-BA6E-F64E1DD380B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3EFD23-CD1E-49E1-BFDC-04543707124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FE736F0-418F-44A7-BE8D-2F0A5A3A394D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F08C09-F47D-4825-8B3B-D6C648B5E320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B372E7-95F3-46F7-BD69-25A51071DA9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D82504-B585-436D-A650-AFD467131A5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4CC15D-4977-4A67-BB19-CFFC0BEBC21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5B77DB-79CC-4BA6-B796-8A5A7C90ADE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CCC532-E420-4F18-B14B-C3D393A859C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A31029-823B-4E07-B380-E636CADD871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FF2C79-AEFA-4CAC-9043-0C0DE973BA83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2A5E63-C476-4B38-9A15-3E25B0A8B5CB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ED92C9A-6D05-4E31-8EA8-C50C9D912904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34B5A8-9F08-4E59-B8F3-53C05741ED5C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5866423-B865-44B9-821A-F4249D05B1FF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8F5C87-6E9E-488F-BF34-97B72F553BC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1127B3-FE3A-4127-817F-DEAEEAD4806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0440A5-D3BA-4B3F-8A65-D35A3CD4D2DA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E07F5D-90BA-4346-BE30-F51FD0F5AA6E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1553AF-A03E-40F4-9725-455BF20FC701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87E627-5628-4C95-B632-2A83EDF23099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26</xdr:col>
      <xdr:colOff>0</xdr:colOff>
      <xdr:row>5</xdr:row>
      <xdr:rowOff>0</xdr:rowOff>
    </xdr:from>
    <xdr:ext cx="304800" cy="304800"/>
    <xdr:sp macro="" textlink="">
      <xdr:nvSpPr>
        <xdr:cNvPr id="53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59A1B2-C033-4A51-B751-0AF7D33532A2}"/>
            </a:ext>
          </a:extLst>
        </xdr:cNvPr>
        <xdr:cNvSpPr>
          <a:spLocks noChangeAspect="1" noChangeArrowheads="1"/>
        </xdr:cNvSpPr>
      </xdr:nvSpPr>
      <xdr:spPr bwMode="auto">
        <a:xfrm>
          <a:off x="130302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3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8C078D-D03B-4657-874E-FC423971C34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590D38-DBD5-4335-A71C-C59BD32BD8D8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E81FA1-18B2-4B63-B56C-67AB87DD0C10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39B823-FD78-4443-8F8B-F6D35198C4A8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40F2B8-2DF4-4231-BA53-9D84ECE32FAD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3A6D14-E34A-4674-862C-27A6D96E1EF2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3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3BA81-3C98-492A-81FD-9DF529BAB5D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079CF0-28AE-4E15-B975-42055D420F1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A054B4-A8A8-4C20-8D92-09B4082F639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0980A4C-2269-42AD-BCEA-041DC70F953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F8D1EE-DA99-432F-9808-8EC3C2D4FB29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F73E15-1FD1-451F-8121-FE7B83724334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582A64-BA33-4CA6-A098-9251DCF4016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5D1A78-3D45-49EA-878C-72D7C7A741C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CF2DE8-F91E-4FF3-A427-44AD77A035BD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D50A19-8383-4531-A67C-2D44E7FD0EB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1636773-35BE-4BA3-9A84-CC392AE739B1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1751D1-AA38-4C3C-A9DF-3EDB593133C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A776BB-3DDC-41DC-89F2-4B63AB8C6C7E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25156C-2ED1-4270-BC98-E2CE2C92280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406EDA-A87D-40C4-BB06-EBC94B62D242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DF6B01-92F5-4FDB-9737-EAA6E4E9F2C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CD3E10-2DDF-4D40-9797-9C4FE100771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52DB92-9FC2-4AB7-BE89-94B73F02ACD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D582C1-E6BE-4143-AAB8-AFF0B5400A4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3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976D45-C2E1-4A22-8D2A-1D8D2AB8267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06AF8D-BE3C-4920-8D27-D87F6331AC70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4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3AC9EA-027C-4CEB-9EF1-119372E9726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5DDB0C-2CDB-4BB9-919B-5306E461D67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029EC8-C9D5-43C3-AB7F-71705A77409F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E842A2-7A15-4935-B97F-A248939013A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5BC9959-1177-47FE-A7C1-8C9AD252770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2E1D49-6775-4429-A823-88B479405941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714375" cy="304800"/>
    <xdr:sp macro="" textlink="">
      <xdr:nvSpPr>
        <xdr:cNvPr id="54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5EA90D-2DD7-4BF3-A91A-89C751EE5BA8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AF0845-3928-4645-A2C8-56C4816CD15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23AC73-6094-413F-A5E8-E2BBBC891598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2312D8-003C-4FBC-9A75-FD99F707223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CEAE8B-F825-4798-9219-39400E780FBF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00283A-1E53-4771-8C7F-5239080BD66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CC1297-5DC8-4519-A9D1-CDE65E3E4320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BFFDA9D-C79B-4967-8630-33BC273E6B1F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00309D-B2E5-4935-9F1D-919676BB5404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4A7A9F-4437-435A-A598-9ED63699D27D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A497A4-189D-4968-A6AA-B2D22582ED16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916EC4-CA4B-45A0-9C18-9E1D029B7B45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0B4F20-1513-4B10-B0EA-38EC5CA144E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98C6017-612A-4DBF-89F2-DB960E298CFF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890920-7003-4EBA-A8EA-DEF6F5D9F939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A915D9-53DB-4640-A52B-2C6178515C5D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667295-D455-4A61-944A-4FC8E568D057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7D8915-F95B-49CB-AB09-491D957348CA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E4092D-2192-4EE6-9D68-06440C73241B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195CF4-57E6-4B6A-A386-A4698F7494F4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29</xdr:col>
      <xdr:colOff>0</xdr:colOff>
      <xdr:row>5</xdr:row>
      <xdr:rowOff>0</xdr:rowOff>
    </xdr:from>
    <xdr:ext cx="304800" cy="304800"/>
    <xdr:sp macro="" textlink="">
      <xdr:nvSpPr>
        <xdr:cNvPr id="54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F9E003-AC6B-468D-A1A5-8AC933F95D33}"/>
            </a:ext>
          </a:extLst>
        </xdr:cNvPr>
        <xdr:cNvSpPr>
          <a:spLocks noChangeAspect="1" noChangeArrowheads="1"/>
        </xdr:cNvSpPr>
      </xdr:nvSpPr>
      <xdr:spPr bwMode="auto">
        <a:xfrm>
          <a:off x="142970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B4A3EF7-3FAE-4EFD-8836-AAC022C88AC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894B63-B1D9-43EB-AA57-5D1321380F8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B4DAEF-B024-41D5-8F40-6BA4568FE86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F4C02-AB9E-492F-969C-775CA3A1750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C5F83-7899-41A7-A7CA-A29A794A1E1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5CD99B-84BD-43F2-A269-E77BBBC85F0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909BA2-6EE4-4800-A731-8B30BC61A0D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91F079-DB4E-48FF-9C77-1CC2998ED6B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1E94B-7A31-4AC0-A004-4364DF9EB29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E9F34A-88CD-47FE-A1C8-E90BDC5F61A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226AAB-75B5-4A09-9ACD-2E76093427C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158DF5-847D-472B-819A-1B81CDE1F64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9B04DC-5B65-4B90-9050-89EC11449E5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25791-E6BF-4BF1-8545-0BFF44943D7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FE36ED-75D5-4829-B32A-21F93A9AE70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A7E2FE-6B9B-484A-955C-60A1923BBF5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18DB3B-8E03-444C-97B4-39F1BFD6138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3D67BE7-8CAB-412A-B349-C686E579EB5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5A445B-D1EA-4B64-A6DB-E2274FAE144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5ED5D14-0409-4D62-9F51-D87193B43CE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2A7D22-F966-48B0-B832-A5756132BA0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7E76FF4-8AE4-4152-9C08-CB1D5454D67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DF01BF-AD47-4893-96E3-9538AB713C8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289963-2BA4-45D4-9164-6486EAA77A6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8A51E6-8827-4DE9-9C76-A643CCC884C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B5B2A5-9C94-4D14-9BBA-2D6804C52EC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34A4EE8-14D7-43A8-973A-0912A4AAF09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708AD7C-CCE9-4FFD-8B6E-D2B8CE3C67E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0948C5-02FF-4707-9183-260D50D21E5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4F9B06-F66E-4D14-9E1F-899DC79FB94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196343-78ED-4625-ABAB-13130C8794D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410FB7-0D0B-48FD-BBC6-2C0333B4E52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3A65F38-FF4F-4925-854E-27CA6720CE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497DCA-C362-4EFE-8FB4-10BD8840DA6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208AB9-7D55-4611-AB5B-25968461EFE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BE61FD-63A0-48CA-9305-34247F6757B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27F653-44D7-4B35-8CD1-EE5F46CD555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4E35FC-8BF9-41D8-B799-E18B5FAC9F8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3EF11AA-5C7C-4CA9-9446-330B275EA3F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BAD615-C7FA-4D52-88DF-21BDDBF8942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D66FE4-5228-410B-8DD1-A6B1EE04F28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3AF04AB-3EE2-4C41-AEFA-C035704665A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F21D332-A15A-44F1-9D0B-F733D20F3A3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534914-A5C7-487A-9EA8-369325F7751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A8F677-CE98-496D-AF08-EAC98AEBB6D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92612-2A18-4CD3-9A30-7E345FADD21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15A14A-80B2-41F1-A7C7-EB8571F62A0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20D0D4-E7B8-4955-8D75-3154B4CF47C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36008B-7A4C-448B-9AD5-2DEC98ED959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F0ACBD-1F9E-4BE2-BD9D-CC51A3E7586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356CE-7607-432D-9E0D-8803688AAD9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07E894-225C-4DBA-B30D-78000145F1C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96B495A-72F7-4758-9C5A-0396862C177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57642D-053B-4281-81BA-7FE56005CFC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7C090F-E1C5-4DB2-BD14-41CD77F4C79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8F8781-4A44-4375-B6AA-8186FF3A626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A46BC-2818-4C08-89F0-827CBEEDBC2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C5B87B-DB84-48AA-8C0C-D5B9338F3FD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4188AE-A722-424C-9393-FB90DA323D3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07C969-6E0B-4F55-AC9A-AE2034C6015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FE7999-C66A-4D19-B44C-0AD3BB1E303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714375" cy="304800"/>
    <xdr:sp macro="" textlink="">
      <xdr:nvSpPr>
        <xdr:cNvPr id="54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034D5A-3067-422D-9B7D-3E2DF9D8AB6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DB6BBC-8711-463A-A371-C53B3A98D1C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074EB-32D8-43B3-992D-A3AF402299B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E3A36C-A179-4AFD-8438-E919C68250E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8AEE79-F0E1-46E8-8E52-AA214CFE227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458A99-BAD1-459D-B1EC-47D20A824E6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A81B9C-832C-443B-9275-67C094768D9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0E6895-19F5-4477-8B02-9079C1222DE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EA138F-EE7B-491F-A72E-AFABC98348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49307E-53F3-474F-AA3F-8F67A6D95D4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4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1D08B0-7B35-4603-886C-472CACBAB66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D6A16CE-B204-415C-A425-73E8BCD21D0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58FD66-1A09-41C1-BBF4-93131FABF44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E484DB-AD29-45BE-B2B7-B43F0662507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769B90-4D8B-4A02-A9B5-6891553CDAB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D746A6-905C-4953-A792-EA61D208233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F9C67D1-5F3B-474B-A34C-273EBB470A1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28C148-660C-4E29-BC50-B2780150D68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F0E9B4-ECD8-4D21-B9AB-0BF131CDB79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CE9D9D-0237-4006-9FBD-5687D1E7DFE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E34E27-BF42-4132-849C-F3CCA16C34E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6BFCC6C-DFE2-4D37-BAA8-AF220E7C4B8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27EE38-6D7E-448C-8A23-9153608B8BB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06BB3F-FD4F-437A-90B4-F3037848ED6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7514B3-1F3E-459E-92E0-38FFFFD4A06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8D27F9-193F-4617-A2A4-0ADD2031DBB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A35634-63D1-4A1E-B9FA-ED781092297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1AB953-67C2-4BA4-B1E0-0C4573D3268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56E72C-B0F8-4F2E-B7AC-EB0429BFC39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7FA4C87-9666-4A98-BC8A-FD497BC13F3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69EE7A-DB80-4740-81A4-1A33800EE9A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3DC9CE-D7BD-44DE-B12F-2963DC9E3F6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D9F115-9DAF-454D-B615-3FC1F242BF2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64AAD7-16CC-4837-8A13-08F8C595C79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17FCA7E-C53D-4C84-967B-59B54D55B1D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24B6B8-10ED-42B0-9830-454F0471219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53F070-29BC-4A5E-ABF3-6C47E775C8D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008CC60-AE49-4704-BFE3-35797114850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448ABE-77F5-4E07-9B03-BC57606C4F0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30CE07-3CA4-4EC6-BDC7-D35696837D8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A3942F-7F8A-451A-8E38-D689A1919AD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EEF987-E9A2-4021-8EF1-CECB50E613C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E5380A3-BB6D-4DD6-9335-E5A48F471CE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A559A0-B5B3-41D6-8342-FF9CB80165A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460169-B179-4A92-A206-D3A52FDEECC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F15146-B364-48CF-88B8-3D51AA95E1F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739CA69-B488-4EB7-A7E7-F7D02D48846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D71EC-120A-47FE-B51F-019010016DD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7034B99-8212-4D23-A4DC-ECAABD4A70A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B44B35-132F-46BF-AEC3-71F64C2C142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A73C2F-B770-429D-A843-2E2CFBDFF13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5BE240A-D430-4627-9B9C-C2873519444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D91DDC-3795-4967-8912-A87DC262EFF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3E0BC7-6BBF-41C3-B95D-8485955CAB2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A2DC9F-EDB8-4F39-BB1D-A422B505B90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46732F-20C0-4A70-91DB-A70169CFAE4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40E5A7A-0089-4AA3-89A1-83723876142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8E91492-6000-4B0E-8894-B663DB9057E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F3E910-CFB5-41CF-AD5E-14512A60BD4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560056C-5282-4B77-927F-6C00D30C751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ACD907-4CED-433E-8C28-8798D30F149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EAA825-2554-4472-92BF-5C11A800F03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0DD005-2726-4581-8004-56919414D19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BFA734-3247-4442-86ED-45EC57B3917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7D1DA5-594F-46C6-A7EF-468C76FB869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DAACB5-303B-4758-A5B0-AAD2A6356BF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3271D9-64B5-43FB-B692-0D10BD8A20C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9B30E5-7A7D-4F1B-A95A-A1BEE4B74F9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D3A10E-B987-452F-B042-CA638C89CCB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214338-E816-4AA3-8DE6-ABC43289DE7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03143E3-6C81-42EB-9213-30CE94F86BA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41FF2C-9E3D-4C1E-A481-0F7B0FFB26B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DAF4D6-96E3-4EA8-9DCF-73FE6B2C383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30CDCA-B788-4AEA-B0D1-E8696EC2FD8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6BB1C7-5F67-47D9-9403-BBA2E17FD06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85C44C7-D6A8-44A9-9A79-AC1BA298F56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7C0EEE-D144-45BD-AB9F-4484A2209B5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9CA139-E904-443E-B14D-2F68D6DCD5B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A1275F-B84D-4ECE-818D-42D81EF7758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B81A134-A9A0-4599-A96E-6212F6241EF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FBF7F9A-579F-4C8D-ADD6-A9C1E9B66E1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1745FC2-E695-41CD-A5DA-B4206A9251D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F12BD6-A166-4B79-9D55-DBCC69BE4B4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8B656A-F36C-412A-A69C-5D4A0CC0213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80A6A1-1E13-455C-AAEC-5E0A0434836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2B192-E5C3-47B2-BB6E-DAA4844912B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D11260B-E6AA-415A-AC88-0C9C588F41E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43BA089-4AFF-453C-ACF7-9FE88FDD840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3265CB3-A911-481B-ADB4-A1E37B1CCAB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42D4F0-DEF3-42B9-AC0D-4CAA3C99C5C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B63681-5A75-49FA-86CD-A8D63DA41A6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247BA1-BB11-471C-8433-6A009E89D7E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800AF9-7AD9-42F3-A2DE-068FC6666D1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7</xdr:row>
      <xdr:rowOff>0</xdr:rowOff>
    </xdr:from>
    <xdr:ext cx="304800" cy="304800"/>
    <xdr:sp macro="" textlink="">
      <xdr:nvSpPr>
        <xdr:cNvPr id="55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F3BDA2-387D-4AC1-B2F5-94D03141E15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5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4481CEC-AD3D-4C8A-BC0E-6C727BC17A5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9E756AD-A6B9-4AB7-BCDD-7B15F2EEAD9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F43498-B9F7-4C46-928C-CCA0EA75FD8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F7CE1F0-7B55-44A1-8B48-20EBD64206A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D88FD8-4B56-4C88-8C20-3600BD05087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9ACF57-DBA9-490C-A34B-80B8953EB47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5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78D37C-4490-4724-822D-FDA1A26C1EF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7259C1E-E959-458A-BC28-2C0FD95CDDE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BF341E-55FD-490D-8516-B3F04219481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8A9B55-ACB1-4BEB-BEE6-782A6453488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F3576-FF00-4EAD-ABE4-6FFA3AE8D35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83F6CEA-46DC-4E7C-8189-66C0749BA4D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700DA63-D6F6-4988-8DE2-5853D12B836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D60B95-BBF6-47CF-849E-AEC1BA3B2CF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B739077-6C9A-465A-B4C9-4EE3BCED89C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C21AB23-AAC6-4BE3-B8AF-7E5DCA62049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5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7219F52-EE95-44D8-B70B-A4FBA1DBEDE2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EF4312-961B-4E24-9BCD-14A247CD23D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63D17E-ADD1-4BCB-B5A1-A3D695ECBD0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7DE1AA-A9C2-460B-BBC0-2FEAA28916C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25F843D-BA71-4890-87BB-0DB17F2C878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CF6876C-5D86-4E8E-A63E-69B49A47BC2F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94E556-02A8-4DE7-AB8E-CB6F67BBA5C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EDCE14-0E4A-401E-B1B0-57C18E71664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48AF8D-1659-45A6-BA8E-F2B4DAC731C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453E4CC-73A7-415B-BAFE-BB93AF9724E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93926BC-7CAE-4AC3-83DE-E4AA0FE01C4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6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BA66EA-91B3-4B71-938E-9DEC24F99FA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0C5243-3CC9-4D26-B5A8-F576D8678B41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184E2DA-88BA-432A-9A7D-5A7DB984E773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85F3B24-8A2C-4583-A4D1-263DFD55798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A37350-D38F-4770-AE59-75C80D42E7F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424065-9D85-481F-A91B-65EA1B9DDEE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714375" cy="304800"/>
    <xdr:sp macro="" textlink="">
      <xdr:nvSpPr>
        <xdr:cNvPr id="56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FFB80D9-5B83-494E-8A84-6F467303203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F3B56D-F4CE-41D6-99E1-CDC1B2758F9D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81A3114-DCC2-4071-ABD8-F8CD9DA3C79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8A4CC-4436-4ADA-9CB2-360748E3A85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A64709-8C94-4204-8423-9E522A5506A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47E164-5A25-4128-9160-94245555FBC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EF189B5-27C8-429E-9B6D-17818B0CD11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BE54C9-3581-4129-A0A2-83B7A64F627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7CFD9-3ACD-4540-839B-3DE2333196CA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208E3B-DB5C-4DF2-903B-92693140D26C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6493D66-9912-435A-86A1-68747B868BF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CC66694-DFD7-4CD4-B3C5-2658EA0D7AE9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B8E465-9F49-4A11-BD7C-852CAC9F21F6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7152EC-76B3-4D6B-A944-FF90341DFB77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5D1EEA-45C9-448A-9B0A-01B9456796DE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9B81B7-544B-42B4-999C-A2C0B57D3B44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82E326-3A63-4754-BA78-87B4320F387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762F07F-87D7-4A92-85B9-DD8D38773A3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104694D-94D5-484A-A617-3DA4EBF25EBB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7F3DD5-A0C8-48B0-82B0-D29312F306F5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28</xdr:col>
      <xdr:colOff>0</xdr:colOff>
      <xdr:row>5</xdr:row>
      <xdr:rowOff>0</xdr:rowOff>
    </xdr:from>
    <xdr:ext cx="304800" cy="304800"/>
    <xdr:sp macro="" textlink="">
      <xdr:nvSpPr>
        <xdr:cNvPr id="56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B6146B-0D9C-4DA8-81C1-81690D5713F8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B9096E-429D-4816-B4C2-A890133BA6A2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040F3A-1626-4096-B4EF-C9B352C4D997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6C7CB1D-F818-4F5F-8C18-A151D1B84246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665B95-C147-466B-9674-5AA773A154F4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A75FF0-8F86-4839-BB88-90A0D6A06428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BF7DE9A-443A-40A9-AC3F-D81DDED5E5F8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F08CE7-3C77-48AF-A81A-19E6BEC528F6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6B2239D-30B7-4FD1-99A6-2A2EF0FB4C10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1B92BC-865A-443D-A17A-71208C5A41C3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976BE6-C856-4EB0-A715-9BD64B64B528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DED8C6A-5B2F-42E1-8C34-ADF4D1464ACC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C0DD88E-01B1-45AD-8162-C3F5E344DF69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4A1177-945D-4B7F-80EE-3AF0B93494C4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A56E5B4-F444-450B-9CD3-123C38781FEB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CCA08A4-6643-401E-BB8F-0E0FD8F4AF6F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34F9592-0B0F-41C3-A207-70986CBE37D9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8714BA-D356-41AC-911D-0A7FC9A4DF73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6171DE-1932-470C-85BD-2A6B5C4DD3C8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8B11B0-1120-4B56-B456-DFDD55EDE2B7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504AD2D-1638-4D18-AE66-7FCD6CBDEF04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B0D4148-5A16-4A83-B099-3D5CCF0624D5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AFACC8-A6F3-4F53-9177-F09B1F8236BF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1D7154-896E-49D3-B0CC-157C9ED07705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60B7A1-223F-491D-B908-E99738AE0B2C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15F4FE-F88D-40EC-92E3-ECBABA14290F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9FCBBE-0DED-4146-873B-21C00A19AF77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68DEAE-F6C9-468A-B990-E8B2090099E9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714375" cy="304800"/>
    <xdr:sp macro="" textlink="">
      <xdr:nvSpPr>
        <xdr:cNvPr id="56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0439A6-ED1E-4592-92B4-AD6A5C968618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F97ADA-B894-47EE-812D-237CA104FAC5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A80362B-964E-4335-BF32-6C1500296B94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47653A7-EC40-45BD-89D2-A4C6B98E09A3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106128-DF70-4599-A33C-081B5AEBB232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1DE5B82-3051-4B8A-A51D-E6A7C9666A68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996475E-58DD-4C86-974A-7E5868A0DDCB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74B4636-2B01-4DB7-A4E0-DA4C387EB7EA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55C61C-508A-4871-854D-A14ABB8C37BA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03400E-3265-4B6F-ABC7-CEB558157FCE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CE9677-E7EA-4B19-8914-FBDF08659C96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5664FE-EC75-4EBF-ABA6-CF05E19FAF23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13E4B32-72FF-458D-A0EA-B0A0C11E7A19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39B13F5-B578-48ED-BBD6-762FBF26753A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BE1A103-FB8F-4C34-A784-42C74CAED7EC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CA85AB-4603-46A4-8DE2-B44EDEF0C543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95235B8-C4C3-41EB-BDEE-39C0F2A2ADCA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8C391F-34AB-4AD9-8840-38E83407581C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67DB8-D0D3-4DAC-81E5-C5607CB04906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02B645-7CE4-4096-8327-9E14ACE09874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12F93-461F-48CC-8C2F-543E9B46CB19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6BF5E7-5758-42A7-A9AD-4E0D1728DFB4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8E6E3C-C694-423E-946E-FE4939471551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4789076-8A63-47C6-BF57-876F7866F1CB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FF6FF4B-7DD1-488F-931F-79DA9C23A7D1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32</xdr:col>
      <xdr:colOff>0</xdr:colOff>
      <xdr:row>5</xdr:row>
      <xdr:rowOff>0</xdr:rowOff>
    </xdr:from>
    <xdr:ext cx="304800" cy="304800"/>
    <xdr:sp macro="" textlink="">
      <xdr:nvSpPr>
        <xdr:cNvPr id="56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6F924B8-F49E-4C73-BFC6-F42A291E1DEA}"/>
            </a:ext>
          </a:extLst>
        </xdr:cNvPr>
        <xdr:cNvSpPr>
          <a:spLocks noChangeAspect="1" noChangeArrowheads="1"/>
        </xdr:cNvSpPr>
      </xdr:nvSpPr>
      <xdr:spPr bwMode="auto">
        <a:xfrm>
          <a:off x="15592425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90E8494-44CC-46C3-B14F-38D45DD0300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26AAF1-C2B8-40A9-A695-E6219195DAB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2AB5E42-9ADF-4680-B59B-F015A49D77F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B9973A6-10EE-4504-9931-B8A97413FDE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F8D802-28E0-4DFA-A16C-97DAB926E4A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966C7-05ED-4B8C-A2A4-4E03574981D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318AF1D-58E7-4B4D-BCA9-A860D99BB87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C5D8C28-CA32-43FF-ABFB-63B00A4E4E9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6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7A3DB0-F5E0-4E83-B922-22C3F79680F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6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7CCFE28-E560-48E2-89BF-E6734237733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3FB41E-71E7-41B1-8CEA-7FEA024E4E1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6C50AC-2952-45F5-868F-D232D1F5DB4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907C535-A28E-47F6-96BE-792B4124D81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971B80-1C4F-4D1E-8495-F65B89DFC8E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72115E-BE40-44A2-B997-101E9CB643F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F6915E-9D3D-48B4-AB6E-6D5D7859370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36965F4-B977-4EFD-A63E-F533FBE6EF1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C6F739-C2B5-4347-9D76-4CF4CA86672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5D46F6-231D-4802-AE84-FEC3BFA5990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50F67AE-0898-4DC8-B037-C38214355A8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C14437-90E0-4CD9-9708-96E825986FD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DCDE00-8F67-4B21-BB70-3EEFCB31EB9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935166-3679-42FB-A42E-6CBD831F63B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3CB9F5-5C59-4DDE-9FE9-ABDE6D11FF0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7EC51AE-0B8B-4846-A351-55D3C687B35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8728B0F-85B9-4E34-8044-A205049AE7C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7F00740-FB32-4C3B-8AAF-FB395F910AC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82C8CE7-46DB-4F71-AE4E-292AFF24033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3EA7212-773E-4839-AEA1-7AC6C4EA550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99C357E-3C61-4833-80D8-C6DDA2D2808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1C693E7-B944-4219-9114-4303920AE1C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36EA42-2E7D-48FD-BFBA-1EFEAEC7528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8ADAEBC-25FD-40B4-BC78-777AEC5E779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613EC8D-5161-4947-B9CD-8D1D904D383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A820CF0-F012-47DE-9C9C-B924D9DA54A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9453EE-0C23-4827-A5E0-51198E4AC8A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78F806-41AC-4B67-80BF-0356040EB9E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40E2B48-C302-4260-A698-C265B179BDC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FF749C-3B62-44B6-9D9A-5C382092CBF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0245256-E086-48ED-8906-92FB85A7B8A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DC09E0-AE68-4FD0-91F6-ADBC8A6DA4A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A28D8A-D242-48A0-8479-CE82A313EC8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3201916-F8B4-49FD-AA07-6EE686C64C7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6FA962B-D800-40B5-AE9C-9B051E39562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260B05C-CF2E-4E97-AD55-9957503635F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2138523-41DA-48F9-947A-C37D6BEBA56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60FDEBC-7490-44CB-8D0E-7F5C791A9F8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F6F43C6-BB76-42A1-9C70-2B05B299195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9CEA06-CE98-499F-A1A3-458C580E36D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18052AF-6F9D-4863-891B-B873E004EDC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4359510-8E41-4BEA-839D-6ACAD619B7E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463921-0968-4950-980F-A41CCCFABEC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CA40A7-6BE5-420E-9760-44D5DDBA53D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352C12-3807-43EF-B04C-82ED9B4EA65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AC74BFE-E575-4149-84E1-B5FF4D4D39F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4A6854-31FC-43DC-89EF-CEB4C5404D7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CEA6C18-D099-43A4-955F-CC830C21DEF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D994607-3080-45CB-BF7F-0E044C7DFCA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DDF88DA-2B01-4EC6-9842-1C909F624F1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10A8E20-D23D-4919-A260-358C9BC0D0A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FB1A797-7704-479D-B15D-9D7FBD80A77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714375" cy="304800"/>
    <xdr:sp macro="" textlink="">
      <xdr:nvSpPr>
        <xdr:cNvPr id="57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AFB9145-A5FF-4177-B060-E6AB1479DD8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780758-CD1E-43AB-98FD-0E9B78FB612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2048887-4C30-442A-B3DE-6833CFC887A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EADA102-7048-408B-97DC-D7D5C9B58AB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155A55-2135-4232-AE62-07244D403DF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F431FEA-6ED6-49BA-84AA-986A96518F4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D26060-4B5D-42D3-A23C-3A717AD22A5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253D925-C215-40B6-94F0-5706F858CBD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3C5051-B9E5-463B-A085-D1B9B74F8F9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9330DEC-00A3-431F-9A2A-D920E15CB34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1A77C8-8AD7-4F90-ADBD-B37D1DCC277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0424B8-EC40-4520-B91F-0C702D79F17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EC14B9-2D12-423D-A652-0B80F952820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6FE206-34CD-4BF8-A495-E8F8E64FAC5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BCD1A58-D7F4-40EE-A805-38AD8167025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8FDF55A-7FAB-4FE7-96BE-1F62207ACB1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1569B5-F84A-4D3E-BEAC-6E0E5BE2D88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59DBA9-D87E-4478-94AD-F067B4CA94A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43288F5-160B-47AE-AE9E-8F4BC646CBB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8A32A8-5AB1-46C0-92C3-471EAFACD16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D1A489-1B96-498A-97A9-3E41F5E856D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B591C6D-CEA5-44D6-99F5-F0F9AEC94DE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22A930-02A7-438D-9FD8-D6DA895DB05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077B2CD-ED1B-42C7-B032-CE1BBFEDD90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DB7A06-FF94-41F8-9C4A-93E160AD7E5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FC352D-D478-4608-AEB7-0AF4E61E841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8AEC260-EDA9-4FAC-8869-67F19816319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B310E84-3F63-4987-AB90-08FAE5EE1A2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7080A74-063F-4F5A-9FD9-3D175A0618A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E935F39-45D0-4C38-BFFA-A798BEA7FF6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811BB41-368F-4921-869C-FB706C9C127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22F46AD-3E64-481E-AE8A-21F714EDAF9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56303A-8C03-442B-B924-3F0EC06AA0F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D371BF4-CE96-441F-B7BA-D19F6C8E67D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DB6ACBA-E65E-46BB-A9F2-41FFEA54279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07FF55D-718E-4849-8498-A33BA70BF50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F957D65-2C57-4D51-9748-FFF80AAD4EC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466557A-EDC8-4147-982E-E0F3162A4D1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0DCAAEE-E510-47CA-A14F-EFD10880603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06E5205-6E4E-406A-969F-54BC1DE7B34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F462466-7C17-4ED0-9020-992AF502EF6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074EB19-56F7-4E3D-A598-910A17D5593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28635DA-2088-4F84-A4E2-13DDBA479FC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40B2866-3AAD-45F8-AAF1-9A4A8A4BD59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A4C528A-F6B3-4DFA-94C6-5C07F3E675E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E78330A-9D47-4D1A-A8CF-644BFFCC422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DD11FA-CE5B-4560-A3E5-23EE1E1C805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DBCBB73-4D46-46A3-A0F1-6A491612CB5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79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F0D75B-1A92-426C-906E-09413718081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A3CC5BF-50D5-41A1-A739-C8EC76507CF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BFB18E5-BB04-4ADD-9B73-ADA7C7F387D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A37CEE6-C24F-4BE9-8C2C-6E6FB6940D0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58867C-0A72-482B-BA96-2BF26D7C9D2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8C62CFE-1E67-4DBF-B46F-D1B490D4A32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E3E65F6-9FF4-4A75-8C83-9C438CB88A7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582C7-2551-4A5F-8599-FFA67A91EB4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5C97103-325A-4BC8-B11A-CF50577ACD8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356D2F-A654-4713-8B51-931229D51AA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0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97CEB7-97E1-4730-8E1A-38D530F81D3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4365F-0867-43E3-BA66-612EC7CAA86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AB5FF9-ED32-4A99-811A-5187DCD62C4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A40A877-38FB-4104-861B-3BC459249A5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70702DF-C648-4084-9805-B406CFCB7BC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238A7C8-35ED-4351-8DAF-268A075A8C1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8918A57-C041-4FD8-A28E-8023088F351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E2CDBCA-A5DD-49E8-9841-EE2CC529311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902BFCA-F6E5-406D-BBD3-5379E128C34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CB655DA-676F-440A-94FB-C7127FEF6A7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1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8CFF82-EC9A-4989-BD98-480B21FBFF5A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88BBB9-AE3F-40B8-B322-09EB35733D1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5D499CA2-68F6-468B-AF04-4CA7DA67E6A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ED8024-1340-4BEB-B574-8D854DACA15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72E2B63-37A6-4252-B813-6FA6792A791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8B9D258-2B97-4E3D-8CC5-6BBD720B53B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6ABD17-699B-4919-96DE-93EA611A835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E2C5C65-8E01-46A9-9C87-D88579E7E7A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1124638-58DA-46C8-A0B0-DDF14EC5398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CFA0F242-1B73-4EE2-AF86-B2ADD954B79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2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5E19BC3-8198-410B-AF6A-A81FF41627C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2348DF5-C337-4C5C-A411-792B47781B6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C92ECCE-875B-4282-9F46-AB55D75B3C0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AF0B608-8525-414E-A6FA-F40AC62DFB7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41CB9B-15F8-4BB0-80DB-889664E9A3E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C559A7A-699A-4673-BDCA-64FAE63A3EA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456D5CD-8198-49DB-BD75-F9489AE5387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C3C05E8-F252-4285-A2AA-08BDE0F7D13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E2F634F-46EF-4B12-AEA2-A614DA3450C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DBFFEA-E10A-42F9-B265-18107851DD7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3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E0521BA-7C75-43B8-9682-FE46EA13F46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090510C-7C79-4184-BD09-B84F9CA764D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94C4301-54DA-432F-92CE-C7ED1647D51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6D425E8-7D52-471D-9A42-27651B846E0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A4B97EF-3EC9-4B9C-98CA-0EF17C09450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7</xdr:row>
      <xdr:rowOff>0</xdr:rowOff>
    </xdr:from>
    <xdr:ext cx="304800" cy="304800"/>
    <xdr:sp macro="" textlink="">
      <xdr:nvSpPr>
        <xdr:cNvPr id="584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6A8CCF4-E70C-42CC-9E2E-A42CDCEA357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1466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4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5C29442-E4E5-49ED-9B6E-9DE3CB42216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3BD99B6-DBE0-4C69-B6ED-39DE88987A0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0AFB6A7-9686-4606-8AF1-1A34FFC5E1F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01B39AD-8DFD-42D9-AB40-7B4099187A8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4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DA56ADA-1F10-4EA4-BDB1-C7F415FC89F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449FDD-2F13-4FDE-A862-1A1B0F4DD69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5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4AB842-FBC5-4D77-AED6-9D7ACD84EA9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37EE49-C4A1-4E18-B468-75718A0C38A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09B5CB9-B2E4-43C7-9EB3-FEDF21FE31A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E3FB003-1D94-4BBD-A37E-C0987EEECF8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7DE9CC-8189-4D49-9687-3DD829AF01F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2FEEFB0-5E43-4F47-B14C-533885C86E8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E20BFE-7E98-40D4-B7DB-CC4E5793A86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0E708B2-07A8-45E5-8FE8-9D1239077DA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5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3F9F68-922E-4DB1-8862-11018D99CC9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37AF06B-976C-4CE4-A303-09954447FC2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CF62AF8-F8FB-4F3E-BE5C-69F21B432F8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617195A-6AB7-47CC-B1E9-CAF917AD11D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861C8483-9487-4A70-9593-CD5B93CB5BD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F7C6ADE-89B7-4ACC-ADE3-DF5FB4756C0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B3FFFCE-37C0-4F2D-9621-A356AAE3761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90448BD-A75E-4050-8207-EB7E9BEEA4F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26D2285-8BDC-4002-926A-529DAD5FD47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DFF2238-A7A9-4A2D-86A3-E7CCEB6EA92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6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2312DE8B-2C92-4B84-9BD4-E8A38B3A585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D4AF4DC-8F54-4619-B71C-EF19E4C2C22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4E1200-1A74-495E-BFE9-E3F2B40BA2B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7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99182A-EFC9-46E4-AA02-66645DD38D90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D4D9A40-C3BB-4262-9DB5-9A2564F245A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CE2A04E-DB8E-48FD-B7EF-A160907A671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E57778-A0AA-4CCB-B41C-B8B33229B14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5CA2306-DAF0-420A-9F2F-B30C1D8F01FF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103EF19-5047-4A6E-86EA-3CAEF6A82F8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714375" cy="304800"/>
    <xdr:sp macro="" textlink="">
      <xdr:nvSpPr>
        <xdr:cNvPr id="587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2063688-B6D4-4201-8FA8-B821B1B6926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71437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7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CB2B140-AE94-4EBE-A817-624663C81F3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1EA80EF6-6C3A-48BD-8A31-56C72B8C6033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8ED494C-D06F-4756-A13F-E2114432EFB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A491A7C2-C5F6-489B-B2E7-703C1CD1F326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622EF54-2E90-45ED-8E60-507ED58455A5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C58A102-390C-4488-A1FC-CCAD4CD38B5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4F6F544-9A56-4CBA-94AD-486A3B0DBF57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6CDDEC0-DF56-4163-BC5A-97E3C95B3C62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E16ED894-C985-41B1-AEC8-8CE00FFDA01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BDB06C71-AAF2-4EC8-A13B-751126A087BE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89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9A6C1435-3418-4B64-9F86-FB06281380E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0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DF31AC-FC30-47D0-B709-66452D9286E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1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FEB9312B-7278-4F07-93DF-5BE77CDB47D1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2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DEC02D8A-F617-40FF-919F-3D954D5017BD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3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4EC44933-7851-4237-92B5-77A33A137E59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4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686C061C-801B-4ADD-B644-FDB392A3650B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5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73F09F42-CD53-484E-8481-2C319F198CC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6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BFE083D-9151-4666-8B68-463015EC0368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7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0CF7178E-842B-42CC-9A50-B64780DE3A34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31</xdr:col>
      <xdr:colOff>0</xdr:colOff>
      <xdr:row>5</xdr:row>
      <xdr:rowOff>0</xdr:rowOff>
    </xdr:from>
    <xdr:ext cx="304800" cy="304800"/>
    <xdr:sp macro="" textlink="">
      <xdr:nvSpPr>
        <xdr:cNvPr id="5898" name="AutoShape 2" descr="resource://skype_ff_extension-at-jetpack/skype_ff_extension/data/call_skype_logo.png">
          <a:extLst>
            <a:ext uri="{FF2B5EF4-FFF2-40B4-BE49-F238E27FC236}">
              <a16:creationId xmlns:a16="http://schemas.microsoft.com/office/drawing/2014/main" id="{310279BB-8C38-4411-8994-8DE57609F12C}"/>
            </a:ext>
          </a:extLst>
        </xdr:cNvPr>
        <xdr:cNvSpPr>
          <a:spLocks noChangeAspect="1" noChangeArrowheads="1"/>
        </xdr:cNvSpPr>
      </xdr:nvSpPr>
      <xdr:spPr bwMode="auto">
        <a:xfrm>
          <a:off x="152781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F4062-E4DD-4159-B8F8-3FAA5082D375}">
  <dimension ref="A1:AO125"/>
  <sheetViews>
    <sheetView tabSelected="1" zoomScaleNormal="100" workbookViewId="0">
      <pane xSplit="1" topLeftCell="B1" activePane="topRight" state="frozen"/>
      <selection pane="topRight" activeCell="Q16" sqref="Q16:S16"/>
    </sheetView>
  </sheetViews>
  <sheetFormatPr defaultRowHeight="15" x14ac:dyDescent="0.25"/>
  <cols>
    <col min="1" max="1" width="46.85546875" customWidth="1"/>
    <col min="2" max="2" width="5.5703125" customWidth="1"/>
    <col min="3" max="3" width="0" hidden="1" customWidth="1"/>
    <col min="4" max="4" width="13.140625" customWidth="1"/>
    <col min="5" max="6" width="3.5703125" customWidth="1"/>
    <col min="7" max="7" width="10.7109375" bestFit="1" customWidth="1"/>
    <col min="8" max="8" width="3.5703125" bestFit="1" customWidth="1"/>
    <col min="9" max="9" width="3.5703125" customWidth="1"/>
    <col min="10" max="10" width="10.7109375" customWidth="1"/>
    <col min="11" max="11" width="3.5703125" bestFit="1" customWidth="1"/>
    <col min="12" max="12" width="3.5703125" customWidth="1"/>
    <col min="13" max="13" width="10.7109375" customWidth="1"/>
    <col min="14" max="15" width="3.5703125" bestFit="1" customWidth="1"/>
    <col min="16" max="16" width="10.7109375" customWidth="1"/>
    <col min="17" max="17" width="3.5703125" bestFit="1" customWidth="1"/>
    <col min="18" max="18" width="3.5703125" customWidth="1"/>
    <col min="19" max="19" width="10.7109375" customWidth="1"/>
    <col min="20" max="20" width="3.5703125" bestFit="1" customWidth="1"/>
    <col min="21" max="21" width="4.140625" bestFit="1" customWidth="1"/>
    <col min="22" max="22" width="10.7109375" customWidth="1"/>
    <col min="23" max="23" width="3.5703125" bestFit="1" customWidth="1"/>
    <col min="24" max="24" width="4.140625" bestFit="1" customWidth="1"/>
    <col min="25" max="25" width="10.7109375" customWidth="1"/>
    <col min="26" max="26" width="3.7109375" bestFit="1" customWidth="1"/>
    <col min="27" max="27" width="4.7109375" bestFit="1" customWidth="1"/>
    <col min="28" max="28" width="10.7109375" customWidth="1"/>
    <col min="29" max="29" width="3.5703125" bestFit="1" customWidth="1"/>
    <col min="30" max="30" width="4" bestFit="1" customWidth="1"/>
    <col min="31" max="31" width="10.7109375" customWidth="1"/>
    <col min="32" max="32" width="3.5703125" bestFit="1" customWidth="1"/>
    <col min="33" max="33" width="4.140625" customWidth="1"/>
    <col min="34" max="34" width="10.7109375" customWidth="1"/>
    <col min="35" max="35" width="4.7109375" bestFit="1" customWidth="1"/>
    <col min="36" max="36" width="5.7109375" bestFit="1" customWidth="1"/>
    <col min="37" max="37" width="11.7109375" bestFit="1" customWidth="1"/>
    <col min="38" max="38" width="10.42578125" bestFit="1" customWidth="1"/>
    <col min="39" max="39" width="6.140625" customWidth="1"/>
    <col min="40" max="40" width="16.28515625" customWidth="1"/>
  </cols>
  <sheetData>
    <row r="1" spans="1:4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x14ac:dyDescent="0.25">
      <c r="A5" s="2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24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</row>
    <row r="9" spans="1:40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0" x14ac:dyDescent="0.25">
      <c r="A11" s="7" t="s">
        <v>1</v>
      </c>
      <c r="B11" s="8" t="s">
        <v>2</v>
      </c>
      <c r="C11" s="8"/>
      <c r="D11" s="8"/>
      <c r="E11" s="8" t="s">
        <v>3</v>
      </c>
      <c r="F11" s="8"/>
      <c r="G11" s="8"/>
      <c r="H11" s="9" t="s">
        <v>4</v>
      </c>
      <c r="I11" s="10"/>
      <c r="J11" s="11"/>
      <c r="K11" s="9" t="s">
        <v>5</v>
      </c>
      <c r="L11" s="10"/>
      <c r="M11" s="11"/>
      <c r="N11" s="9" t="s">
        <v>6</v>
      </c>
      <c r="O11" s="10"/>
      <c r="P11" s="11"/>
      <c r="Q11" s="9" t="s">
        <v>7</v>
      </c>
      <c r="R11" s="10"/>
      <c r="S11" s="11"/>
      <c r="T11" s="9" t="s">
        <v>8</v>
      </c>
      <c r="U11" s="10"/>
      <c r="V11" s="11"/>
      <c r="W11" s="9" t="s">
        <v>9</v>
      </c>
      <c r="X11" s="10"/>
      <c r="Y11" s="11"/>
      <c r="Z11" s="9" t="s">
        <v>10</v>
      </c>
      <c r="AA11" s="10"/>
      <c r="AB11" s="11"/>
      <c r="AC11" s="9" t="s">
        <v>11</v>
      </c>
      <c r="AD11" s="10"/>
      <c r="AE11" s="11"/>
      <c r="AF11" s="9" t="s">
        <v>12</v>
      </c>
      <c r="AG11" s="10"/>
      <c r="AH11" s="11"/>
      <c r="AI11" s="9" t="s">
        <v>13</v>
      </c>
      <c r="AJ11" s="10"/>
      <c r="AK11" s="11"/>
      <c r="AL11" s="12" t="s">
        <v>14</v>
      </c>
      <c r="AM11" s="12"/>
      <c r="AN11" s="12"/>
    </row>
    <row r="12" spans="1:40" x14ac:dyDescent="0.25">
      <c r="A12" s="13" t="s">
        <v>15</v>
      </c>
      <c r="B12" s="14">
        <f>B13+B14+B15</f>
        <v>9586.0300000000007</v>
      </c>
      <c r="C12" s="15"/>
      <c r="D12" s="16"/>
      <c r="E12" s="17"/>
      <c r="F12" s="18"/>
      <c r="G12" s="19"/>
      <c r="H12" s="20"/>
      <c r="I12" s="21"/>
      <c r="J12" s="22"/>
      <c r="K12" s="21"/>
      <c r="L12" s="21"/>
      <c r="M12" s="21"/>
      <c r="N12" s="23"/>
      <c r="O12" s="24"/>
      <c r="P12" s="25"/>
      <c r="Q12" s="23"/>
      <c r="R12" s="24"/>
      <c r="S12" s="25"/>
      <c r="T12" s="23"/>
      <c r="U12" s="24"/>
      <c r="V12" s="25"/>
      <c r="W12" s="26"/>
      <c r="X12" s="27"/>
      <c r="Y12" s="28"/>
      <c r="Z12" s="26"/>
      <c r="AA12" s="27"/>
      <c r="AB12" s="28"/>
      <c r="AC12" s="23"/>
      <c r="AD12" s="24"/>
      <c r="AE12" s="25"/>
      <c r="AF12" s="23"/>
      <c r="AG12" s="24"/>
      <c r="AH12" s="25"/>
      <c r="AI12" s="14">
        <f>9586.03</f>
        <v>9586.0300000000007</v>
      </c>
      <c r="AJ12" s="15"/>
      <c r="AK12" s="16"/>
      <c r="AL12" s="29">
        <f>9586.03</f>
        <v>9586.0300000000007</v>
      </c>
      <c r="AM12" s="29"/>
      <c r="AN12" s="29"/>
    </row>
    <row r="13" spans="1:40" x14ac:dyDescent="0.25">
      <c r="A13" s="30" t="s">
        <v>16</v>
      </c>
      <c r="B13" s="31">
        <f>13836</f>
        <v>13836</v>
      </c>
      <c r="C13" s="32"/>
      <c r="D13" s="33"/>
      <c r="E13" s="34"/>
      <c r="F13" s="35"/>
      <c r="G13" s="36"/>
      <c r="H13" s="37"/>
      <c r="I13" s="38"/>
      <c r="J13" s="39"/>
      <c r="K13" s="38"/>
      <c r="L13" s="38"/>
      <c r="M13" s="38"/>
      <c r="N13" s="23"/>
      <c r="O13" s="24"/>
      <c r="P13" s="25"/>
      <c r="Q13" s="23"/>
      <c r="R13" s="24"/>
      <c r="S13" s="25"/>
      <c r="T13" s="23"/>
      <c r="U13" s="24"/>
      <c r="V13" s="25"/>
      <c r="W13" s="26"/>
      <c r="X13" s="27"/>
      <c r="Y13" s="28"/>
      <c r="Z13" s="26"/>
      <c r="AA13" s="27"/>
      <c r="AB13" s="28"/>
      <c r="AC13" s="23"/>
      <c r="AD13" s="24"/>
      <c r="AE13" s="25"/>
      <c r="AF13" s="23"/>
      <c r="AG13" s="24"/>
      <c r="AH13" s="25"/>
      <c r="AI13" s="31"/>
      <c r="AJ13" s="32"/>
      <c r="AK13" s="33"/>
      <c r="AL13" s="40"/>
      <c r="AM13" s="40"/>
      <c r="AN13" s="40"/>
    </row>
    <row r="14" spans="1:40" x14ac:dyDescent="0.25">
      <c r="A14" s="30" t="s">
        <v>17</v>
      </c>
      <c r="B14" s="31">
        <f>642.76</f>
        <v>642.76</v>
      </c>
      <c r="C14" s="32"/>
      <c r="D14" s="33"/>
      <c r="E14" s="34"/>
      <c r="F14" s="35"/>
      <c r="G14" s="36"/>
      <c r="H14" s="37"/>
      <c r="I14" s="38"/>
      <c r="J14" s="39"/>
      <c r="K14" s="38"/>
      <c r="L14" s="38"/>
      <c r="M14" s="38"/>
      <c r="N14" s="23"/>
      <c r="O14" s="24"/>
      <c r="P14" s="25"/>
      <c r="Q14" s="23"/>
      <c r="R14" s="24"/>
      <c r="S14" s="25"/>
      <c r="T14" s="23"/>
      <c r="U14" s="24"/>
      <c r="V14" s="25"/>
      <c r="W14" s="26"/>
      <c r="X14" s="27"/>
      <c r="Y14" s="28"/>
      <c r="Z14" s="26"/>
      <c r="AA14" s="27"/>
      <c r="AB14" s="28"/>
      <c r="AC14" s="23"/>
      <c r="AD14" s="24"/>
      <c r="AE14" s="25"/>
      <c r="AF14" s="23"/>
      <c r="AG14" s="24"/>
      <c r="AH14" s="25"/>
      <c r="AI14" s="31"/>
      <c r="AJ14" s="32"/>
      <c r="AK14" s="33"/>
      <c r="AL14" s="41"/>
      <c r="AM14" s="41"/>
      <c r="AN14" s="41"/>
    </row>
    <row r="15" spans="1:40" x14ac:dyDescent="0.25">
      <c r="A15" s="30" t="s">
        <v>18</v>
      </c>
      <c r="B15" s="31">
        <f>-4892.73</f>
        <v>-4892.7299999999996</v>
      </c>
      <c r="C15" s="32"/>
      <c r="D15" s="33"/>
      <c r="E15" s="34"/>
      <c r="F15" s="35"/>
      <c r="G15" s="36"/>
      <c r="H15" s="37"/>
      <c r="I15" s="38"/>
      <c r="J15" s="39"/>
      <c r="K15" s="42"/>
      <c r="L15" s="43"/>
      <c r="M15" s="44"/>
      <c r="N15" s="23"/>
      <c r="O15" s="24"/>
      <c r="P15" s="25"/>
      <c r="Q15" s="23" t="s">
        <v>19</v>
      </c>
      <c r="R15" s="24"/>
      <c r="S15" s="25"/>
      <c r="T15" s="23"/>
      <c r="U15" s="24"/>
      <c r="V15" s="25"/>
      <c r="W15" s="26"/>
      <c r="X15" s="27"/>
      <c r="Y15" s="28"/>
      <c r="Z15" s="26"/>
      <c r="AA15" s="27"/>
      <c r="AB15" s="28"/>
      <c r="AC15" s="23"/>
      <c r="AD15" s="24"/>
      <c r="AE15" s="25"/>
      <c r="AF15" s="23"/>
      <c r="AG15" s="24"/>
      <c r="AH15" s="25"/>
      <c r="AI15" s="31"/>
      <c r="AJ15" s="32"/>
      <c r="AK15" s="33"/>
      <c r="AL15" s="41"/>
      <c r="AM15" s="41"/>
      <c r="AN15" s="41"/>
    </row>
    <row r="16" spans="1:40" x14ac:dyDescent="0.25">
      <c r="A16" s="45" t="s">
        <v>20</v>
      </c>
      <c r="B16" s="46">
        <f>4186449.06</f>
        <v>4186449.06</v>
      </c>
      <c r="C16" s="47"/>
      <c r="D16" s="48"/>
      <c r="E16" s="49"/>
      <c r="F16" s="50"/>
      <c r="G16" s="51"/>
      <c r="H16" s="52"/>
      <c r="I16" s="53"/>
      <c r="J16" s="54"/>
      <c r="K16" s="53"/>
      <c r="L16" s="53"/>
      <c r="M16" s="53"/>
      <c r="N16" s="55"/>
      <c r="O16" s="56"/>
      <c r="P16" s="57"/>
      <c r="Q16" s="49"/>
      <c r="R16" s="50"/>
      <c r="S16" s="51"/>
      <c r="T16" s="49"/>
      <c r="U16" s="50"/>
      <c r="V16" s="51"/>
      <c r="W16" s="55"/>
      <c r="X16" s="56"/>
      <c r="Y16" s="57"/>
      <c r="Z16" s="55"/>
      <c r="AA16" s="56"/>
      <c r="AB16" s="57"/>
      <c r="AC16" s="58"/>
      <c r="AD16" s="58"/>
      <c r="AE16" s="58"/>
      <c r="AF16" s="58"/>
      <c r="AG16" s="58"/>
      <c r="AH16" s="58"/>
      <c r="AI16" s="46">
        <f>AK27</f>
        <v>792239.85000000009</v>
      </c>
      <c r="AJ16" s="47"/>
      <c r="AK16" s="48"/>
      <c r="AL16" s="59">
        <f>AN27</f>
        <v>4978688.91</v>
      </c>
      <c r="AM16" s="59"/>
      <c r="AN16" s="59"/>
    </row>
    <row r="17" spans="1:40" x14ac:dyDescent="0.25">
      <c r="A17" s="60" t="s">
        <v>21</v>
      </c>
      <c r="B17" s="61">
        <f>2036201.14</f>
        <v>2036201.14</v>
      </c>
      <c r="C17" s="62"/>
      <c r="D17" s="63"/>
      <c r="E17" s="64"/>
      <c r="F17" s="65"/>
      <c r="G17" s="66"/>
      <c r="H17" s="67"/>
      <c r="I17" s="68"/>
      <c r="J17" s="69"/>
      <c r="K17" s="68"/>
      <c r="L17" s="68"/>
      <c r="M17" s="68"/>
      <c r="N17" s="70"/>
      <c r="O17" s="71"/>
      <c r="P17" s="72"/>
      <c r="Q17" s="64"/>
      <c r="R17" s="65"/>
      <c r="S17" s="66"/>
      <c r="T17" s="64"/>
      <c r="U17" s="65"/>
      <c r="V17" s="66"/>
      <c r="W17" s="70"/>
      <c r="X17" s="71"/>
      <c r="Y17" s="72"/>
      <c r="Z17" s="70"/>
      <c r="AA17" s="71"/>
      <c r="AB17" s="72"/>
      <c r="AC17" s="73"/>
      <c r="AD17" s="73"/>
      <c r="AE17" s="73"/>
      <c r="AF17" s="73"/>
      <c r="AG17" s="73"/>
      <c r="AH17" s="73"/>
      <c r="AI17" s="61">
        <f>AI103</f>
        <v>601966.29</v>
      </c>
      <c r="AJ17" s="62"/>
      <c r="AK17" s="63"/>
      <c r="AL17" s="74">
        <f>AM103</f>
        <v>2638167.4299999997</v>
      </c>
      <c r="AM17" s="74"/>
      <c r="AN17" s="74"/>
    </row>
    <row r="18" spans="1:40" x14ac:dyDescent="0.25">
      <c r="A18" s="45" t="s">
        <v>22</v>
      </c>
      <c r="B18" s="75">
        <f>B16-B17+B12</f>
        <v>2159833.9499999997</v>
      </c>
      <c r="C18" s="76"/>
      <c r="D18" s="77"/>
      <c r="E18" s="78"/>
      <c r="F18" s="79"/>
      <c r="G18" s="80"/>
      <c r="H18" s="81"/>
      <c r="I18" s="82"/>
      <c r="J18" s="83"/>
      <c r="K18" s="82"/>
      <c r="L18" s="82"/>
      <c r="M18" s="82"/>
      <c r="N18" s="84"/>
      <c r="O18" s="85"/>
      <c r="P18" s="86"/>
      <c r="Q18" s="78"/>
      <c r="R18" s="79"/>
      <c r="S18" s="80"/>
      <c r="T18" s="78"/>
      <c r="U18" s="79"/>
      <c r="V18" s="80"/>
      <c r="W18" s="84"/>
      <c r="X18" s="85"/>
      <c r="Y18" s="86"/>
      <c r="Z18" s="84"/>
      <c r="AA18" s="85"/>
      <c r="AB18" s="86"/>
      <c r="AC18" s="87"/>
      <c r="AD18" s="87"/>
      <c r="AE18" s="87"/>
      <c r="AF18" s="87"/>
      <c r="AG18" s="87"/>
      <c r="AH18" s="87"/>
      <c r="AI18" s="75">
        <f>AI16-AI17</f>
        <v>190273.56000000006</v>
      </c>
      <c r="AJ18" s="76"/>
      <c r="AK18" s="77"/>
      <c r="AL18" s="88">
        <f>AL16-AL17+AL12</f>
        <v>2350107.5100000002</v>
      </c>
      <c r="AM18" s="88"/>
      <c r="AN18" s="88"/>
    </row>
    <row r="19" spans="1:40" x14ac:dyDescent="0.2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</row>
    <row r="20" spans="1:40" x14ac:dyDescent="0.25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</row>
    <row r="21" spans="1:40" x14ac:dyDescent="0.25">
      <c r="A21" s="91" t="s">
        <v>23</v>
      </c>
      <c r="B21" s="8" t="s">
        <v>2</v>
      </c>
      <c r="C21" s="8"/>
      <c r="D21" s="8"/>
      <c r="E21" s="9" t="s">
        <v>3</v>
      </c>
      <c r="F21" s="10"/>
      <c r="G21" s="11"/>
      <c r="H21" s="9" t="s">
        <v>4</v>
      </c>
      <c r="I21" s="10"/>
      <c r="J21" s="11"/>
      <c r="K21" s="9" t="s">
        <v>5</v>
      </c>
      <c r="L21" s="10"/>
      <c r="M21" s="11"/>
      <c r="N21" s="9" t="s">
        <v>6</v>
      </c>
      <c r="O21" s="10"/>
      <c r="P21" s="11"/>
      <c r="Q21" s="9" t="s">
        <v>7</v>
      </c>
      <c r="R21" s="10"/>
      <c r="S21" s="11"/>
      <c r="T21" s="9" t="s">
        <v>8</v>
      </c>
      <c r="U21" s="10"/>
      <c r="V21" s="11"/>
      <c r="W21" s="9" t="s">
        <v>9</v>
      </c>
      <c r="X21" s="10"/>
      <c r="Y21" s="11"/>
      <c r="Z21" s="9" t="s">
        <v>10</v>
      </c>
      <c r="AA21" s="10"/>
      <c r="AB21" s="11"/>
      <c r="AC21" s="9" t="s">
        <v>11</v>
      </c>
      <c r="AD21" s="10"/>
      <c r="AE21" s="11"/>
      <c r="AF21" s="9" t="s">
        <v>12</v>
      </c>
      <c r="AG21" s="10"/>
      <c r="AH21" s="11"/>
      <c r="AI21" s="9" t="s">
        <v>13</v>
      </c>
      <c r="AJ21" s="10"/>
      <c r="AK21" s="11"/>
      <c r="AL21" s="92" t="s">
        <v>24</v>
      </c>
      <c r="AM21" s="12" t="s">
        <v>14</v>
      </c>
      <c r="AN21" s="12"/>
    </row>
    <row r="22" spans="1:40" x14ac:dyDescent="0.25">
      <c r="A22" s="93"/>
      <c r="B22" s="94" t="s">
        <v>25</v>
      </c>
      <c r="C22" s="95"/>
      <c r="D22" s="96" t="s">
        <v>26</v>
      </c>
      <c r="E22" s="96" t="s">
        <v>27</v>
      </c>
      <c r="F22" s="96" t="s">
        <v>28</v>
      </c>
      <c r="G22" s="96" t="s">
        <v>26</v>
      </c>
      <c r="H22" s="96" t="s">
        <v>27</v>
      </c>
      <c r="I22" s="96" t="s">
        <v>28</v>
      </c>
      <c r="J22" s="96"/>
      <c r="K22" s="96" t="s">
        <v>27</v>
      </c>
      <c r="L22" s="96" t="s">
        <v>28</v>
      </c>
      <c r="M22" s="96"/>
      <c r="N22" s="96" t="s">
        <v>27</v>
      </c>
      <c r="O22" s="96" t="s">
        <v>28</v>
      </c>
      <c r="P22" s="96"/>
      <c r="Q22" s="96" t="s">
        <v>27</v>
      </c>
      <c r="R22" s="96" t="s">
        <v>28</v>
      </c>
      <c r="S22" s="96"/>
      <c r="T22" s="96" t="s">
        <v>27</v>
      </c>
      <c r="U22" s="96" t="s">
        <v>28</v>
      </c>
      <c r="V22" s="96"/>
      <c r="W22" s="96" t="s">
        <v>27</v>
      </c>
      <c r="X22" s="96" t="s">
        <v>28</v>
      </c>
      <c r="Y22" s="96"/>
      <c r="Z22" s="96" t="s">
        <v>27</v>
      </c>
      <c r="AA22" s="96" t="s">
        <v>28</v>
      </c>
      <c r="AB22" s="96"/>
      <c r="AC22" s="96" t="s">
        <v>27</v>
      </c>
      <c r="AD22" s="96" t="s">
        <v>28</v>
      </c>
      <c r="AE22" s="96"/>
      <c r="AF22" s="96" t="s">
        <v>27</v>
      </c>
      <c r="AG22" s="96" t="s">
        <v>28</v>
      </c>
      <c r="AH22" s="96"/>
      <c r="AI22" s="96" t="s">
        <v>27</v>
      </c>
      <c r="AJ22" s="96" t="s">
        <v>28</v>
      </c>
      <c r="AK22" s="96" t="s">
        <v>26</v>
      </c>
      <c r="AL22" s="92"/>
      <c r="AM22" s="97" t="s">
        <v>25</v>
      </c>
      <c r="AN22" s="97" t="s">
        <v>26</v>
      </c>
    </row>
    <row r="23" spans="1:40" x14ac:dyDescent="0.25">
      <c r="A23" s="98" t="s">
        <v>29</v>
      </c>
      <c r="B23" s="99">
        <v>158</v>
      </c>
      <c r="C23" s="100"/>
      <c r="D23" s="101">
        <f>17760.02+186880+2455.53+1205.11</f>
        <v>208300.65999999997</v>
      </c>
      <c r="E23" s="102"/>
      <c r="F23" s="102"/>
      <c r="G23" s="101"/>
      <c r="H23" s="102"/>
      <c r="I23" s="103"/>
      <c r="J23" s="101"/>
      <c r="K23" s="102"/>
      <c r="L23" s="103"/>
      <c r="M23" s="101"/>
      <c r="N23" s="102"/>
      <c r="O23" s="102"/>
      <c r="P23" s="101"/>
      <c r="Q23" s="102"/>
      <c r="R23" s="103"/>
      <c r="S23" s="101"/>
      <c r="T23" s="102"/>
      <c r="U23" s="103"/>
      <c r="V23" s="101"/>
      <c r="W23" s="102"/>
      <c r="X23" s="102"/>
      <c r="Y23" s="101"/>
      <c r="Z23" s="102"/>
      <c r="AA23" s="102"/>
      <c r="AB23" s="101"/>
      <c r="AC23" s="102"/>
      <c r="AD23" s="103"/>
      <c r="AE23" s="101"/>
      <c r="AF23" s="102"/>
      <c r="AG23" s="103"/>
      <c r="AH23" s="101"/>
      <c r="AI23" s="102"/>
      <c r="AJ23" s="103"/>
      <c r="AK23" s="104"/>
      <c r="AL23" s="105"/>
      <c r="AM23" s="106">
        <v>158</v>
      </c>
      <c r="AN23" s="107">
        <f>208300.66</f>
        <v>208300.66</v>
      </c>
    </row>
    <row r="24" spans="1:40" x14ac:dyDescent="0.25">
      <c r="A24" s="30" t="s">
        <v>30</v>
      </c>
      <c r="B24" s="99">
        <v>5872</v>
      </c>
      <c r="C24" s="100"/>
      <c r="D24" s="101">
        <f>3713342.03</f>
        <v>3713342.03</v>
      </c>
      <c r="E24" s="102">
        <f>-10</f>
        <v>-10</v>
      </c>
      <c r="F24" s="102">
        <v>9</v>
      </c>
      <c r="G24" s="108">
        <f>40+40+120+20+115920+40+127.33</f>
        <v>116307.33</v>
      </c>
      <c r="H24" s="102">
        <v>-8</v>
      </c>
      <c r="I24" s="103">
        <v>20</v>
      </c>
      <c r="J24" s="108">
        <f>20+60+80+80+80+80+180+114720+280</f>
        <v>115580</v>
      </c>
      <c r="K24" s="102">
        <v>-7</v>
      </c>
      <c r="L24" s="103">
        <v>17</v>
      </c>
      <c r="M24" s="108">
        <f>80+40+80+40+80+360+80+80+60+80+80+40+80+40+1700+20+80+80+80+80+80+80+80+80</f>
        <v>3580</v>
      </c>
      <c r="N24" s="102">
        <v>-16</v>
      </c>
      <c r="O24" s="102">
        <v>9</v>
      </c>
      <c r="P24" s="108">
        <f>520+120+400+80+20+30+80+20+116620+100+60+160</f>
        <v>118210</v>
      </c>
      <c r="Q24" s="102">
        <v>-16</v>
      </c>
      <c r="R24" s="103">
        <v>13</v>
      </c>
      <c r="S24" s="108">
        <f>100+140+100+100+80+160+80+80+20+60+40+100+140+40+220+620</f>
        <v>2080</v>
      </c>
      <c r="T24" s="102">
        <v>-21</v>
      </c>
      <c r="U24" s="103">
        <v>132</v>
      </c>
      <c r="V24" s="108">
        <f>20+80+20+20+100+115940+40+280+40+40</f>
        <v>116580</v>
      </c>
      <c r="W24" s="102">
        <v>-22</v>
      </c>
      <c r="X24" s="102">
        <v>347</v>
      </c>
      <c r="Y24" s="108">
        <f>240+140+120+80+65+90+20+280</f>
        <v>1035</v>
      </c>
      <c r="Z24" s="102">
        <v>-29</v>
      </c>
      <c r="AA24" s="102">
        <v>721</v>
      </c>
      <c r="AB24" s="108">
        <f>160+65+120+80+20+60+120+80+40+80+20+120+120+140+125200+20</f>
        <v>126445</v>
      </c>
      <c r="AC24" s="102">
        <v>-14</v>
      </c>
      <c r="AD24" s="109">
        <v>175</v>
      </c>
      <c r="AE24" s="108">
        <f>180+140+60+20+20+4680+1480</f>
        <v>6580</v>
      </c>
      <c r="AF24" s="102">
        <v>-13</v>
      </c>
      <c r="AG24" s="109">
        <v>60</v>
      </c>
      <c r="AH24" s="108">
        <f>20+4305+60+160+100+60+136+160+20+40+900+137200</f>
        <v>143161</v>
      </c>
      <c r="AI24" s="102">
        <f>-10-8-7-16-16-21-22-29-14-13</f>
        <v>-156</v>
      </c>
      <c r="AJ24" s="109">
        <f>9+20+17+9+13+132+347+721+175+60</f>
        <v>1503</v>
      </c>
      <c r="AK24" s="104">
        <f>0+G24+J24+M24+P24+S24+V24+Y24+AB24+AE24+AH24</f>
        <v>749558.33000000007</v>
      </c>
      <c r="AL24" s="110">
        <f>AK24/AK27</f>
        <v>0.94612550731953204</v>
      </c>
      <c r="AM24" s="111">
        <f>5872+AI24+AJ24</f>
        <v>7219</v>
      </c>
      <c r="AN24" s="112">
        <f>3713342.03+AK24</f>
        <v>4462900.3599999994</v>
      </c>
    </row>
    <row r="25" spans="1:40" x14ac:dyDescent="0.25">
      <c r="A25" s="113" t="s">
        <v>31</v>
      </c>
      <c r="B25" s="99"/>
      <c r="C25" s="100"/>
      <c r="D25" s="101">
        <f>263771.64</f>
        <v>263771.64</v>
      </c>
      <c r="E25" s="102"/>
      <c r="F25" s="102"/>
      <c r="G25" s="108">
        <f>3456.99+2528.85+1258.22+447.4</f>
        <v>7691.46</v>
      </c>
      <c r="H25" s="102"/>
      <c r="I25" s="103"/>
      <c r="J25" s="108">
        <f>2097.79+989.67+2306.35</f>
        <v>5393.8099999999995</v>
      </c>
      <c r="K25" s="102"/>
      <c r="L25" s="103"/>
      <c r="M25" s="108">
        <f>2670.71+1353.08+748.68</f>
        <v>4772.47</v>
      </c>
      <c r="N25" s="102"/>
      <c r="O25" s="102"/>
      <c r="P25" s="108">
        <f>994.9+25.38+2243.52</f>
        <v>3263.8</v>
      </c>
      <c r="Q25" s="102"/>
      <c r="R25" s="103"/>
      <c r="S25" s="108">
        <f>766.4+2494.19+209.71+1884.67</f>
        <v>5354.97</v>
      </c>
      <c r="T25" s="102"/>
      <c r="U25" s="103"/>
      <c r="V25" s="108">
        <f>573.82+1968.57+184.59+1703.34</f>
        <v>4430.32</v>
      </c>
      <c r="W25" s="102"/>
      <c r="X25" s="102"/>
      <c r="Y25" s="108">
        <f>397.83+2362.86+161.21+2538.73</f>
        <v>5460.63</v>
      </c>
      <c r="Z25" s="102"/>
      <c r="AA25" s="102"/>
      <c r="AB25" s="108">
        <f>282.95+1202.2+129.87+1317.95</f>
        <v>2932.9700000000003</v>
      </c>
      <c r="AC25" s="102"/>
      <c r="AD25" s="103"/>
      <c r="AE25" s="108">
        <f>94.92-256.33-73.63+1288</f>
        <v>1052.96</v>
      </c>
      <c r="AF25" s="102"/>
      <c r="AG25" s="103"/>
      <c r="AH25" s="108">
        <f>23.74+111.2+903.26+1289.93</f>
        <v>2328.13</v>
      </c>
      <c r="AI25" s="102"/>
      <c r="AJ25" s="103"/>
      <c r="AK25" s="104">
        <f>0+G25+J25+M25+P25+S25+V25+Y25+AB25+AE25+AH25</f>
        <v>42681.52</v>
      </c>
      <c r="AL25" s="110">
        <f>AK25/AK27</f>
        <v>5.3874492680467907E-2</v>
      </c>
      <c r="AM25" s="103"/>
      <c r="AN25" s="112">
        <f>263771.64+AK25</f>
        <v>306453.16000000003</v>
      </c>
    </row>
    <row r="26" spans="1:40" x14ac:dyDescent="0.25">
      <c r="A26" s="103" t="s">
        <v>32</v>
      </c>
      <c r="B26" s="99"/>
      <c r="C26" s="100"/>
      <c r="D26" s="101">
        <f>1034.73</f>
        <v>1034.73</v>
      </c>
      <c r="E26" s="102"/>
      <c r="F26" s="102"/>
      <c r="G26" s="101"/>
      <c r="H26" s="102"/>
      <c r="I26" s="103"/>
      <c r="J26" s="101"/>
      <c r="K26" s="102"/>
      <c r="L26" s="103"/>
      <c r="M26" s="101"/>
      <c r="N26" s="102"/>
      <c r="O26" s="102"/>
      <c r="P26" s="101"/>
      <c r="Q26" s="102"/>
      <c r="R26" s="103"/>
      <c r="S26" s="101"/>
      <c r="T26" s="102"/>
      <c r="U26" s="103"/>
      <c r="V26" s="101"/>
      <c r="W26" s="102"/>
      <c r="X26" s="102"/>
      <c r="Y26" s="101"/>
      <c r="Z26" s="102"/>
      <c r="AA26" s="102"/>
      <c r="AB26" s="101"/>
      <c r="AC26" s="102"/>
      <c r="AD26" s="103"/>
      <c r="AE26" s="101"/>
      <c r="AF26" s="102"/>
      <c r="AG26" s="103"/>
      <c r="AH26" s="101"/>
      <c r="AI26" s="102"/>
      <c r="AJ26" s="103"/>
      <c r="AK26" s="104">
        <f>0+G26</f>
        <v>0</v>
      </c>
      <c r="AL26" s="105">
        <f>AK26/AK27</f>
        <v>0</v>
      </c>
      <c r="AM26" s="114"/>
      <c r="AN26" s="107">
        <f>1034.73+AK26</f>
        <v>1034.73</v>
      </c>
    </row>
    <row r="27" spans="1:40" x14ac:dyDescent="0.25">
      <c r="A27" s="115" t="s">
        <v>33</v>
      </c>
      <c r="B27" s="116">
        <f>SUM(B23:C26)</f>
        <v>6030</v>
      </c>
      <c r="C27" s="117"/>
      <c r="D27" s="118">
        <f>SUM(D23:D26)</f>
        <v>4186449.06</v>
      </c>
      <c r="E27" s="116">
        <f>B27+E24+F24</f>
        <v>6029</v>
      </c>
      <c r="F27" s="117"/>
      <c r="G27" s="118">
        <f>SUM(G23:G26)</f>
        <v>123998.79000000001</v>
      </c>
      <c r="H27" s="119">
        <f>E27+H24+I24</f>
        <v>6041</v>
      </c>
      <c r="I27" s="119"/>
      <c r="J27" s="118">
        <f>SUM(J24:J26)</f>
        <v>120973.81</v>
      </c>
      <c r="K27" s="119">
        <f>H27+K24+L24</f>
        <v>6051</v>
      </c>
      <c r="L27" s="119"/>
      <c r="M27" s="118">
        <f>SUM(M24:M26)</f>
        <v>8352.4700000000012</v>
      </c>
      <c r="N27" s="120">
        <f>K27+N24+O24</f>
        <v>6044</v>
      </c>
      <c r="O27" s="121"/>
      <c r="P27" s="118">
        <f>SUM(P24:P26)</f>
        <v>121473.8</v>
      </c>
      <c r="Q27" s="120">
        <f>N27+Q24+R24</f>
        <v>6041</v>
      </c>
      <c r="R27" s="121"/>
      <c r="S27" s="118">
        <f>SUM(S24:S26)</f>
        <v>7434.97</v>
      </c>
      <c r="T27" s="120">
        <f>Q27+T24+U24</f>
        <v>6152</v>
      </c>
      <c r="U27" s="121"/>
      <c r="V27" s="118">
        <f>SUM(V24:V26)</f>
        <v>121010.32</v>
      </c>
      <c r="W27" s="120">
        <f>T27+W24+X24</f>
        <v>6477</v>
      </c>
      <c r="X27" s="121"/>
      <c r="Y27" s="118">
        <f>SUM(Y24:Y26)</f>
        <v>6495.63</v>
      </c>
      <c r="Z27" s="120">
        <f>W27+Z24+AA24</f>
        <v>7169</v>
      </c>
      <c r="AA27" s="121"/>
      <c r="AB27" s="118">
        <f>SUM(AB23:AB26)</f>
        <v>129377.97</v>
      </c>
      <c r="AC27" s="119">
        <f>Z27+AC24+AD24</f>
        <v>7330</v>
      </c>
      <c r="AD27" s="119"/>
      <c r="AE27" s="118">
        <f>SUM(AE24:AE26)</f>
        <v>7632.96</v>
      </c>
      <c r="AF27" s="116">
        <f>AC27+AF24+AG24</f>
        <v>7377</v>
      </c>
      <c r="AG27" s="117"/>
      <c r="AH27" s="122">
        <f>SUM(AH24:AH26)</f>
        <v>145489.13</v>
      </c>
      <c r="AI27" s="116">
        <f>B27+AI24+AJ24</f>
        <v>7377</v>
      </c>
      <c r="AJ27" s="117"/>
      <c r="AK27" s="118">
        <f>SUM(AK23:AK26)</f>
        <v>792239.85000000009</v>
      </c>
      <c r="AL27" s="123">
        <f>AK27/AK27</f>
        <v>1</v>
      </c>
      <c r="AM27" s="124">
        <f>SUM(AM23:AM26)</f>
        <v>7377</v>
      </c>
      <c r="AN27" s="125">
        <f>SUM(AN23:AN26)</f>
        <v>4978688.91</v>
      </c>
    </row>
    <row r="28" spans="1:40" x14ac:dyDescent="0.25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</row>
    <row r="29" spans="1:40" x14ac:dyDescent="0.25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</row>
    <row r="30" spans="1:40" ht="15.75" x14ac:dyDescent="0.25">
      <c r="A30" s="5" t="s">
        <v>34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x14ac:dyDescent="0.2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</row>
    <row r="32" spans="1:40" x14ac:dyDescent="0.25">
      <c r="A32" s="128" t="s">
        <v>21</v>
      </c>
      <c r="B32" s="8" t="s">
        <v>2</v>
      </c>
      <c r="C32" s="8"/>
      <c r="D32" s="8"/>
      <c r="E32" s="129" t="s">
        <v>3</v>
      </c>
      <c r="F32" s="130"/>
      <c r="G32" s="130"/>
      <c r="H32" s="129" t="s">
        <v>4</v>
      </c>
      <c r="I32" s="130"/>
      <c r="J32" s="131"/>
      <c r="K32" s="129" t="s">
        <v>5</v>
      </c>
      <c r="L32" s="130"/>
      <c r="M32" s="131"/>
      <c r="N32" s="129" t="s">
        <v>6</v>
      </c>
      <c r="O32" s="130"/>
      <c r="P32" s="131"/>
      <c r="Q32" s="9" t="s">
        <v>7</v>
      </c>
      <c r="R32" s="10"/>
      <c r="S32" s="11"/>
      <c r="T32" s="9" t="s">
        <v>8</v>
      </c>
      <c r="U32" s="10"/>
      <c r="V32" s="11"/>
      <c r="W32" s="9" t="s">
        <v>9</v>
      </c>
      <c r="X32" s="10"/>
      <c r="Y32" s="11"/>
      <c r="Z32" s="9" t="s">
        <v>10</v>
      </c>
      <c r="AA32" s="10"/>
      <c r="AB32" s="11"/>
      <c r="AC32" s="9" t="s">
        <v>11</v>
      </c>
      <c r="AD32" s="10"/>
      <c r="AE32" s="11"/>
      <c r="AF32" s="9" t="s">
        <v>12</v>
      </c>
      <c r="AG32" s="10"/>
      <c r="AH32" s="11"/>
      <c r="AI32" s="9" t="s">
        <v>13</v>
      </c>
      <c r="AJ32" s="10"/>
      <c r="AK32" s="11"/>
      <c r="AL32" s="132" t="s">
        <v>24</v>
      </c>
      <c r="AM32" s="12" t="s">
        <v>14</v>
      </c>
      <c r="AN32" s="12"/>
    </row>
    <row r="33" spans="1:40" x14ac:dyDescent="0.25">
      <c r="A33" s="133" t="s">
        <v>35</v>
      </c>
      <c r="B33" s="134">
        <f>SUM(B34:D41)</f>
        <v>291683.03000000003</v>
      </c>
      <c r="C33" s="134"/>
      <c r="D33" s="134"/>
      <c r="E33" s="135">
        <f>SUM(E34:G41)</f>
        <v>16540.830000000002</v>
      </c>
      <c r="F33" s="136"/>
      <c r="G33" s="137"/>
      <c r="H33" s="135">
        <f>SUM(H34:J41)</f>
        <v>9994.66</v>
      </c>
      <c r="I33" s="136"/>
      <c r="J33" s="137"/>
      <c r="K33" s="135">
        <f>SUM(K34:M41)</f>
        <v>22394.66</v>
      </c>
      <c r="L33" s="136"/>
      <c r="M33" s="137"/>
      <c r="N33" s="135">
        <f>SUM(N34:P41)</f>
        <v>20217.91</v>
      </c>
      <c r="O33" s="136"/>
      <c r="P33" s="137"/>
      <c r="Q33" s="135">
        <f>SUM(Q34:S41)</f>
        <v>11771.41</v>
      </c>
      <c r="R33" s="136"/>
      <c r="S33" s="137"/>
      <c r="T33" s="135">
        <f>SUM(T34:V41)</f>
        <v>15994.66</v>
      </c>
      <c r="U33" s="136"/>
      <c r="V33" s="137"/>
      <c r="W33" s="135">
        <f>SUM(W34:Y41)</f>
        <v>16187.58</v>
      </c>
      <c r="X33" s="136"/>
      <c r="Y33" s="137"/>
      <c r="Z33" s="135">
        <f>SUM(Z34:AB41)</f>
        <v>15994.66</v>
      </c>
      <c r="AA33" s="136"/>
      <c r="AB33" s="137"/>
      <c r="AC33" s="135">
        <f>SUM(AC34:AE41)</f>
        <v>16457.16</v>
      </c>
      <c r="AD33" s="136"/>
      <c r="AE33" s="137"/>
      <c r="AF33" s="135">
        <f>SUM(AF34:AH41)</f>
        <v>16457.16</v>
      </c>
      <c r="AG33" s="136"/>
      <c r="AH33" s="137"/>
      <c r="AI33" s="138">
        <f>SUM(AI34:AK41)</f>
        <v>162010.69</v>
      </c>
      <c r="AJ33" s="139"/>
      <c r="AK33" s="140"/>
      <c r="AL33" s="141">
        <f>AI33/AI103</f>
        <v>0.269135818219987</v>
      </c>
      <c r="AM33" s="142">
        <f>SUM(AM34:AN41)</f>
        <v>453693.72000000003</v>
      </c>
      <c r="AN33" s="142"/>
    </row>
    <row r="34" spans="1:40" x14ac:dyDescent="0.25">
      <c r="A34" s="143" t="s">
        <v>36</v>
      </c>
      <c r="B34" s="144">
        <f>72200.64</f>
        <v>72200.639999999999</v>
      </c>
      <c r="C34" s="144"/>
      <c r="D34" s="144"/>
      <c r="E34" s="23">
        <v>0</v>
      </c>
      <c r="F34" s="24"/>
      <c r="G34" s="25"/>
      <c r="H34" s="23">
        <v>0</v>
      </c>
      <c r="I34" s="24"/>
      <c r="J34" s="25"/>
      <c r="K34" s="23">
        <v>0</v>
      </c>
      <c r="L34" s="24"/>
      <c r="M34" s="25"/>
      <c r="N34" s="23">
        <v>0</v>
      </c>
      <c r="O34" s="24"/>
      <c r="P34" s="25"/>
      <c r="Q34" s="23">
        <v>0</v>
      </c>
      <c r="R34" s="24"/>
      <c r="S34" s="25"/>
      <c r="T34" s="23">
        <v>0</v>
      </c>
      <c r="U34" s="24"/>
      <c r="V34" s="25"/>
      <c r="W34" s="23">
        <v>0</v>
      </c>
      <c r="X34" s="24"/>
      <c r="Y34" s="25"/>
      <c r="Z34" s="23">
        <v>0</v>
      </c>
      <c r="AA34" s="24"/>
      <c r="AB34" s="25"/>
      <c r="AC34" s="23">
        <v>0</v>
      </c>
      <c r="AD34" s="24"/>
      <c r="AE34" s="25"/>
      <c r="AF34" s="23">
        <v>0</v>
      </c>
      <c r="AG34" s="24"/>
      <c r="AH34" s="25"/>
      <c r="AI34" s="31">
        <f>0+E34+H34+K34+N34+Q34+T34+W34+Z34+AC34+AF34</f>
        <v>0</v>
      </c>
      <c r="AJ34" s="32"/>
      <c r="AK34" s="33"/>
      <c r="AL34" s="145">
        <f>AI34/AI103</f>
        <v>0</v>
      </c>
      <c r="AM34" s="146">
        <f>72200.64+AI34</f>
        <v>72200.639999999999</v>
      </c>
      <c r="AN34" s="146"/>
    </row>
    <row r="35" spans="1:40" x14ac:dyDescent="0.25">
      <c r="A35" s="147" t="s">
        <v>37</v>
      </c>
      <c r="B35" s="144">
        <v>36000</v>
      </c>
      <c r="C35" s="144"/>
      <c r="D35" s="144"/>
      <c r="E35" s="148">
        <f>6000</f>
        <v>6000</v>
      </c>
      <c r="F35" s="149"/>
      <c r="G35" s="150"/>
      <c r="H35" s="23">
        <v>0</v>
      </c>
      <c r="I35" s="24"/>
      <c r="J35" s="25"/>
      <c r="K35" s="23">
        <f>6000+6000</f>
        <v>12000</v>
      </c>
      <c r="L35" s="24"/>
      <c r="M35" s="25"/>
      <c r="N35" s="23">
        <f>6000</f>
        <v>6000</v>
      </c>
      <c r="O35" s="24"/>
      <c r="P35" s="25"/>
      <c r="Q35" s="23">
        <f>6000</f>
        <v>6000</v>
      </c>
      <c r="R35" s="24"/>
      <c r="S35" s="25"/>
      <c r="T35" s="23">
        <f>6000</f>
        <v>6000</v>
      </c>
      <c r="U35" s="24"/>
      <c r="V35" s="25"/>
      <c r="W35" s="23">
        <f>6000</f>
        <v>6000</v>
      </c>
      <c r="X35" s="24"/>
      <c r="Y35" s="25"/>
      <c r="Z35" s="23">
        <f>6000</f>
        <v>6000</v>
      </c>
      <c r="AA35" s="24"/>
      <c r="AB35" s="25"/>
      <c r="AC35" s="23">
        <f>6000</f>
        <v>6000</v>
      </c>
      <c r="AD35" s="24"/>
      <c r="AE35" s="25"/>
      <c r="AF35" s="23">
        <f>6000</f>
        <v>6000</v>
      </c>
      <c r="AG35" s="24"/>
      <c r="AH35" s="25"/>
      <c r="AI35" s="31">
        <f t="shared" ref="AI35:AI41" si="0">0+E35+H35+K35+N35+Q35+T35+W35+Z35+AC35+AF35</f>
        <v>60000</v>
      </c>
      <c r="AJ35" s="32"/>
      <c r="AK35" s="33"/>
      <c r="AL35" s="145">
        <f>AI35/AI103</f>
        <v>9.9673355463143945E-2</v>
      </c>
      <c r="AM35" s="146">
        <f>36000+AI35</f>
        <v>96000</v>
      </c>
      <c r="AN35" s="146"/>
    </row>
    <row r="36" spans="1:40" x14ac:dyDescent="0.25">
      <c r="A36" s="143" t="s">
        <v>38</v>
      </c>
      <c r="B36" s="144">
        <v>41057.96</v>
      </c>
      <c r="C36" s="144"/>
      <c r="D36" s="144"/>
      <c r="E36" s="23">
        <f>1260</f>
        <v>1260</v>
      </c>
      <c r="F36" s="24"/>
      <c r="G36" s="25"/>
      <c r="H36" s="23">
        <f>925</f>
        <v>925</v>
      </c>
      <c r="I36" s="24"/>
      <c r="J36" s="25"/>
      <c r="K36" s="23">
        <f>1325</f>
        <v>1325</v>
      </c>
      <c r="L36" s="24"/>
      <c r="M36" s="25"/>
      <c r="N36" s="23">
        <f>925</f>
        <v>925</v>
      </c>
      <c r="O36" s="24"/>
      <c r="P36" s="25"/>
      <c r="Q36" s="23">
        <f>925</f>
        <v>925</v>
      </c>
      <c r="R36" s="24"/>
      <c r="S36" s="25"/>
      <c r="T36" s="23">
        <f>925</f>
        <v>925</v>
      </c>
      <c r="U36" s="24"/>
      <c r="V36" s="25"/>
      <c r="W36" s="23">
        <f>1117.92</f>
        <v>1117.92</v>
      </c>
      <c r="X36" s="24"/>
      <c r="Y36" s="25"/>
      <c r="Z36" s="23">
        <f>925</f>
        <v>925</v>
      </c>
      <c r="AA36" s="24"/>
      <c r="AB36" s="25"/>
      <c r="AC36" s="23">
        <f>1387.5</f>
        <v>1387.5</v>
      </c>
      <c r="AD36" s="24"/>
      <c r="AE36" s="25"/>
      <c r="AF36" s="23">
        <f>1387.5</f>
        <v>1387.5</v>
      </c>
      <c r="AG36" s="24"/>
      <c r="AH36" s="25"/>
      <c r="AI36" s="31">
        <f t="shared" si="0"/>
        <v>11102.92</v>
      </c>
      <c r="AJ36" s="32"/>
      <c r="AK36" s="33"/>
      <c r="AL36" s="145">
        <f>AI36/AI103</f>
        <v>1.8444421530647504E-2</v>
      </c>
      <c r="AM36" s="146">
        <f>41057.96+AI36</f>
        <v>52160.88</v>
      </c>
      <c r="AN36" s="146"/>
    </row>
    <row r="37" spans="1:40" x14ac:dyDescent="0.25">
      <c r="A37" s="143" t="s">
        <v>39</v>
      </c>
      <c r="B37" s="144">
        <v>97597.28</v>
      </c>
      <c r="C37" s="144"/>
      <c r="D37" s="144"/>
      <c r="E37" s="23">
        <v>4846.41</v>
      </c>
      <c r="F37" s="24"/>
      <c r="G37" s="25"/>
      <c r="H37" s="23">
        <f>4846.41</f>
        <v>4846.41</v>
      </c>
      <c r="I37" s="24"/>
      <c r="J37" s="25"/>
      <c r="K37" s="23">
        <f>4846.41</f>
        <v>4846.41</v>
      </c>
      <c r="L37" s="24"/>
      <c r="M37" s="25"/>
      <c r="N37" s="23">
        <f>4846.41</f>
        <v>4846.41</v>
      </c>
      <c r="O37" s="24"/>
      <c r="P37" s="25"/>
      <c r="Q37" s="23">
        <f>4846.41</f>
        <v>4846.41</v>
      </c>
      <c r="R37" s="24"/>
      <c r="S37" s="25"/>
      <c r="T37" s="23">
        <f>4846.41</f>
        <v>4846.41</v>
      </c>
      <c r="U37" s="24"/>
      <c r="V37" s="25"/>
      <c r="W37" s="23">
        <f>4846.41</f>
        <v>4846.41</v>
      </c>
      <c r="X37" s="24"/>
      <c r="Y37" s="25"/>
      <c r="Z37" s="23">
        <f>4846.41</f>
        <v>4846.41</v>
      </c>
      <c r="AA37" s="24"/>
      <c r="AB37" s="25"/>
      <c r="AC37" s="23">
        <f>4846.41</f>
        <v>4846.41</v>
      </c>
      <c r="AD37" s="24"/>
      <c r="AE37" s="25"/>
      <c r="AF37" s="23">
        <f>4846.41</f>
        <v>4846.41</v>
      </c>
      <c r="AG37" s="24"/>
      <c r="AH37" s="25"/>
      <c r="AI37" s="31">
        <f t="shared" si="0"/>
        <v>48464.100000000006</v>
      </c>
      <c r="AJ37" s="32"/>
      <c r="AK37" s="33"/>
      <c r="AL37" s="145">
        <f>AI37/AI103</f>
        <v>8.0509657775022586E-2</v>
      </c>
      <c r="AM37" s="146">
        <f>97597.28+AI37</f>
        <v>146061.38</v>
      </c>
      <c r="AN37" s="146"/>
    </row>
    <row r="38" spans="1:40" x14ac:dyDescent="0.25">
      <c r="A38" s="143" t="s">
        <v>40</v>
      </c>
      <c r="B38" s="144">
        <v>26669.75</v>
      </c>
      <c r="C38" s="144"/>
      <c r="D38" s="144"/>
      <c r="E38" s="23">
        <v>4434.42</v>
      </c>
      <c r="F38" s="24"/>
      <c r="G38" s="25"/>
      <c r="H38" s="23">
        <f>4223.25</f>
        <v>4223.25</v>
      </c>
      <c r="I38" s="24"/>
      <c r="J38" s="25"/>
      <c r="K38" s="23">
        <f>4223.25</f>
        <v>4223.25</v>
      </c>
      <c r="L38" s="24"/>
      <c r="M38" s="25"/>
      <c r="N38" s="23">
        <f>4223.25+4223.25</f>
        <v>8446.5</v>
      </c>
      <c r="O38" s="24"/>
      <c r="P38" s="25"/>
      <c r="Q38" s="23">
        <v>0</v>
      </c>
      <c r="R38" s="24"/>
      <c r="S38" s="25"/>
      <c r="T38" s="23">
        <f>4223.25</f>
        <v>4223.25</v>
      </c>
      <c r="U38" s="24"/>
      <c r="V38" s="25"/>
      <c r="W38" s="23">
        <f>4223.25</f>
        <v>4223.25</v>
      </c>
      <c r="X38" s="24"/>
      <c r="Y38" s="25"/>
      <c r="Z38" s="23">
        <f>4223.25</f>
        <v>4223.25</v>
      </c>
      <c r="AA38" s="24"/>
      <c r="AB38" s="25"/>
      <c r="AC38" s="23">
        <f>4223.25</f>
        <v>4223.25</v>
      </c>
      <c r="AD38" s="24"/>
      <c r="AE38" s="25"/>
      <c r="AF38" s="23">
        <f>4223.25</f>
        <v>4223.25</v>
      </c>
      <c r="AG38" s="24"/>
      <c r="AH38" s="25"/>
      <c r="AI38" s="31">
        <f t="shared" si="0"/>
        <v>42443.67</v>
      </c>
      <c r="AJ38" s="32"/>
      <c r="AK38" s="33"/>
      <c r="AL38" s="145">
        <f>AI38/AI103</f>
        <v>7.0508383451172982E-2</v>
      </c>
      <c r="AM38" s="146">
        <f>26669.75+AI38</f>
        <v>69113.42</v>
      </c>
      <c r="AN38" s="146"/>
    </row>
    <row r="39" spans="1:40" x14ac:dyDescent="0.25">
      <c r="A39" s="143" t="s">
        <v>41</v>
      </c>
      <c r="B39" s="144">
        <f>8289</f>
        <v>8289</v>
      </c>
      <c r="C39" s="144"/>
      <c r="D39" s="144"/>
      <c r="E39" s="23">
        <v>0</v>
      </c>
      <c r="F39" s="24"/>
      <c r="G39" s="25"/>
      <c r="H39" s="23">
        <v>0</v>
      </c>
      <c r="I39" s="24"/>
      <c r="J39" s="25"/>
      <c r="K39" s="23">
        <v>0</v>
      </c>
      <c r="L39" s="24"/>
      <c r="M39" s="25"/>
      <c r="N39" s="23">
        <v>0</v>
      </c>
      <c r="O39" s="24"/>
      <c r="P39" s="25"/>
      <c r="Q39" s="23">
        <v>0</v>
      </c>
      <c r="R39" s="24"/>
      <c r="S39" s="25"/>
      <c r="T39" s="23">
        <v>0</v>
      </c>
      <c r="U39" s="24"/>
      <c r="V39" s="25"/>
      <c r="W39" s="23">
        <v>0</v>
      </c>
      <c r="X39" s="24"/>
      <c r="Y39" s="25"/>
      <c r="Z39" s="23">
        <v>0</v>
      </c>
      <c r="AA39" s="24"/>
      <c r="AB39" s="25"/>
      <c r="AC39" s="23">
        <v>0</v>
      </c>
      <c r="AD39" s="24"/>
      <c r="AE39" s="25"/>
      <c r="AF39" s="23">
        <v>0</v>
      </c>
      <c r="AG39" s="24"/>
      <c r="AH39" s="25"/>
      <c r="AI39" s="31">
        <f t="shared" si="0"/>
        <v>0</v>
      </c>
      <c r="AJ39" s="32"/>
      <c r="AK39" s="33"/>
      <c r="AL39" s="145">
        <f>AI39/AI103</f>
        <v>0</v>
      </c>
      <c r="AM39" s="146">
        <f>8289+AI39</f>
        <v>8289</v>
      </c>
      <c r="AN39" s="146"/>
    </row>
    <row r="40" spans="1:40" x14ac:dyDescent="0.25">
      <c r="A40" s="143" t="s">
        <v>42</v>
      </c>
      <c r="B40" s="144">
        <f>7863.4</f>
        <v>7863.4</v>
      </c>
      <c r="C40" s="144"/>
      <c r="D40" s="144"/>
      <c r="E40" s="23">
        <v>0</v>
      </c>
      <c r="F40" s="24"/>
      <c r="G40" s="25"/>
      <c r="H40" s="23">
        <v>0</v>
      </c>
      <c r="I40" s="24"/>
      <c r="J40" s="25"/>
      <c r="K40" s="23">
        <v>0</v>
      </c>
      <c r="L40" s="24"/>
      <c r="M40" s="25"/>
      <c r="N40" s="23">
        <v>0</v>
      </c>
      <c r="O40" s="24"/>
      <c r="P40" s="25"/>
      <c r="Q40" s="23">
        <v>0</v>
      </c>
      <c r="R40" s="24"/>
      <c r="S40" s="25"/>
      <c r="T40" s="23">
        <v>0</v>
      </c>
      <c r="U40" s="24"/>
      <c r="V40" s="25"/>
      <c r="W40" s="23">
        <v>0</v>
      </c>
      <c r="X40" s="24"/>
      <c r="Y40" s="25"/>
      <c r="Z40" s="23">
        <v>0</v>
      </c>
      <c r="AA40" s="24"/>
      <c r="AB40" s="25"/>
      <c r="AC40" s="23">
        <v>0</v>
      </c>
      <c r="AD40" s="24"/>
      <c r="AE40" s="25"/>
      <c r="AF40" s="23">
        <v>0</v>
      </c>
      <c r="AG40" s="24"/>
      <c r="AH40" s="25"/>
      <c r="AI40" s="31">
        <f t="shared" si="0"/>
        <v>0</v>
      </c>
      <c r="AJ40" s="32"/>
      <c r="AK40" s="33"/>
      <c r="AL40" s="145">
        <f>AI40/AI103</f>
        <v>0</v>
      </c>
      <c r="AM40" s="146">
        <f>7863.4+AI40</f>
        <v>7863.4</v>
      </c>
      <c r="AN40" s="146"/>
    </row>
    <row r="41" spans="1:40" x14ac:dyDescent="0.25">
      <c r="A41" s="143" t="s">
        <v>43</v>
      </c>
      <c r="B41" s="144">
        <f>2005</f>
        <v>2005</v>
      </c>
      <c r="C41" s="144"/>
      <c r="D41" s="144"/>
      <c r="E41" s="23">
        <v>0</v>
      </c>
      <c r="F41" s="24"/>
      <c r="G41" s="25"/>
      <c r="H41" s="23">
        <v>0</v>
      </c>
      <c r="I41" s="24"/>
      <c r="J41" s="25"/>
      <c r="K41" s="23">
        <v>0</v>
      </c>
      <c r="L41" s="24"/>
      <c r="M41" s="25"/>
      <c r="N41" s="23">
        <v>0</v>
      </c>
      <c r="O41" s="24"/>
      <c r="P41" s="25"/>
      <c r="Q41" s="23">
        <v>0</v>
      </c>
      <c r="R41" s="24"/>
      <c r="S41" s="25"/>
      <c r="T41" s="23">
        <v>0</v>
      </c>
      <c r="U41" s="24"/>
      <c r="V41" s="25"/>
      <c r="W41" s="23">
        <v>0</v>
      </c>
      <c r="X41" s="24"/>
      <c r="Y41" s="25"/>
      <c r="Z41" s="23">
        <v>0</v>
      </c>
      <c r="AA41" s="24"/>
      <c r="AB41" s="25"/>
      <c r="AC41" s="23">
        <v>0</v>
      </c>
      <c r="AD41" s="24"/>
      <c r="AE41" s="25"/>
      <c r="AF41" s="23">
        <v>0</v>
      </c>
      <c r="AG41" s="24"/>
      <c r="AH41" s="25"/>
      <c r="AI41" s="31">
        <f t="shared" si="0"/>
        <v>0</v>
      </c>
      <c r="AJ41" s="32"/>
      <c r="AK41" s="33"/>
      <c r="AL41" s="145">
        <f>AI41/AI103</f>
        <v>0</v>
      </c>
      <c r="AM41" s="146">
        <f>2005+AI41</f>
        <v>2005</v>
      </c>
      <c r="AN41" s="146"/>
    </row>
    <row r="42" spans="1:40" x14ac:dyDescent="0.25">
      <c r="A42" s="133" t="s">
        <v>44</v>
      </c>
      <c r="B42" s="134">
        <f>SUM(B43:D45)</f>
        <v>380413.85</v>
      </c>
      <c r="C42" s="134"/>
      <c r="D42" s="134"/>
      <c r="E42" s="134">
        <f>SUM(E43:G45)</f>
        <v>0</v>
      </c>
      <c r="F42" s="134"/>
      <c r="G42" s="134"/>
      <c r="H42" s="134">
        <f>SUM(H43:J45)</f>
        <v>0</v>
      </c>
      <c r="I42" s="134"/>
      <c r="J42" s="134"/>
      <c r="K42" s="134">
        <f>SUM(K43:M45)</f>
        <v>0</v>
      </c>
      <c r="L42" s="134"/>
      <c r="M42" s="134"/>
      <c r="N42" s="134">
        <f>SUM(N43:P45)</f>
        <v>25000</v>
      </c>
      <c r="O42" s="134"/>
      <c r="P42" s="134"/>
      <c r="Q42" s="134">
        <f>SUM(Q43:S45)</f>
        <v>25000</v>
      </c>
      <c r="R42" s="134"/>
      <c r="S42" s="134"/>
      <c r="T42" s="134">
        <f>SUM(T43:V45)</f>
        <v>40000</v>
      </c>
      <c r="U42" s="134"/>
      <c r="V42" s="134"/>
      <c r="W42" s="134">
        <f>SUM(W43:Y45)</f>
        <v>0</v>
      </c>
      <c r="X42" s="134"/>
      <c r="Y42" s="134"/>
      <c r="Z42" s="134">
        <f>SUM(Z43:AB45)</f>
        <v>0</v>
      </c>
      <c r="AA42" s="134"/>
      <c r="AB42" s="134"/>
      <c r="AC42" s="134">
        <f>SUM(AC43:AE45)</f>
        <v>0</v>
      </c>
      <c r="AD42" s="134"/>
      <c r="AE42" s="134"/>
      <c r="AF42" s="134">
        <f>SUM(AF43:AH45)</f>
        <v>70000</v>
      </c>
      <c r="AG42" s="134"/>
      <c r="AH42" s="134"/>
      <c r="AI42" s="138">
        <f>SUM(AI43:AK45)</f>
        <v>160000</v>
      </c>
      <c r="AJ42" s="139"/>
      <c r="AK42" s="140"/>
      <c r="AL42" s="141">
        <f>AI42/AI103</f>
        <v>0.26579561456838385</v>
      </c>
      <c r="AM42" s="142">
        <f>SUM(AM43:AN45)</f>
        <v>540413.85</v>
      </c>
      <c r="AN42" s="142"/>
    </row>
    <row r="43" spans="1:40" x14ac:dyDescent="0.25">
      <c r="A43" s="143" t="s">
        <v>125</v>
      </c>
      <c r="B43" s="144">
        <f>214077.5</f>
        <v>214077.5</v>
      </c>
      <c r="C43" s="144"/>
      <c r="D43" s="144"/>
      <c r="E43" s="23">
        <v>0</v>
      </c>
      <c r="F43" s="24"/>
      <c r="G43" s="25"/>
      <c r="H43" s="23">
        <v>0</v>
      </c>
      <c r="I43" s="24"/>
      <c r="J43" s="25"/>
      <c r="K43" s="23">
        <v>0</v>
      </c>
      <c r="L43" s="24"/>
      <c r="M43" s="25"/>
      <c r="N43" s="23">
        <f>25000</f>
        <v>25000</v>
      </c>
      <c r="O43" s="24"/>
      <c r="P43" s="25"/>
      <c r="Q43" s="23">
        <f>25000</f>
        <v>25000</v>
      </c>
      <c r="R43" s="24"/>
      <c r="S43" s="25"/>
      <c r="T43" s="23">
        <f>40000</f>
        <v>40000</v>
      </c>
      <c r="U43" s="24"/>
      <c r="V43" s="25"/>
      <c r="W43" s="23">
        <v>0</v>
      </c>
      <c r="X43" s="24"/>
      <c r="Y43" s="25"/>
      <c r="Z43" s="23">
        <v>0</v>
      </c>
      <c r="AA43" s="24"/>
      <c r="AB43" s="25"/>
      <c r="AC43" s="23">
        <v>0</v>
      </c>
      <c r="AD43" s="24"/>
      <c r="AE43" s="25"/>
      <c r="AF43" s="23">
        <f>70000</f>
        <v>70000</v>
      </c>
      <c r="AG43" s="24"/>
      <c r="AH43" s="25"/>
      <c r="AI43" s="31">
        <f>E43+H43+K43+N43+Q43+T43+W43+Z43+AC43+AF43</f>
        <v>160000</v>
      </c>
      <c r="AJ43" s="32"/>
      <c r="AK43" s="33"/>
      <c r="AL43" s="145">
        <f>AI43/AI103</f>
        <v>0.26579561456838385</v>
      </c>
      <c r="AM43" s="146">
        <f>214077.5+AI43</f>
        <v>374077.5</v>
      </c>
      <c r="AN43" s="146"/>
    </row>
    <row r="44" spans="1:40" x14ac:dyDescent="0.25">
      <c r="A44" s="143" t="s">
        <v>45</v>
      </c>
      <c r="B44" s="144">
        <f>151996.63</f>
        <v>151996.63</v>
      </c>
      <c r="C44" s="144"/>
      <c r="D44" s="144"/>
      <c r="E44" s="23">
        <v>0</v>
      </c>
      <c r="F44" s="24"/>
      <c r="G44" s="25"/>
      <c r="H44" s="23">
        <v>0</v>
      </c>
      <c r="I44" s="24"/>
      <c r="J44" s="25"/>
      <c r="K44" s="23">
        <v>0</v>
      </c>
      <c r="L44" s="24"/>
      <c r="M44" s="25"/>
      <c r="N44" s="23">
        <v>0</v>
      </c>
      <c r="O44" s="24"/>
      <c r="P44" s="25"/>
      <c r="Q44" s="23">
        <v>0</v>
      </c>
      <c r="R44" s="24"/>
      <c r="S44" s="25"/>
      <c r="T44" s="23">
        <v>0</v>
      </c>
      <c r="U44" s="24"/>
      <c r="V44" s="25"/>
      <c r="W44" s="23">
        <v>0</v>
      </c>
      <c r="X44" s="24"/>
      <c r="Y44" s="25"/>
      <c r="Z44" s="23">
        <v>0</v>
      </c>
      <c r="AA44" s="24"/>
      <c r="AB44" s="25"/>
      <c r="AC44" s="23">
        <v>0</v>
      </c>
      <c r="AD44" s="24"/>
      <c r="AE44" s="25"/>
      <c r="AF44" s="23">
        <v>0</v>
      </c>
      <c r="AG44" s="24"/>
      <c r="AH44" s="25"/>
      <c r="AI44" s="31">
        <f t="shared" ref="AI44:AI45" si="1">E44+H44+K44+N44+Q44+T44+W44+Z44+AC44+AF44</f>
        <v>0</v>
      </c>
      <c r="AJ44" s="32"/>
      <c r="AK44" s="33"/>
      <c r="AL44" s="145">
        <f>AI44/AI103</f>
        <v>0</v>
      </c>
      <c r="AM44" s="146">
        <f>151996.63+AI44</f>
        <v>151996.63</v>
      </c>
      <c r="AN44" s="146"/>
    </row>
    <row r="45" spans="1:40" x14ac:dyDescent="0.25">
      <c r="A45" s="143" t="s">
        <v>46</v>
      </c>
      <c r="B45" s="31">
        <v>14339.72</v>
      </c>
      <c r="C45" s="32"/>
      <c r="D45" s="33"/>
      <c r="E45" s="148">
        <v>0</v>
      </c>
      <c r="F45" s="149"/>
      <c r="G45" s="150"/>
      <c r="H45" s="23">
        <v>0</v>
      </c>
      <c r="I45" s="24"/>
      <c r="J45" s="25"/>
      <c r="K45" s="23">
        <v>0</v>
      </c>
      <c r="L45" s="24"/>
      <c r="M45" s="25"/>
      <c r="N45" s="23">
        <v>0</v>
      </c>
      <c r="O45" s="24"/>
      <c r="P45" s="25"/>
      <c r="Q45" s="23">
        <v>0</v>
      </c>
      <c r="R45" s="24"/>
      <c r="S45" s="25"/>
      <c r="T45" s="23">
        <v>0</v>
      </c>
      <c r="U45" s="24"/>
      <c r="V45" s="25"/>
      <c r="W45" s="23">
        <v>0</v>
      </c>
      <c r="X45" s="24"/>
      <c r="Y45" s="25"/>
      <c r="Z45" s="23">
        <v>0</v>
      </c>
      <c r="AA45" s="24"/>
      <c r="AB45" s="25"/>
      <c r="AC45" s="23">
        <v>0</v>
      </c>
      <c r="AD45" s="24"/>
      <c r="AE45" s="25"/>
      <c r="AF45" s="23">
        <v>0</v>
      </c>
      <c r="AG45" s="24"/>
      <c r="AH45" s="25"/>
      <c r="AI45" s="31">
        <f t="shared" si="1"/>
        <v>0</v>
      </c>
      <c r="AJ45" s="32"/>
      <c r="AK45" s="33"/>
      <c r="AL45" s="145">
        <f>AI45/AI104</f>
        <v>0</v>
      </c>
      <c r="AM45" s="146">
        <f>14339.72+AI45</f>
        <v>14339.72</v>
      </c>
      <c r="AN45" s="146"/>
    </row>
    <row r="46" spans="1:40" x14ac:dyDescent="0.25">
      <c r="A46" s="133" t="s">
        <v>47</v>
      </c>
      <c r="B46" s="134">
        <f>SUM(B47:D49)</f>
        <v>77211.740000000005</v>
      </c>
      <c r="C46" s="134"/>
      <c r="D46" s="134"/>
      <c r="E46" s="134">
        <f>SUM(E47:G49)</f>
        <v>0</v>
      </c>
      <c r="F46" s="134"/>
      <c r="G46" s="134"/>
      <c r="H46" s="134">
        <f>SUM(H47:J49)</f>
        <v>0</v>
      </c>
      <c r="I46" s="134"/>
      <c r="J46" s="134"/>
      <c r="K46" s="134">
        <f>SUM(K47:M49)</f>
        <v>0</v>
      </c>
      <c r="L46" s="134"/>
      <c r="M46" s="134"/>
      <c r="N46" s="134">
        <f>SUM(N47:P49)</f>
        <v>0</v>
      </c>
      <c r="O46" s="134"/>
      <c r="P46" s="134"/>
      <c r="Q46" s="134">
        <f>SUM(Q47:S49)</f>
        <v>0</v>
      </c>
      <c r="R46" s="134"/>
      <c r="S46" s="134"/>
      <c r="T46" s="134">
        <f>SUM(T47:V49)</f>
        <v>0</v>
      </c>
      <c r="U46" s="134"/>
      <c r="V46" s="134"/>
      <c r="W46" s="134">
        <f>SUM(W47:Y49)</f>
        <v>0</v>
      </c>
      <c r="X46" s="134"/>
      <c r="Y46" s="134"/>
      <c r="Z46" s="134">
        <f>SUM(Z47:AB49)</f>
        <v>19.350000000000001</v>
      </c>
      <c r="AA46" s="134"/>
      <c r="AB46" s="134"/>
      <c r="AC46" s="134">
        <f>SUM(AC47:AE49)</f>
        <v>585.52</v>
      </c>
      <c r="AD46" s="134"/>
      <c r="AE46" s="134"/>
      <c r="AF46" s="134">
        <f>SUM(AF47:AH49)</f>
        <v>1305.8499999999999</v>
      </c>
      <c r="AG46" s="134"/>
      <c r="AH46" s="134"/>
      <c r="AI46" s="138">
        <f>SUM(AI47:AK49)</f>
        <v>1910.7199999999998</v>
      </c>
      <c r="AJ46" s="139"/>
      <c r="AK46" s="140"/>
      <c r="AL46" s="141">
        <f>AI46/AI103</f>
        <v>3.17413122917564E-3</v>
      </c>
      <c r="AM46" s="142">
        <f>SUM(AM47:AN49)</f>
        <v>79122.459999999992</v>
      </c>
      <c r="AN46" s="142"/>
    </row>
    <row r="47" spans="1:40" x14ac:dyDescent="0.25">
      <c r="A47" s="143" t="s">
        <v>48</v>
      </c>
      <c r="B47" s="151">
        <v>3414.91</v>
      </c>
      <c r="C47" s="151"/>
      <c r="D47" s="151"/>
      <c r="E47" s="23">
        <v>0</v>
      </c>
      <c r="F47" s="24"/>
      <c r="G47" s="25"/>
      <c r="H47" s="23">
        <v>0</v>
      </c>
      <c r="I47" s="24"/>
      <c r="J47" s="25"/>
      <c r="K47" s="23">
        <v>0</v>
      </c>
      <c r="L47" s="24"/>
      <c r="M47" s="25"/>
      <c r="N47" s="23">
        <v>0</v>
      </c>
      <c r="O47" s="24"/>
      <c r="P47" s="25"/>
      <c r="Q47" s="23">
        <v>0</v>
      </c>
      <c r="R47" s="24"/>
      <c r="S47" s="25"/>
      <c r="T47" s="23">
        <v>0</v>
      </c>
      <c r="U47" s="24"/>
      <c r="V47" s="25"/>
      <c r="W47" s="23">
        <v>0</v>
      </c>
      <c r="X47" s="24"/>
      <c r="Y47" s="25"/>
      <c r="Z47" s="23">
        <v>0</v>
      </c>
      <c r="AA47" s="24"/>
      <c r="AB47" s="25"/>
      <c r="AC47" s="23">
        <f>585.52</f>
        <v>585.52</v>
      </c>
      <c r="AD47" s="24"/>
      <c r="AE47" s="25"/>
      <c r="AF47" s="23">
        <v>0</v>
      </c>
      <c r="AG47" s="24"/>
      <c r="AH47" s="25"/>
      <c r="AI47" s="31">
        <f>0+E47+H47+K47+N47+Q47+T47+W47+Z47+AC4+AC47+AF47</f>
        <v>585.52</v>
      </c>
      <c r="AJ47" s="32"/>
      <c r="AK47" s="33"/>
      <c r="AL47" s="145">
        <f>AI47/AI103</f>
        <v>9.7267905151300074E-4</v>
      </c>
      <c r="AM47" s="146">
        <f>3414.91+AI47</f>
        <v>4000.43</v>
      </c>
      <c r="AN47" s="146"/>
    </row>
    <row r="48" spans="1:40" x14ac:dyDescent="0.25">
      <c r="A48" s="143" t="s">
        <v>49</v>
      </c>
      <c r="B48" s="144">
        <v>11615.83</v>
      </c>
      <c r="C48" s="144"/>
      <c r="D48" s="144"/>
      <c r="E48" s="23">
        <v>0</v>
      </c>
      <c r="F48" s="24"/>
      <c r="G48" s="25"/>
      <c r="H48" s="23">
        <v>0</v>
      </c>
      <c r="I48" s="24"/>
      <c r="J48" s="25"/>
      <c r="K48" s="23">
        <v>0</v>
      </c>
      <c r="L48" s="24"/>
      <c r="M48" s="25"/>
      <c r="N48" s="23">
        <v>0</v>
      </c>
      <c r="O48" s="24"/>
      <c r="P48" s="25"/>
      <c r="Q48" s="23">
        <v>0</v>
      </c>
      <c r="R48" s="24"/>
      <c r="S48" s="25"/>
      <c r="T48" s="23">
        <v>0</v>
      </c>
      <c r="U48" s="24"/>
      <c r="V48" s="25"/>
      <c r="W48" s="23">
        <v>0</v>
      </c>
      <c r="X48" s="24"/>
      <c r="Y48" s="25"/>
      <c r="Z48" s="23">
        <f>19.35</f>
        <v>19.350000000000001</v>
      </c>
      <c r="AA48" s="24"/>
      <c r="AB48" s="25"/>
      <c r="AC48" s="23">
        <v>0</v>
      </c>
      <c r="AD48" s="24"/>
      <c r="AE48" s="25"/>
      <c r="AF48" s="23">
        <f>1305.85</f>
        <v>1305.8499999999999</v>
      </c>
      <c r="AG48" s="24"/>
      <c r="AH48" s="25"/>
      <c r="AI48" s="31">
        <f t="shared" ref="AI48:AI49" si="2">0+E48+H48+K48+N48+Q48+T48+W48+Z48+AC5+AC48+AF48</f>
        <v>1325.1999999999998</v>
      </c>
      <c r="AJ48" s="32"/>
      <c r="AK48" s="33"/>
      <c r="AL48" s="145">
        <f>AI48/AI103</f>
        <v>2.201452177662639E-3</v>
      </c>
      <c r="AM48" s="146">
        <f>11615.83+AI48</f>
        <v>12941.029999999999</v>
      </c>
      <c r="AN48" s="146"/>
    </row>
    <row r="49" spans="1:40" x14ac:dyDescent="0.25">
      <c r="A49" s="143" t="s">
        <v>50</v>
      </c>
      <c r="B49" s="144">
        <v>62181</v>
      </c>
      <c r="C49" s="144"/>
      <c r="D49" s="144"/>
      <c r="E49" s="23">
        <v>0</v>
      </c>
      <c r="F49" s="24"/>
      <c r="G49" s="25"/>
      <c r="H49" s="23">
        <v>0</v>
      </c>
      <c r="I49" s="24"/>
      <c r="J49" s="25"/>
      <c r="K49" s="23">
        <v>0</v>
      </c>
      <c r="L49" s="24"/>
      <c r="M49" s="25"/>
      <c r="N49" s="23">
        <v>0</v>
      </c>
      <c r="O49" s="24"/>
      <c r="P49" s="25"/>
      <c r="Q49" s="23">
        <v>0</v>
      </c>
      <c r="R49" s="24"/>
      <c r="S49" s="25"/>
      <c r="T49" s="23">
        <v>0</v>
      </c>
      <c r="U49" s="24"/>
      <c r="V49" s="25"/>
      <c r="W49" s="23">
        <v>0</v>
      </c>
      <c r="X49" s="24"/>
      <c r="Y49" s="25"/>
      <c r="Z49" s="23">
        <v>0</v>
      </c>
      <c r="AA49" s="24"/>
      <c r="AB49" s="25"/>
      <c r="AC49" s="23">
        <v>0</v>
      </c>
      <c r="AD49" s="24"/>
      <c r="AE49" s="25"/>
      <c r="AF49" s="23">
        <v>0</v>
      </c>
      <c r="AG49" s="24"/>
      <c r="AH49" s="25"/>
      <c r="AI49" s="31">
        <f t="shared" si="2"/>
        <v>0</v>
      </c>
      <c r="AJ49" s="32"/>
      <c r="AK49" s="33"/>
      <c r="AL49" s="145">
        <f>AI49/AI103</f>
        <v>0</v>
      </c>
      <c r="AM49" s="146">
        <f>62181+AI49</f>
        <v>62181</v>
      </c>
      <c r="AN49" s="146"/>
    </row>
    <row r="50" spans="1:40" x14ac:dyDescent="0.25">
      <c r="A50" s="133" t="s">
        <v>51</v>
      </c>
      <c r="B50" s="134">
        <f>SUM(B51:D63)</f>
        <v>241215.44999999998</v>
      </c>
      <c r="C50" s="134"/>
      <c r="D50" s="134"/>
      <c r="E50" s="134">
        <f>SUM(E51:G63)</f>
        <v>3895.7200000000003</v>
      </c>
      <c r="F50" s="134"/>
      <c r="G50" s="134"/>
      <c r="H50" s="134">
        <f>SUM(H51:J63)</f>
        <v>3671.7200000000003</v>
      </c>
      <c r="I50" s="134"/>
      <c r="J50" s="134"/>
      <c r="K50" s="134">
        <f>SUM(K51:M63)</f>
        <v>3677.12</v>
      </c>
      <c r="L50" s="134"/>
      <c r="M50" s="134"/>
      <c r="N50" s="134">
        <f>SUM(N51:P63)</f>
        <v>3721.62</v>
      </c>
      <c r="O50" s="134"/>
      <c r="P50" s="134"/>
      <c r="Q50" s="134">
        <f>SUM(Q51:S63)</f>
        <v>4178.0200000000004</v>
      </c>
      <c r="R50" s="134"/>
      <c r="S50" s="134"/>
      <c r="T50" s="134">
        <f>SUM(T51:V63)</f>
        <v>3677.57</v>
      </c>
      <c r="U50" s="134"/>
      <c r="V50" s="134"/>
      <c r="W50" s="134">
        <f>SUM(W51:Y63)</f>
        <v>3766.07</v>
      </c>
      <c r="X50" s="134"/>
      <c r="Y50" s="134"/>
      <c r="Z50" s="134">
        <f>SUM(Z51:AB63)</f>
        <v>3913.67</v>
      </c>
      <c r="AA50" s="134"/>
      <c r="AB50" s="134"/>
      <c r="AC50" s="134">
        <f>SUM(AC51:AE63)</f>
        <v>4223.72</v>
      </c>
      <c r="AD50" s="134"/>
      <c r="AE50" s="134"/>
      <c r="AF50" s="134">
        <f>SUM(AF51:AH63)</f>
        <v>7796.62</v>
      </c>
      <c r="AG50" s="134"/>
      <c r="AH50" s="134"/>
      <c r="AI50" s="138">
        <f>SUM(AI51:AK63)</f>
        <v>42521.85</v>
      </c>
      <c r="AJ50" s="139"/>
      <c r="AK50" s="140"/>
      <c r="AL50" s="141">
        <f>AI50/AI103</f>
        <v>7.0638257833341461E-2</v>
      </c>
      <c r="AM50" s="142">
        <f>SUM(AM51:AN63)</f>
        <v>283737.30000000005</v>
      </c>
      <c r="AN50" s="142"/>
    </row>
    <row r="51" spans="1:40" x14ac:dyDescent="0.25">
      <c r="A51" s="152" t="s">
        <v>52</v>
      </c>
      <c r="B51" s="144">
        <v>28211.279999999999</v>
      </c>
      <c r="C51" s="144"/>
      <c r="D51" s="144"/>
      <c r="E51" s="23">
        <v>0</v>
      </c>
      <c r="F51" s="24"/>
      <c r="G51" s="25"/>
      <c r="H51" s="23">
        <v>0</v>
      </c>
      <c r="I51" s="24"/>
      <c r="J51" s="25"/>
      <c r="K51" s="23">
        <v>0</v>
      </c>
      <c r="L51" s="24"/>
      <c r="M51" s="25"/>
      <c r="N51" s="23">
        <v>0</v>
      </c>
      <c r="O51" s="24"/>
      <c r="P51" s="25"/>
      <c r="Q51" s="23">
        <v>0</v>
      </c>
      <c r="R51" s="24"/>
      <c r="S51" s="25"/>
      <c r="T51" s="23">
        <v>0</v>
      </c>
      <c r="U51" s="24"/>
      <c r="V51" s="25"/>
      <c r="W51" s="23">
        <v>0</v>
      </c>
      <c r="X51" s="24"/>
      <c r="Y51" s="25"/>
      <c r="Z51" s="23">
        <v>0</v>
      </c>
      <c r="AA51" s="24"/>
      <c r="AB51" s="25"/>
      <c r="AC51" s="23">
        <v>0</v>
      </c>
      <c r="AD51" s="24"/>
      <c r="AE51" s="25"/>
      <c r="AF51" s="23">
        <v>0</v>
      </c>
      <c r="AG51" s="24"/>
      <c r="AH51" s="25"/>
      <c r="AI51" s="31">
        <f>0+E51+H51+K51+N51+Q51+T51+W51+Z51+AC51+AF51</f>
        <v>0</v>
      </c>
      <c r="AJ51" s="32"/>
      <c r="AK51" s="33"/>
      <c r="AL51" s="145">
        <f>AI51/AI103</f>
        <v>0</v>
      </c>
      <c r="AM51" s="146">
        <f>28211.28+AI51</f>
        <v>28211.279999999999</v>
      </c>
      <c r="AN51" s="146"/>
    </row>
    <row r="52" spans="1:40" x14ac:dyDescent="0.25">
      <c r="A52" s="143" t="s">
        <v>53</v>
      </c>
      <c r="B52" s="144">
        <v>9340</v>
      </c>
      <c r="C52" s="144"/>
      <c r="D52" s="144"/>
      <c r="E52" s="23">
        <v>0</v>
      </c>
      <c r="F52" s="24"/>
      <c r="G52" s="25"/>
      <c r="H52" s="23">
        <v>0</v>
      </c>
      <c r="I52" s="24"/>
      <c r="J52" s="25"/>
      <c r="K52" s="23">
        <v>0</v>
      </c>
      <c r="L52" s="24"/>
      <c r="M52" s="25"/>
      <c r="N52" s="23">
        <v>0</v>
      </c>
      <c r="O52" s="24"/>
      <c r="P52" s="25"/>
      <c r="Q52" s="23">
        <v>0</v>
      </c>
      <c r="R52" s="24"/>
      <c r="S52" s="25"/>
      <c r="T52" s="23">
        <v>0</v>
      </c>
      <c r="U52" s="24"/>
      <c r="V52" s="25"/>
      <c r="W52" s="23">
        <v>0</v>
      </c>
      <c r="X52" s="24"/>
      <c r="Y52" s="25"/>
      <c r="Z52" s="23">
        <v>0</v>
      </c>
      <c r="AA52" s="24"/>
      <c r="AB52" s="25"/>
      <c r="AC52" s="23">
        <v>0</v>
      </c>
      <c r="AD52" s="24"/>
      <c r="AE52" s="25"/>
      <c r="AF52" s="23">
        <v>0</v>
      </c>
      <c r="AG52" s="24"/>
      <c r="AH52" s="25"/>
      <c r="AI52" s="31">
        <f t="shared" ref="AI52:AI63" si="3">0+E52+H52+K52+N52+Q52+T52+W52+Z52+AC52+AF52</f>
        <v>0</v>
      </c>
      <c r="AJ52" s="32"/>
      <c r="AK52" s="33"/>
      <c r="AL52" s="145">
        <f>AI52/AI103</f>
        <v>0</v>
      </c>
      <c r="AM52" s="146">
        <f>9340+AI52</f>
        <v>9340</v>
      </c>
      <c r="AN52" s="146"/>
    </row>
    <row r="53" spans="1:40" x14ac:dyDescent="0.25">
      <c r="A53" s="143" t="s">
        <v>54</v>
      </c>
      <c r="B53" s="144">
        <v>16890</v>
      </c>
      <c r="C53" s="144"/>
      <c r="D53" s="144"/>
      <c r="E53" s="23">
        <f>450</f>
        <v>450</v>
      </c>
      <c r="F53" s="24"/>
      <c r="G53" s="25"/>
      <c r="H53" s="23">
        <f>450</f>
        <v>450</v>
      </c>
      <c r="I53" s="24"/>
      <c r="J53" s="25"/>
      <c r="K53" s="23">
        <f>450</f>
        <v>450</v>
      </c>
      <c r="L53" s="24"/>
      <c r="M53" s="25"/>
      <c r="N53" s="23">
        <f>450</f>
        <v>450</v>
      </c>
      <c r="O53" s="24"/>
      <c r="P53" s="25"/>
      <c r="Q53" s="23">
        <f>450</f>
        <v>450</v>
      </c>
      <c r="R53" s="24"/>
      <c r="S53" s="25"/>
      <c r="T53" s="23">
        <f>450</f>
        <v>450</v>
      </c>
      <c r="U53" s="24"/>
      <c r="V53" s="25"/>
      <c r="W53" s="23">
        <f>450</f>
        <v>450</v>
      </c>
      <c r="X53" s="24"/>
      <c r="Y53" s="25"/>
      <c r="Z53" s="23">
        <f>450</f>
        <v>450</v>
      </c>
      <c r="AA53" s="24"/>
      <c r="AB53" s="25"/>
      <c r="AC53" s="23">
        <f>450</f>
        <v>450</v>
      </c>
      <c r="AD53" s="24"/>
      <c r="AE53" s="25"/>
      <c r="AF53" s="23">
        <f>450</f>
        <v>450</v>
      </c>
      <c r="AG53" s="24"/>
      <c r="AH53" s="25"/>
      <c r="AI53" s="31">
        <f t="shared" si="3"/>
        <v>4500</v>
      </c>
      <c r="AJ53" s="32"/>
      <c r="AK53" s="33"/>
      <c r="AL53" s="145">
        <f>AI53/AI103</f>
        <v>7.4755016597357962E-3</v>
      </c>
      <c r="AM53" s="146">
        <f>16890+AI53</f>
        <v>21390</v>
      </c>
      <c r="AN53" s="146"/>
    </row>
    <row r="54" spans="1:40" x14ac:dyDescent="0.25">
      <c r="A54" s="143" t="s">
        <v>55</v>
      </c>
      <c r="B54" s="144">
        <v>43576.7</v>
      </c>
      <c r="C54" s="144"/>
      <c r="D54" s="144"/>
      <c r="E54" s="23">
        <v>0</v>
      </c>
      <c r="F54" s="24"/>
      <c r="G54" s="25"/>
      <c r="H54" s="23">
        <v>0</v>
      </c>
      <c r="I54" s="24"/>
      <c r="J54" s="25"/>
      <c r="K54" s="23">
        <v>0</v>
      </c>
      <c r="L54" s="24"/>
      <c r="M54" s="25"/>
      <c r="N54" s="23">
        <v>0</v>
      </c>
      <c r="O54" s="24"/>
      <c r="P54" s="25"/>
      <c r="Q54" s="23">
        <v>0</v>
      </c>
      <c r="R54" s="24"/>
      <c r="S54" s="25"/>
      <c r="T54" s="23">
        <v>0</v>
      </c>
      <c r="U54" s="24"/>
      <c r="V54" s="25"/>
      <c r="W54" s="23">
        <v>0</v>
      </c>
      <c r="X54" s="24"/>
      <c r="Y54" s="25"/>
      <c r="Z54" s="23">
        <v>0</v>
      </c>
      <c r="AA54" s="24"/>
      <c r="AB54" s="25"/>
      <c r="AC54" s="23">
        <v>0</v>
      </c>
      <c r="AD54" s="24"/>
      <c r="AE54" s="25"/>
      <c r="AF54" s="23">
        <f>3500</f>
        <v>3500</v>
      </c>
      <c r="AG54" s="24"/>
      <c r="AH54" s="25"/>
      <c r="AI54" s="31">
        <f t="shared" si="3"/>
        <v>3500</v>
      </c>
      <c r="AJ54" s="32"/>
      <c r="AK54" s="33"/>
      <c r="AL54" s="145">
        <f>AI54/AI103</f>
        <v>5.814279068683397E-3</v>
      </c>
      <c r="AM54" s="146">
        <f>43576.7+AI54</f>
        <v>47076.7</v>
      </c>
      <c r="AN54" s="146"/>
    </row>
    <row r="55" spans="1:40" x14ac:dyDescent="0.25">
      <c r="A55" s="143" t="s">
        <v>56</v>
      </c>
      <c r="B55" s="144">
        <v>96857.71</v>
      </c>
      <c r="C55" s="144"/>
      <c r="D55" s="144"/>
      <c r="E55" s="23">
        <f>2722.05</f>
        <v>2722.05</v>
      </c>
      <c r="F55" s="24"/>
      <c r="G55" s="25"/>
      <c r="H55" s="23">
        <f>2713.05</f>
        <v>2713.05</v>
      </c>
      <c r="I55" s="24"/>
      <c r="J55" s="25"/>
      <c r="K55" s="23">
        <f>2718.45</f>
        <v>2718.45</v>
      </c>
      <c r="L55" s="24"/>
      <c r="M55" s="25"/>
      <c r="N55" s="23">
        <f>2722.95</f>
        <v>2722.95</v>
      </c>
      <c r="O55" s="24"/>
      <c r="P55" s="25"/>
      <c r="Q55" s="23">
        <f>2719.35</f>
        <v>2719.35</v>
      </c>
      <c r="R55" s="24"/>
      <c r="S55" s="25"/>
      <c r="T55" s="23">
        <f>2718.9</f>
        <v>2718.9</v>
      </c>
      <c r="U55" s="24"/>
      <c r="V55" s="25"/>
      <c r="W55" s="23">
        <f>2768.4</f>
        <v>2768.4</v>
      </c>
      <c r="X55" s="24"/>
      <c r="Y55" s="25"/>
      <c r="Z55" s="23">
        <f>2916</f>
        <v>2916</v>
      </c>
      <c r="AA55" s="24"/>
      <c r="AB55" s="25"/>
      <c r="AC55" s="23">
        <f>3226.05</f>
        <v>3226.05</v>
      </c>
      <c r="AD55" s="24"/>
      <c r="AE55" s="25"/>
      <c r="AF55" s="23">
        <f>3298.95</f>
        <v>3298.95</v>
      </c>
      <c r="AG55" s="24"/>
      <c r="AH55" s="25"/>
      <c r="AI55" s="31">
        <f t="shared" si="3"/>
        <v>28524.15</v>
      </c>
      <c r="AJ55" s="32"/>
      <c r="AK55" s="33"/>
      <c r="AL55" s="145">
        <f>AI55/AI103</f>
        <v>4.7384962370567295E-2</v>
      </c>
      <c r="AM55" s="146">
        <f>96857.71+AI55</f>
        <v>125381.86000000002</v>
      </c>
      <c r="AN55" s="146"/>
    </row>
    <row r="56" spans="1:40" x14ac:dyDescent="0.25">
      <c r="A56" s="143" t="s">
        <v>57</v>
      </c>
      <c r="B56" s="144">
        <v>9150.25</v>
      </c>
      <c r="C56" s="144"/>
      <c r="D56" s="144"/>
      <c r="E56" s="23">
        <f>293.67</f>
        <v>293.67</v>
      </c>
      <c r="F56" s="24"/>
      <c r="G56" s="25"/>
      <c r="H56" s="23">
        <f>293.67</f>
        <v>293.67</v>
      </c>
      <c r="I56" s="24"/>
      <c r="J56" s="25"/>
      <c r="K56" s="23">
        <f>293.67</f>
        <v>293.67</v>
      </c>
      <c r="L56" s="24"/>
      <c r="M56" s="25"/>
      <c r="N56" s="23">
        <f>293.67</f>
        <v>293.67</v>
      </c>
      <c r="O56" s="24"/>
      <c r="P56" s="25"/>
      <c r="Q56" s="23">
        <f>293.67</f>
        <v>293.67</v>
      </c>
      <c r="R56" s="24"/>
      <c r="S56" s="25"/>
      <c r="T56" s="23">
        <f>293.67</f>
        <v>293.67</v>
      </c>
      <c r="U56" s="24"/>
      <c r="V56" s="25"/>
      <c r="W56" s="23">
        <f>293.67</f>
        <v>293.67</v>
      </c>
      <c r="X56" s="24"/>
      <c r="Y56" s="25"/>
      <c r="Z56" s="23">
        <f>293.67</f>
        <v>293.67</v>
      </c>
      <c r="AA56" s="24"/>
      <c r="AB56" s="25"/>
      <c r="AC56" s="23">
        <f>293.67</f>
        <v>293.67</v>
      </c>
      <c r="AD56" s="24"/>
      <c r="AE56" s="25"/>
      <c r="AF56" s="23">
        <f>293.67</f>
        <v>293.67</v>
      </c>
      <c r="AG56" s="24"/>
      <c r="AH56" s="25"/>
      <c r="AI56" s="31">
        <f t="shared" si="3"/>
        <v>2936.7000000000003</v>
      </c>
      <c r="AJ56" s="32"/>
      <c r="AK56" s="33"/>
      <c r="AL56" s="145">
        <f>AI56/AI103</f>
        <v>4.8785123831435809E-3</v>
      </c>
      <c r="AM56" s="146">
        <f>9150.25+AI56</f>
        <v>12086.95</v>
      </c>
      <c r="AN56" s="146"/>
    </row>
    <row r="57" spans="1:40" x14ac:dyDescent="0.25">
      <c r="A57" s="143" t="s">
        <v>58</v>
      </c>
      <c r="B57" s="144">
        <v>2618.94</v>
      </c>
      <c r="C57" s="144"/>
      <c r="D57" s="144"/>
      <c r="E57" s="23">
        <f>215+215</f>
        <v>430</v>
      </c>
      <c r="F57" s="24"/>
      <c r="G57" s="25"/>
      <c r="H57" s="23">
        <f>215</f>
        <v>215</v>
      </c>
      <c r="I57" s="24"/>
      <c r="J57" s="25"/>
      <c r="K57" s="23">
        <f>215</f>
        <v>215</v>
      </c>
      <c r="L57" s="24"/>
      <c r="M57" s="25"/>
      <c r="N57" s="23">
        <f>215</f>
        <v>215</v>
      </c>
      <c r="O57" s="24"/>
      <c r="P57" s="25"/>
      <c r="Q57" s="23">
        <f>215</f>
        <v>215</v>
      </c>
      <c r="R57" s="24"/>
      <c r="S57" s="25"/>
      <c r="T57" s="23">
        <f>215</f>
        <v>215</v>
      </c>
      <c r="U57" s="24"/>
      <c r="V57" s="25"/>
      <c r="W57" s="23">
        <f>215</f>
        <v>215</v>
      </c>
      <c r="X57" s="24"/>
      <c r="Y57" s="25"/>
      <c r="Z57" s="23">
        <f>215</f>
        <v>215</v>
      </c>
      <c r="AA57" s="24"/>
      <c r="AB57" s="25"/>
      <c r="AC57" s="23">
        <f>215</f>
        <v>215</v>
      </c>
      <c r="AD57" s="24"/>
      <c r="AE57" s="25"/>
      <c r="AF57" s="23">
        <f>215</f>
        <v>215</v>
      </c>
      <c r="AG57" s="24"/>
      <c r="AH57" s="25"/>
      <c r="AI57" s="31">
        <f t="shared" si="3"/>
        <v>2365</v>
      </c>
      <c r="AJ57" s="32"/>
      <c r="AK57" s="33"/>
      <c r="AL57" s="145">
        <f>AI57/AI103</f>
        <v>3.9287914278389241E-3</v>
      </c>
      <c r="AM57" s="146">
        <f>2618.94+AI57</f>
        <v>4983.9400000000005</v>
      </c>
      <c r="AN57" s="146"/>
    </row>
    <row r="58" spans="1:40" x14ac:dyDescent="0.25">
      <c r="A58" s="143" t="s">
        <v>59</v>
      </c>
      <c r="B58" s="31">
        <v>0</v>
      </c>
      <c r="C58" s="32"/>
      <c r="D58" s="33"/>
      <c r="E58" s="23">
        <v>0</v>
      </c>
      <c r="F58" s="24"/>
      <c r="G58" s="25"/>
      <c r="H58" s="23">
        <v>0</v>
      </c>
      <c r="I58" s="24"/>
      <c r="J58" s="25"/>
      <c r="K58" s="23">
        <v>0</v>
      </c>
      <c r="L58" s="24"/>
      <c r="M58" s="25"/>
      <c r="N58" s="23">
        <v>0</v>
      </c>
      <c r="O58" s="24"/>
      <c r="P58" s="25"/>
      <c r="Q58" s="23">
        <v>0</v>
      </c>
      <c r="R58" s="24"/>
      <c r="S58" s="25"/>
      <c r="T58" s="23">
        <v>0</v>
      </c>
      <c r="U58" s="24"/>
      <c r="V58" s="25"/>
      <c r="W58" s="23">
        <f>39</f>
        <v>39</v>
      </c>
      <c r="X58" s="24"/>
      <c r="Y58" s="25"/>
      <c r="Z58" s="23">
        <f>39</f>
        <v>39</v>
      </c>
      <c r="AA58" s="24"/>
      <c r="AB58" s="25"/>
      <c r="AC58" s="23">
        <f>39</f>
        <v>39</v>
      </c>
      <c r="AD58" s="24"/>
      <c r="AE58" s="25"/>
      <c r="AF58" s="23">
        <f>39</f>
        <v>39</v>
      </c>
      <c r="AG58" s="24"/>
      <c r="AH58" s="25"/>
      <c r="AI58" s="31">
        <f t="shared" si="3"/>
        <v>156</v>
      </c>
      <c r="AJ58" s="32"/>
      <c r="AK58" s="33"/>
      <c r="AL58" s="145">
        <f>AI58/AI104</f>
        <v>8.1987218823256346E-4</v>
      </c>
      <c r="AM58" s="148">
        <f>0+AI58</f>
        <v>156</v>
      </c>
      <c r="AN58" s="150"/>
    </row>
    <row r="59" spans="1:40" x14ac:dyDescent="0.25">
      <c r="A59" s="143" t="s">
        <v>60</v>
      </c>
      <c r="B59" s="144">
        <v>25282.46</v>
      </c>
      <c r="C59" s="144"/>
      <c r="D59" s="144"/>
      <c r="E59" s="23">
        <v>0</v>
      </c>
      <c r="F59" s="24"/>
      <c r="G59" s="25"/>
      <c r="H59" s="23">
        <v>0</v>
      </c>
      <c r="I59" s="24"/>
      <c r="J59" s="25"/>
      <c r="K59" s="23">
        <v>0</v>
      </c>
      <c r="L59" s="24"/>
      <c r="M59" s="25"/>
      <c r="N59" s="23">
        <v>0</v>
      </c>
      <c r="O59" s="24"/>
      <c r="P59" s="25"/>
      <c r="Q59" s="23">
        <f>500</f>
        <v>500</v>
      </c>
      <c r="R59" s="24"/>
      <c r="S59" s="25"/>
      <c r="T59" s="23">
        <v>0</v>
      </c>
      <c r="U59" s="24"/>
      <c r="V59" s="25"/>
      <c r="W59" s="23">
        <v>0</v>
      </c>
      <c r="X59" s="24"/>
      <c r="Y59" s="25"/>
      <c r="Z59" s="23">
        <v>0</v>
      </c>
      <c r="AA59" s="24"/>
      <c r="AB59" s="25"/>
      <c r="AC59" s="23">
        <v>0</v>
      </c>
      <c r="AD59" s="24"/>
      <c r="AE59" s="25"/>
      <c r="AF59" s="23">
        <v>0</v>
      </c>
      <c r="AG59" s="24"/>
      <c r="AH59" s="25"/>
      <c r="AI59" s="31">
        <f t="shared" si="3"/>
        <v>500</v>
      </c>
      <c r="AJ59" s="32"/>
      <c r="AK59" s="33"/>
      <c r="AL59" s="145">
        <f>AI59/AI103</f>
        <v>8.3061129552619963E-4</v>
      </c>
      <c r="AM59" s="146">
        <f>25282.46+AI59</f>
        <v>25782.46</v>
      </c>
      <c r="AN59" s="146"/>
    </row>
    <row r="60" spans="1:40" x14ac:dyDescent="0.25">
      <c r="A60" s="143" t="s">
        <v>61</v>
      </c>
      <c r="B60" s="144">
        <v>1500</v>
      </c>
      <c r="C60" s="144"/>
      <c r="D60" s="144"/>
      <c r="E60" s="23">
        <v>0</v>
      </c>
      <c r="F60" s="24"/>
      <c r="G60" s="25"/>
      <c r="H60" s="23">
        <v>0</v>
      </c>
      <c r="I60" s="24"/>
      <c r="J60" s="25"/>
      <c r="K60" s="23">
        <v>0</v>
      </c>
      <c r="L60" s="24"/>
      <c r="M60" s="25"/>
      <c r="N60" s="23">
        <v>0</v>
      </c>
      <c r="O60" s="24"/>
      <c r="P60" s="25"/>
      <c r="Q60" s="23">
        <v>0</v>
      </c>
      <c r="R60" s="24"/>
      <c r="S60" s="25"/>
      <c r="T60" s="23">
        <v>0</v>
      </c>
      <c r="U60" s="24"/>
      <c r="V60" s="25"/>
      <c r="W60" s="23">
        <v>0</v>
      </c>
      <c r="X60" s="24"/>
      <c r="Y60" s="25"/>
      <c r="Z60" s="23">
        <v>0</v>
      </c>
      <c r="AA60" s="24"/>
      <c r="AB60" s="25"/>
      <c r="AC60" s="23">
        <v>0</v>
      </c>
      <c r="AD60" s="24"/>
      <c r="AE60" s="25"/>
      <c r="AF60" s="23">
        <v>0</v>
      </c>
      <c r="AG60" s="24"/>
      <c r="AH60" s="25"/>
      <c r="AI60" s="31">
        <f t="shared" si="3"/>
        <v>0</v>
      </c>
      <c r="AJ60" s="32"/>
      <c r="AK60" s="33"/>
      <c r="AL60" s="145">
        <f>AI60/AI103</f>
        <v>0</v>
      </c>
      <c r="AM60" s="146">
        <f>1500+AI60</f>
        <v>1500</v>
      </c>
      <c r="AN60" s="146"/>
    </row>
    <row r="61" spans="1:40" x14ac:dyDescent="0.25">
      <c r="A61" s="143" t="s">
        <v>62</v>
      </c>
      <c r="B61" s="144">
        <v>5618.11</v>
      </c>
      <c r="C61" s="144"/>
      <c r="D61" s="144"/>
      <c r="E61" s="23">
        <v>0</v>
      </c>
      <c r="F61" s="24"/>
      <c r="G61" s="25"/>
      <c r="H61" s="23">
        <v>0</v>
      </c>
      <c r="I61" s="24"/>
      <c r="J61" s="25"/>
      <c r="K61" s="23">
        <v>0</v>
      </c>
      <c r="L61" s="24"/>
      <c r="M61" s="25"/>
      <c r="N61" s="23">
        <v>0</v>
      </c>
      <c r="O61" s="24"/>
      <c r="P61" s="25"/>
      <c r="Q61" s="23">
        <v>0</v>
      </c>
      <c r="R61" s="24"/>
      <c r="S61" s="25"/>
      <c r="T61" s="23">
        <v>0</v>
      </c>
      <c r="U61" s="24"/>
      <c r="V61" s="25"/>
      <c r="W61" s="23">
        <v>0</v>
      </c>
      <c r="X61" s="24"/>
      <c r="Y61" s="25"/>
      <c r="Z61" s="23">
        <v>0</v>
      </c>
      <c r="AA61" s="24"/>
      <c r="AB61" s="25"/>
      <c r="AC61" s="23">
        <v>0</v>
      </c>
      <c r="AD61" s="24"/>
      <c r="AE61" s="25"/>
      <c r="AF61" s="23">
        <v>0</v>
      </c>
      <c r="AG61" s="24"/>
      <c r="AH61" s="25"/>
      <c r="AI61" s="31">
        <f t="shared" si="3"/>
        <v>0</v>
      </c>
      <c r="AJ61" s="32"/>
      <c r="AK61" s="33"/>
      <c r="AL61" s="145">
        <f>AI61/AI103</f>
        <v>0</v>
      </c>
      <c r="AM61" s="146">
        <f>5618.11+AI61</f>
        <v>5618.11</v>
      </c>
      <c r="AN61" s="146"/>
    </row>
    <row r="62" spans="1:40" x14ac:dyDescent="0.25">
      <c r="A62" s="143" t="s">
        <v>63</v>
      </c>
      <c r="B62" s="144">
        <v>0</v>
      </c>
      <c r="C62" s="144"/>
      <c r="D62" s="144"/>
      <c r="E62" s="23">
        <v>0</v>
      </c>
      <c r="F62" s="24"/>
      <c r="G62" s="25"/>
      <c r="H62" s="23">
        <v>0</v>
      </c>
      <c r="I62" s="24"/>
      <c r="J62" s="25"/>
      <c r="K62" s="23">
        <v>0</v>
      </c>
      <c r="L62" s="24"/>
      <c r="M62" s="25"/>
      <c r="N62" s="23">
        <f>40</f>
        <v>40</v>
      </c>
      <c r="O62" s="24"/>
      <c r="P62" s="25"/>
      <c r="Q62" s="23">
        <v>0</v>
      </c>
      <c r="R62" s="24"/>
      <c r="S62" s="25"/>
      <c r="T62" s="23">
        <v>0</v>
      </c>
      <c r="U62" s="24"/>
      <c r="V62" s="25"/>
      <c r="W62" s="23">
        <v>0</v>
      </c>
      <c r="X62" s="24"/>
      <c r="Y62" s="25"/>
      <c r="Z62" s="23">
        <v>0</v>
      </c>
      <c r="AA62" s="24"/>
      <c r="AB62" s="25"/>
      <c r="AC62" s="23">
        <v>0</v>
      </c>
      <c r="AD62" s="24"/>
      <c r="AE62" s="25"/>
      <c r="AF62" s="23">
        <v>0</v>
      </c>
      <c r="AG62" s="24"/>
      <c r="AH62" s="25"/>
      <c r="AI62" s="31">
        <f t="shared" si="3"/>
        <v>40</v>
      </c>
      <c r="AJ62" s="32"/>
      <c r="AK62" s="33"/>
      <c r="AL62" s="145">
        <f>AI62/AI103</f>
        <v>6.6448903642095963E-5</v>
      </c>
      <c r="AM62" s="146">
        <f>0+AI62</f>
        <v>40</v>
      </c>
      <c r="AN62" s="146"/>
    </row>
    <row r="63" spans="1:40" x14ac:dyDescent="0.25">
      <c r="A63" s="143" t="s">
        <v>64</v>
      </c>
      <c r="B63" s="144">
        <v>2170</v>
      </c>
      <c r="C63" s="144"/>
      <c r="D63" s="144"/>
      <c r="E63" s="23">
        <v>0</v>
      </c>
      <c r="F63" s="24"/>
      <c r="G63" s="25"/>
      <c r="H63" s="23">
        <v>0</v>
      </c>
      <c r="I63" s="24"/>
      <c r="J63" s="25"/>
      <c r="K63" s="23">
        <v>0</v>
      </c>
      <c r="L63" s="24"/>
      <c r="M63" s="25"/>
      <c r="N63" s="23">
        <v>0</v>
      </c>
      <c r="O63" s="24"/>
      <c r="P63" s="25"/>
      <c r="Q63" s="23">
        <v>0</v>
      </c>
      <c r="R63" s="24"/>
      <c r="S63" s="25"/>
      <c r="T63" s="23">
        <v>0</v>
      </c>
      <c r="U63" s="24"/>
      <c r="V63" s="25"/>
      <c r="W63" s="23">
        <v>0</v>
      </c>
      <c r="X63" s="24"/>
      <c r="Y63" s="25"/>
      <c r="Z63" s="23">
        <v>0</v>
      </c>
      <c r="AA63" s="24"/>
      <c r="AB63" s="25"/>
      <c r="AC63" s="23">
        <v>0</v>
      </c>
      <c r="AD63" s="24"/>
      <c r="AE63" s="25"/>
      <c r="AF63" s="23">
        <v>0</v>
      </c>
      <c r="AG63" s="24"/>
      <c r="AH63" s="25"/>
      <c r="AI63" s="31">
        <f t="shared" si="3"/>
        <v>0</v>
      </c>
      <c r="AJ63" s="32"/>
      <c r="AK63" s="33"/>
      <c r="AL63" s="145">
        <f>AI63/AI103</f>
        <v>0</v>
      </c>
      <c r="AM63" s="146">
        <f>2170+AI63</f>
        <v>2170</v>
      </c>
      <c r="AN63" s="146"/>
    </row>
    <row r="64" spans="1:40" x14ac:dyDescent="0.25">
      <c r="A64" s="133" t="s">
        <v>65</v>
      </c>
      <c r="B64" s="134">
        <f>SUM(B65:D68)</f>
        <v>192764.56999999998</v>
      </c>
      <c r="C64" s="134"/>
      <c r="D64" s="134"/>
      <c r="E64" s="135">
        <f>SUM(E65:G68)</f>
        <v>13428.149999999998</v>
      </c>
      <c r="F64" s="136"/>
      <c r="G64" s="137"/>
      <c r="H64" s="135">
        <f>SUM(H65:J68)</f>
        <v>12011.390000000001</v>
      </c>
      <c r="I64" s="136"/>
      <c r="J64" s="137"/>
      <c r="K64" s="135">
        <f>SUM(K65:M68)</f>
        <v>1386.5400000000002</v>
      </c>
      <c r="L64" s="136"/>
      <c r="M64" s="137"/>
      <c r="N64" s="135">
        <f>SUM(N65:P68)</f>
        <v>13324.27</v>
      </c>
      <c r="O64" s="136"/>
      <c r="P64" s="137"/>
      <c r="Q64" s="135">
        <f>SUM(Q65:S68)</f>
        <v>3314.84</v>
      </c>
      <c r="R64" s="136"/>
      <c r="S64" s="137"/>
      <c r="T64" s="135">
        <f>SUM(T65:V68)</f>
        <v>12706.07</v>
      </c>
      <c r="U64" s="136"/>
      <c r="V64" s="137"/>
      <c r="W64" s="135">
        <f>SUM(W65:Y68)</f>
        <v>959.34999999999991</v>
      </c>
      <c r="X64" s="136"/>
      <c r="Y64" s="137"/>
      <c r="Z64" s="135">
        <f>SUM(Z65:AB68)</f>
        <v>13477.11</v>
      </c>
      <c r="AA64" s="136"/>
      <c r="AB64" s="137"/>
      <c r="AC64" s="135">
        <f>SUM(AC65:AE68)</f>
        <v>1015.9</v>
      </c>
      <c r="AD64" s="136"/>
      <c r="AE64" s="137"/>
      <c r="AF64" s="135">
        <f>SUM(AF65:AH68)</f>
        <v>15040.84</v>
      </c>
      <c r="AG64" s="136"/>
      <c r="AH64" s="137"/>
      <c r="AI64" s="138">
        <f>SUM(AI65:AK68)</f>
        <v>86664.459999999992</v>
      </c>
      <c r="AJ64" s="139"/>
      <c r="AK64" s="140"/>
      <c r="AL64" s="141">
        <f>AI64/AI103</f>
        <v>0.143968958793357</v>
      </c>
      <c r="AM64" s="142">
        <f>SUM(AM65:AN68)</f>
        <v>279429.02999999997</v>
      </c>
      <c r="AN64" s="142"/>
    </row>
    <row r="65" spans="1:40" x14ac:dyDescent="0.25">
      <c r="A65" s="143" t="s">
        <v>66</v>
      </c>
      <c r="B65" s="144">
        <v>120948.56</v>
      </c>
      <c r="C65" s="144"/>
      <c r="D65" s="144"/>
      <c r="E65" s="23">
        <f>9.5+9.5+39.8+9.5+11623.59+3.98+42+1+1+9.5</f>
        <v>11749.369999999999</v>
      </c>
      <c r="F65" s="24"/>
      <c r="G65" s="25"/>
      <c r="H65" s="23">
        <f>89.55+9.5+9.5+45.77+42+11502.2+27.86</f>
        <v>11726.380000000001</v>
      </c>
      <c r="I65" s="24"/>
      <c r="J65" s="25"/>
      <c r="K65" s="23">
        <f>9.5+7.96+9.5+9.5+9.5+11.94+145.27+9.5+250.74+42+1.99+9.5</f>
        <v>516.90000000000009</v>
      </c>
      <c r="L65" s="24"/>
      <c r="M65" s="25"/>
      <c r="N65" s="23">
        <f>11851.69</f>
        <v>11851.69</v>
      </c>
      <c r="O65" s="24"/>
      <c r="P65" s="25"/>
      <c r="Q65" s="23">
        <f>9.95+10+10+15.92+36.5+10+13.93+69.65</f>
        <v>175.95000000000002</v>
      </c>
      <c r="R65" s="24"/>
      <c r="S65" s="25"/>
      <c r="T65" s="23">
        <f>1.99+7.96+10+1.99+10+1.99+1.99+10+10+11589.76+3.98</f>
        <v>11649.66</v>
      </c>
      <c r="U65" s="24"/>
      <c r="V65" s="25"/>
      <c r="W65" s="23">
        <f>35.82+11.94+10+1.99+10+27.86</f>
        <v>97.61</v>
      </c>
      <c r="X65" s="24"/>
      <c r="Y65" s="25"/>
      <c r="Z65" s="23">
        <f>10+7.96+5.97+12535.01+10</f>
        <v>12568.94</v>
      </c>
      <c r="AA65" s="24"/>
      <c r="AB65" s="25"/>
      <c r="AC65" s="23">
        <f>1.99+10+10+469.64+147.26+10+10</f>
        <v>658.89</v>
      </c>
      <c r="AD65" s="24"/>
      <c r="AE65" s="25"/>
      <c r="AF65" s="23">
        <f>10+10+89.55+10+5.97+13729.01+10</f>
        <v>13864.53</v>
      </c>
      <c r="AG65" s="24"/>
      <c r="AH65" s="25"/>
      <c r="AI65" s="31">
        <f>0+E65+H65+K65+N65+Q65+T65+W65+Z65+AC65+AF65</f>
        <v>74859.92</v>
      </c>
      <c r="AJ65" s="32"/>
      <c r="AK65" s="33"/>
      <c r="AL65" s="145">
        <f>AI65/AI103</f>
        <v>0.12435899026837531</v>
      </c>
      <c r="AM65" s="146">
        <f>120948.56+AI65</f>
        <v>195808.47999999998</v>
      </c>
      <c r="AN65" s="146"/>
    </row>
    <row r="66" spans="1:40" x14ac:dyDescent="0.25">
      <c r="A66" s="143" t="s">
        <v>67</v>
      </c>
      <c r="B66" s="144">
        <v>47642.8</v>
      </c>
      <c r="C66" s="144"/>
      <c r="D66" s="144"/>
      <c r="E66" s="23">
        <f>77.46+240.13+70.87+219.71+77.46+70.87+240.13+219.71+203.66+203.66</f>
        <v>1623.66</v>
      </c>
      <c r="F66" s="24"/>
      <c r="G66" s="25"/>
      <c r="H66" s="23">
        <f>113.42+94.16</f>
        <v>207.57999999999998</v>
      </c>
      <c r="I66" s="24"/>
      <c r="J66" s="25"/>
      <c r="K66" s="23">
        <f>67.5+77.46+209.25+159.05+252.91</f>
        <v>766.17</v>
      </c>
      <c r="L66" s="24"/>
      <c r="M66" s="25"/>
      <c r="N66" s="23">
        <f>240.13+209.25+77.46+67.5+252.91</f>
        <v>847.25</v>
      </c>
      <c r="O66" s="24"/>
      <c r="P66" s="25"/>
      <c r="Q66" s="23">
        <f>209.25+67.5+240.13+77.46+252.91</f>
        <v>847.25</v>
      </c>
      <c r="R66" s="24"/>
      <c r="S66" s="25"/>
      <c r="T66" s="23">
        <f>67.5+209.25+77.46+240.13+56.2+97.25+210.76</f>
        <v>958.55</v>
      </c>
      <c r="U66" s="24"/>
      <c r="V66" s="25"/>
      <c r="W66" s="23">
        <f>240.13+77.46+209.25+67.5+219.74</f>
        <v>814.07999999999993</v>
      </c>
      <c r="X66" s="24"/>
      <c r="Y66" s="25"/>
      <c r="Z66" s="23">
        <f>77.46+67.5+240.13+209.25+270.09</f>
        <v>864.42999999999984</v>
      </c>
      <c r="AA66" s="24"/>
      <c r="AB66" s="25"/>
      <c r="AC66" s="23">
        <f>240.13+77.46</f>
        <v>317.58999999999997</v>
      </c>
      <c r="AD66" s="24"/>
      <c r="AE66" s="25"/>
      <c r="AF66" s="23">
        <f>135+240.13+418.5+77.46+142.82+59.97</f>
        <v>1073.8800000000001</v>
      </c>
      <c r="AG66" s="24"/>
      <c r="AH66" s="25"/>
      <c r="AI66" s="31">
        <f t="shared" ref="AI66:AI68" si="4">0+E66+H66+K66+N66+Q66+T66+W66+Z66+AC66+AF66</f>
        <v>8320.4399999999987</v>
      </c>
      <c r="AJ66" s="32"/>
      <c r="AK66" s="33"/>
      <c r="AL66" s="145">
        <f>AI66/AI103</f>
        <v>1.3822102895496022E-2</v>
      </c>
      <c r="AM66" s="146">
        <f>47642.8+AI66</f>
        <v>55963.240000000005</v>
      </c>
      <c r="AN66" s="146"/>
    </row>
    <row r="67" spans="1:40" x14ac:dyDescent="0.25">
      <c r="A67" s="143" t="s">
        <v>68</v>
      </c>
      <c r="B67" s="144">
        <v>24147.84</v>
      </c>
      <c r="C67" s="144"/>
      <c r="D67" s="144"/>
      <c r="E67" s="23">
        <f>48.46</f>
        <v>48.46</v>
      </c>
      <c r="F67" s="24"/>
      <c r="G67" s="25"/>
      <c r="H67" s="23">
        <f>72.49</f>
        <v>72.489999999999995</v>
      </c>
      <c r="I67" s="24"/>
      <c r="J67" s="25"/>
      <c r="K67" s="23">
        <f>103.47</f>
        <v>103.47</v>
      </c>
      <c r="L67" s="24"/>
      <c r="M67" s="25"/>
      <c r="N67" s="23">
        <f>163</f>
        <v>163</v>
      </c>
      <c r="O67" s="24"/>
      <c r="P67" s="25"/>
      <c r="Q67" s="23">
        <f>808.1+1448.28+35.26</f>
        <v>2291.6400000000003</v>
      </c>
      <c r="R67" s="24"/>
      <c r="S67" s="25"/>
      <c r="T67" s="23">
        <f>97.86</f>
        <v>97.86</v>
      </c>
      <c r="U67" s="24"/>
      <c r="V67" s="25"/>
      <c r="W67" s="23">
        <f>46.61</f>
        <v>46.61</v>
      </c>
      <c r="X67" s="24"/>
      <c r="Y67" s="25"/>
      <c r="Z67" s="23">
        <f>43.74</f>
        <v>43.74</v>
      </c>
      <c r="AA67" s="24"/>
      <c r="AB67" s="25"/>
      <c r="AC67" s="23">
        <f>39.42</f>
        <v>39.42</v>
      </c>
      <c r="AD67" s="24"/>
      <c r="AE67" s="25"/>
      <c r="AF67" s="23">
        <f>102.43</f>
        <v>102.43</v>
      </c>
      <c r="AG67" s="24"/>
      <c r="AH67" s="25"/>
      <c r="AI67" s="31">
        <f t="shared" si="4"/>
        <v>3009.1200000000003</v>
      </c>
      <c r="AJ67" s="32"/>
      <c r="AK67" s="33"/>
      <c r="AL67" s="145">
        <f>AI67/AI103</f>
        <v>4.9988181231875959E-3</v>
      </c>
      <c r="AM67" s="146">
        <f>24147.84+AI67</f>
        <v>27156.959999999999</v>
      </c>
      <c r="AN67" s="146"/>
    </row>
    <row r="68" spans="1:40" x14ac:dyDescent="0.25">
      <c r="A68" s="143" t="s">
        <v>69</v>
      </c>
      <c r="B68" s="144">
        <v>25.37</v>
      </c>
      <c r="C68" s="144"/>
      <c r="D68" s="144"/>
      <c r="E68" s="23">
        <f>6.66</f>
        <v>6.66</v>
      </c>
      <c r="F68" s="24"/>
      <c r="G68" s="25"/>
      <c r="H68" s="23">
        <f>1.37+1.09+2.48</f>
        <v>4.9399999999999995</v>
      </c>
      <c r="I68" s="24"/>
      <c r="J68" s="25"/>
      <c r="K68" s="23">
        <v>0</v>
      </c>
      <c r="L68" s="24"/>
      <c r="M68" s="25"/>
      <c r="N68" s="23">
        <f>462.33</f>
        <v>462.33</v>
      </c>
      <c r="O68" s="24"/>
      <c r="P68" s="25"/>
      <c r="Q68" s="23">
        <v>0</v>
      </c>
      <c r="R68" s="24"/>
      <c r="S68" s="25"/>
      <c r="T68" s="23">
        <v>0</v>
      </c>
      <c r="U68" s="24"/>
      <c r="V68" s="25"/>
      <c r="W68" s="23">
        <f>1.05</f>
        <v>1.05</v>
      </c>
      <c r="X68" s="24"/>
      <c r="Y68" s="25"/>
      <c r="Z68" s="23">
        <v>0</v>
      </c>
      <c r="AA68" s="24"/>
      <c r="AB68" s="25"/>
      <c r="AC68" s="23">
        <v>0</v>
      </c>
      <c r="AD68" s="24"/>
      <c r="AE68" s="25"/>
      <c r="AF68" s="23">
        <v>0</v>
      </c>
      <c r="AG68" s="24"/>
      <c r="AH68" s="25"/>
      <c r="AI68" s="31">
        <f t="shared" si="4"/>
        <v>474.98</v>
      </c>
      <c r="AJ68" s="32"/>
      <c r="AK68" s="33"/>
      <c r="AL68" s="145">
        <f>AI68/AI103</f>
        <v>7.8904750629806865E-4</v>
      </c>
      <c r="AM68" s="146">
        <f>25.37+AI68</f>
        <v>500.35</v>
      </c>
      <c r="AN68" s="146"/>
    </row>
    <row r="69" spans="1:40" x14ac:dyDescent="0.25">
      <c r="A69" s="133" t="s">
        <v>70</v>
      </c>
      <c r="B69" s="134">
        <f>SUM(B70:D83)</f>
        <v>379800.62</v>
      </c>
      <c r="C69" s="134"/>
      <c r="D69" s="134"/>
      <c r="E69" s="135">
        <f>SUM(E70:G83)</f>
        <v>11747.81</v>
      </c>
      <c r="F69" s="136"/>
      <c r="G69" s="137"/>
      <c r="H69" s="135">
        <f>SUM(H70:J83)</f>
        <v>9765.11</v>
      </c>
      <c r="I69" s="136"/>
      <c r="J69" s="137"/>
      <c r="K69" s="135">
        <f>SUM(K70:M83)</f>
        <v>11378.32</v>
      </c>
      <c r="L69" s="136"/>
      <c r="M69" s="137"/>
      <c r="N69" s="135">
        <f>SUM(N70:P83)</f>
        <v>10209.619999999999</v>
      </c>
      <c r="O69" s="136"/>
      <c r="P69" s="137"/>
      <c r="Q69" s="135">
        <f>SUM(Q70:S83)</f>
        <v>10249.41</v>
      </c>
      <c r="R69" s="136"/>
      <c r="S69" s="137"/>
      <c r="T69" s="135">
        <f>SUM(T70:V83)</f>
        <v>10155.92</v>
      </c>
      <c r="U69" s="136"/>
      <c r="V69" s="137"/>
      <c r="W69" s="135">
        <f>SUM(W70:Y83)</f>
        <v>12112.19</v>
      </c>
      <c r="X69" s="136"/>
      <c r="Y69" s="137"/>
      <c r="Z69" s="135">
        <f>SUM(Z70:AB83)</f>
        <v>9880.83</v>
      </c>
      <c r="AA69" s="136"/>
      <c r="AB69" s="137"/>
      <c r="AC69" s="135">
        <f>SUM(AC70:AE83)</f>
        <v>11844.41</v>
      </c>
      <c r="AD69" s="136"/>
      <c r="AE69" s="137"/>
      <c r="AF69" s="135">
        <f>SUM(AF70:AH83)</f>
        <v>13633.25</v>
      </c>
      <c r="AG69" s="136"/>
      <c r="AH69" s="137"/>
      <c r="AI69" s="138">
        <f>SUM(AI70:AK83)</f>
        <v>110976.87</v>
      </c>
      <c r="AJ69" s="139"/>
      <c r="AK69" s="140"/>
      <c r="AL69" s="141">
        <f>AI69/AI103</f>
        <v>0.18435728352828526</v>
      </c>
      <c r="AM69" s="142">
        <f>SUM(AM70:AN83)</f>
        <v>490777.49</v>
      </c>
      <c r="AN69" s="142"/>
    </row>
    <row r="70" spans="1:40" x14ac:dyDescent="0.25">
      <c r="A70" s="152" t="s">
        <v>71</v>
      </c>
      <c r="B70" s="144">
        <v>9608.91</v>
      </c>
      <c r="C70" s="144"/>
      <c r="D70" s="144"/>
      <c r="E70" s="23">
        <v>0</v>
      </c>
      <c r="F70" s="24"/>
      <c r="G70" s="25"/>
      <c r="H70" s="23">
        <v>0</v>
      </c>
      <c r="I70" s="24"/>
      <c r="J70" s="25"/>
      <c r="K70" s="23">
        <v>0</v>
      </c>
      <c r="L70" s="24"/>
      <c r="M70" s="25"/>
      <c r="N70" s="23">
        <v>0</v>
      </c>
      <c r="O70" s="24"/>
      <c r="P70" s="25"/>
      <c r="Q70" s="23">
        <v>0</v>
      </c>
      <c r="R70" s="24"/>
      <c r="S70" s="25"/>
      <c r="T70" s="23">
        <v>0</v>
      </c>
      <c r="U70" s="24"/>
      <c r="V70" s="25"/>
      <c r="W70" s="23">
        <v>0</v>
      </c>
      <c r="X70" s="24"/>
      <c r="Y70" s="25"/>
      <c r="Z70" s="23">
        <v>0</v>
      </c>
      <c r="AA70" s="24"/>
      <c r="AB70" s="25"/>
      <c r="AC70" s="23">
        <v>0</v>
      </c>
      <c r="AD70" s="24"/>
      <c r="AE70" s="25"/>
      <c r="AF70" s="23">
        <v>0</v>
      </c>
      <c r="AG70" s="24"/>
      <c r="AH70" s="25"/>
      <c r="AI70" s="31">
        <f>0+E70+H70+K70+N70+Q70+T70+W70+Z70+AC70+AF70</f>
        <v>0</v>
      </c>
      <c r="AJ70" s="32"/>
      <c r="AK70" s="33"/>
      <c r="AL70" s="145">
        <f>AI70/AI103</f>
        <v>0</v>
      </c>
      <c r="AM70" s="146">
        <f>9608.91+AI70</f>
        <v>9608.91</v>
      </c>
      <c r="AN70" s="146"/>
    </row>
    <row r="71" spans="1:40" x14ac:dyDescent="0.25">
      <c r="A71" s="152" t="s">
        <v>72</v>
      </c>
      <c r="B71" s="144">
        <v>9110</v>
      </c>
      <c r="C71" s="144"/>
      <c r="D71" s="144"/>
      <c r="E71" s="23">
        <v>0</v>
      </c>
      <c r="F71" s="24"/>
      <c r="G71" s="25"/>
      <c r="H71" s="23">
        <v>0</v>
      </c>
      <c r="I71" s="24"/>
      <c r="J71" s="25"/>
      <c r="K71" s="23">
        <v>0</v>
      </c>
      <c r="L71" s="24"/>
      <c r="M71" s="25"/>
      <c r="N71" s="23">
        <v>0</v>
      </c>
      <c r="O71" s="24"/>
      <c r="P71" s="25"/>
      <c r="Q71" s="23">
        <v>0</v>
      </c>
      <c r="R71" s="24"/>
      <c r="S71" s="25"/>
      <c r="T71" s="23">
        <v>0</v>
      </c>
      <c r="U71" s="24"/>
      <c r="V71" s="25"/>
      <c r="W71" s="23">
        <v>0</v>
      </c>
      <c r="X71" s="24"/>
      <c r="Y71" s="25"/>
      <c r="Z71" s="23">
        <v>0</v>
      </c>
      <c r="AA71" s="24"/>
      <c r="AB71" s="25"/>
      <c r="AC71" s="23">
        <v>0</v>
      </c>
      <c r="AD71" s="24"/>
      <c r="AE71" s="25"/>
      <c r="AF71" s="23">
        <f>1709.05</f>
        <v>1709.05</v>
      </c>
      <c r="AG71" s="24"/>
      <c r="AH71" s="25"/>
      <c r="AI71" s="31">
        <f t="shared" ref="AI71:AI83" si="5">0+E71+H71+K71+N71+Q71+T71+W71+Z71+AC71+AF71</f>
        <v>1709.05</v>
      </c>
      <c r="AJ71" s="32"/>
      <c r="AK71" s="33"/>
      <c r="AL71" s="145">
        <f>AI71/AI103</f>
        <v>2.8391124692381028E-3</v>
      </c>
      <c r="AM71" s="146">
        <f>9110+AI71</f>
        <v>10819.05</v>
      </c>
      <c r="AN71" s="146"/>
    </row>
    <row r="72" spans="1:40" x14ac:dyDescent="0.25">
      <c r="A72" s="152" t="s">
        <v>73</v>
      </c>
      <c r="B72" s="144">
        <v>4130.22</v>
      </c>
      <c r="C72" s="144"/>
      <c r="D72" s="144"/>
      <c r="E72" s="23">
        <f>271.63</f>
        <v>271.63</v>
      </c>
      <c r="F72" s="24"/>
      <c r="G72" s="25"/>
      <c r="H72" s="23">
        <f>271.63+1285.2</f>
        <v>1556.83</v>
      </c>
      <c r="I72" s="24"/>
      <c r="J72" s="25"/>
      <c r="K72" s="23">
        <f>271.63</f>
        <v>271.63</v>
      </c>
      <c r="L72" s="24"/>
      <c r="M72" s="25"/>
      <c r="N72" s="23">
        <v>0</v>
      </c>
      <c r="O72" s="24"/>
      <c r="P72" s="25"/>
      <c r="Q72" s="23">
        <v>0</v>
      </c>
      <c r="R72" s="24"/>
      <c r="S72" s="25"/>
      <c r="T72" s="23">
        <v>0</v>
      </c>
      <c r="U72" s="24"/>
      <c r="V72" s="25"/>
      <c r="W72" s="23">
        <v>0</v>
      </c>
      <c r="X72" s="24"/>
      <c r="Y72" s="25"/>
      <c r="Z72" s="23">
        <v>0</v>
      </c>
      <c r="AA72" s="24"/>
      <c r="AB72" s="25"/>
      <c r="AC72" s="23">
        <v>0</v>
      </c>
      <c r="AD72" s="24"/>
      <c r="AE72" s="25"/>
      <c r="AF72" s="23">
        <v>0</v>
      </c>
      <c r="AG72" s="24"/>
      <c r="AH72" s="25"/>
      <c r="AI72" s="31">
        <f t="shared" si="5"/>
        <v>2100.09</v>
      </c>
      <c r="AJ72" s="32"/>
      <c r="AK72" s="33"/>
      <c r="AL72" s="145">
        <f>AI72/AI103</f>
        <v>3.4887169512432333E-3</v>
      </c>
      <c r="AM72" s="146">
        <f>4130.22+AI72</f>
        <v>6230.31</v>
      </c>
      <c r="AN72" s="146"/>
    </row>
    <row r="73" spans="1:40" x14ac:dyDescent="0.25">
      <c r="A73" s="152" t="s">
        <v>74</v>
      </c>
      <c r="B73" s="31">
        <v>0</v>
      </c>
      <c r="C73" s="32"/>
      <c r="D73" s="33"/>
      <c r="E73" s="23">
        <v>0</v>
      </c>
      <c r="F73" s="24"/>
      <c r="G73" s="25"/>
      <c r="H73" s="23">
        <v>99</v>
      </c>
      <c r="I73" s="24"/>
      <c r="J73" s="25"/>
      <c r="K73" s="23">
        <v>0</v>
      </c>
      <c r="L73" s="24"/>
      <c r="M73" s="25"/>
      <c r="N73" s="23">
        <v>0</v>
      </c>
      <c r="O73" s="24"/>
      <c r="P73" s="25"/>
      <c r="Q73" s="23">
        <v>0</v>
      </c>
      <c r="R73" s="24"/>
      <c r="S73" s="25"/>
      <c r="T73" s="23">
        <v>0</v>
      </c>
      <c r="U73" s="24"/>
      <c r="V73" s="25"/>
      <c r="W73" s="23">
        <v>0</v>
      </c>
      <c r="X73" s="24"/>
      <c r="Y73" s="25"/>
      <c r="Z73" s="23">
        <v>0</v>
      </c>
      <c r="AA73" s="24"/>
      <c r="AB73" s="25"/>
      <c r="AC73" s="23">
        <v>0</v>
      </c>
      <c r="AD73" s="24"/>
      <c r="AE73" s="25"/>
      <c r="AF73" s="23">
        <v>0</v>
      </c>
      <c r="AG73" s="24"/>
      <c r="AH73" s="25"/>
      <c r="AI73" s="31">
        <f t="shared" si="5"/>
        <v>99</v>
      </c>
      <c r="AJ73" s="32"/>
      <c r="AK73" s="33"/>
      <c r="AL73" s="145">
        <f>AI73/AI103</f>
        <v>1.6446103651418753E-4</v>
      </c>
      <c r="AM73" s="148">
        <f>0+AI73</f>
        <v>99</v>
      </c>
      <c r="AN73" s="150"/>
    </row>
    <row r="74" spans="1:40" x14ac:dyDescent="0.25">
      <c r="A74" s="143" t="s">
        <v>75</v>
      </c>
      <c r="B74" s="144">
        <v>6043.01</v>
      </c>
      <c r="C74" s="144"/>
      <c r="D74" s="144"/>
      <c r="E74" s="23">
        <f>191.6+35.42</f>
        <v>227.01999999999998</v>
      </c>
      <c r="F74" s="24"/>
      <c r="G74" s="25"/>
      <c r="H74" s="23">
        <f>51.3</f>
        <v>51.3</v>
      </c>
      <c r="I74" s="24"/>
      <c r="J74" s="25"/>
      <c r="K74" s="23">
        <v>0</v>
      </c>
      <c r="L74" s="24"/>
      <c r="M74" s="25"/>
      <c r="N74" s="23">
        <v>0</v>
      </c>
      <c r="O74" s="24"/>
      <c r="P74" s="25"/>
      <c r="Q74" s="23">
        <f>43.8</f>
        <v>43.8</v>
      </c>
      <c r="R74" s="24"/>
      <c r="S74" s="25"/>
      <c r="T74" s="23">
        <v>0</v>
      </c>
      <c r="U74" s="24"/>
      <c r="V74" s="25"/>
      <c r="W74" s="23">
        <f>47.8</f>
        <v>47.8</v>
      </c>
      <c r="X74" s="24"/>
      <c r="Y74" s="25"/>
      <c r="Z74" s="23">
        <f>48.3+179.8</f>
        <v>228.10000000000002</v>
      </c>
      <c r="AA74" s="24"/>
      <c r="AB74" s="25"/>
      <c r="AC74" s="23">
        <f>31.9</f>
        <v>31.9</v>
      </c>
      <c r="AD74" s="24"/>
      <c r="AE74" s="25"/>
      <c r="AF74" s="23">
        <v>0</v>
      </c>
      <c r="AG74" s="24"/>
      <c r="AH74" s="25"/>
      <c r="AI74" s="31">
        <f t="shared" si="5"/>
        <v>629.91999999999996</v>
      </c>
      <c r="AJ74" s="32"/>
      <c r="AK74" s="33"/>
      <c r="AL74" s="145">
        <f>AI74/AI103</f>
        <v>1.0464373345557272E-3</v>
      </c>
      <c r="AM74" s="146">
        <f>6043.01+AI74</f>
        <v>6672.93</v>
      </c>
      <c r="AN74" s="146"/>
    </row>
    <row r="75" spans="1:40" x14ac:dyDescent="0.25">
      <c r="A75" s="152" t="s">
        <v>76</v>
      </c>
      <c r="B75" s="144">
        <v>53374.36</v>
      </c>
      <c r="C75" s="144"/>
      <c r="D75" s="144"/>
      <c r="E75" s="23">
        <f>1263.86+290.51</f>
        <v>1554.37</v>
      </c>
      <c r="F75" s="24"/>
      <c r="G75" s="25"/>
      <c r="H75" s="23">
        <f>1413.96+54.44</f>
        <v>1468.4</v>
      </c>
      <c r="I75" s="24"/>
      <c r="J75" s="25"/>
      <c r="K75" s="23">
        <f>1413.96+54.26</f>
        <v>1468.22</v>
      </c>
      <c r="L75" s="24"/>
      <c r="M75" s="25"/>
      <c r="N75" s="23">
        <f>1414.91+54.37</f>
        <v>1469.28</v>
      </c>
      <c r="O75" s="24"/>
      <c r="P75" s="25"/>
      <c r="Q75" s="23">
        <f>1416.52+54.46</f>
        <v>1470.98</v>
      </c>
      <c r="R75" s="24"/>
      <c r="S75" s="25"/>
      <c r="T75" s="23">
        <f>1416.52+54.39</f>
        <v>1470.91</v>
      </c>
      <c r="U75" s="24"/>
      <c r="V75" s="25"/>
      <c r="W75" s="23">
        <f>54.38+1416.52</f>
        <v>1470.9</v>
      </c>
      <c r="X75" s="24"/>
      <c r="Y75" s="25"/>
      <c r="Z75" s="23">
        <f>1416.52+57.32</f>
        <v>1473.84</v>
      </c>
      <c r="AA75" s="24"/>
      <c r="AB75" s="25"/>
      <c r="AC75" s="23">
        <f>1490.55+60.27</f>
        <v>1550.82</v>
      </c>
      <c r="AD75" s="24"/>
      <c r="AE75" s="25"/>
      <c r="AF75" s="23">
        <f>1490.55+136.47</f>
        <v>1627.02</v>
      </c>
      <c r="AG75" s="24"/>
      <c r="AH75" s="25"/>
      <c r="AI75" s="31">
        <f t="shared" si="5"/>
        <v>15024.74</v>
      </c>
      <c r="AJ75" s="32"/>
      <c r="AK75" s="33"/>
      <c r="AL75" s="145">
        <f>AI75/AI103</f>
        <v>2.4959437512688625E-2</v>
      </c>
      <c r="AM75" s="146">
        <f>53374.36+AI75</f>
        <v>68399.100000000006</v>
      </c>
      <c r="AN75" s="146"/>
    </row>
    <row r="76" spans="1:40" x14ac:dyDescent="0.25">
      <c r="A76" s="152" t="s">
        <v>77</v>
      </c>
      <c r="B76" s="144">
        <v>13234.67</v>
      </c>
      <c r="C76" s="144"/>
      <c r="D76" s="144"/>
      <c r="E76" s="23">
        <f>114.99+49.99+154.41</f>
        <v>319.39</v>
      </c>
      <c r="F76" s="24"/>
      <c r="G76" s="25"/>
      <c r="H76" s="23">
        <f>114.99+49.99+155.27</f>
        <v>320.25</v>
      </c>
      <c r="I76" s="24"/>
      <c r="J76" s="25"/>
      <c r="K76" s="23">
        <f>49.99+114.99+149.34</f>
        <v>314.32</v>
      </c>
      <c r="L76" s="24"/>
      <c r="M76" s="25"/>
      <c r="N76" s="23">
        <f>52.23+114.99+116.06</f>
        <v>283.27999999999997</v>
      </c>
      <c r="O76" s="24"/>
      <c r="P76" s="25"/>
      <c r="Q76" s="23">
        <f>52.23+114.99</f>
        <v>167.22</v>
      </c>
      <c r="R76" s="24"/>
      <c r="S76" s="25"/>
      <c r="T76" s="23">
        <f>59.66+52.23+114.99</f>
        <v>226.88</v>
      </c>
      <c r="U76" s="24"/>
      <c r="V76" s="25"/>
      <c r="W76" s="23">
        <f>58.3+114.99+52.23+97.26</f>
        <v>322.77999999999997</v>
      </c>
      <c r="X76" s="24"/>
      <c r="Y76" s="25"/>
      <c r="Z76" s="23">
        <f>52.23+114.47</f>
        <v>166.7</v>
      </c>
      <c r="AA76" s="24"/>
      <c r="AB76" s="25"/>
      <c r="AC76" s="23">
        <f>52.23+59.58+114.99+74.9</f>
        <v>301.70000000000005</v>
      </c>
      <c r="AD76" s="24"/>
      <c r="AE76" s="25"/>
      <c r="AF76" s="23">
        <f>52.23+114.99+177.57</f>
        <v>344.78999999999996</v>
      </c>
      <c r="AG76" s="24"/>
      <c r="AH76" s="25"/>
      <c r="AI76" s="31">
        <f t="shared" si="5"/>
        <v>2767.3100000000004</v>
      </c>
      <c r="AJ76" s="32"/>
      <c r="AK76" s="33"/>
      <c r="AL76" s="145">
        <f>AI76/AI103</f>
        <v>4.5971178884452154E-3</v>
      </c>
      <c r="AM76" s="146">
        <f>13234.67+AI76</f>
        <v>16001.98</v>
      </c>
      <c r="AN76" s="146"/>
    </row>
    <row r="77" spans="1:40" x14ac:dyDescent="0.25">
      <c r="A77" s="152" t="s">
        <v>78</v>
      </c>
      <c r="B77" s="144">
        <v>7492.77</v>
      </c>
      <c r="C77" s="144"/>
      <c r="D77" s="144"/>
      <c r="E77" s="23">
        <f>23+11.39+23+23+11.39</f>
        <v>91.78</v>
      </c>
      <c r="F77" s="24"/>
      <c r="G77" s="25"/>
      <c r="H77" s="23">
        <f>10.8+23+23+26.9</f>
        <v>83.699999999999989</v>
      </c>
      <c r="I77" s="24"/>
      <c r="J77" s="25"/>
      <c r="K77" s="23">
        <f>23+23</f>
        <v>46</v>
      </c>
      <c r="L77" s="24"/>
      <c r="M77" s="25"/>
      <c r="N77" s="23">
        <v>0</v>
      </c>
      <c r="O77" s="24"/>
      <c r="P77" s="25"/>
      <c r="Q77" s="23">
        <v>0</v>
      </c>
      <c r="R77" s="24"/>
      <c r="S77" s="25"/>
      <c r="T77" s="23">
        <v>0</v>
      </c>
      <c r="U77" s="24"/>
      <c r="V77" s="25"/>
      <c r="W77" s="23">
        <f>14.99</f>
        <v>14.99</v>
      </c>
      <c r="X77" s="24"/>
      <c r="Y77" s="25"/>
      <c r="Z77" s="23">
        <f>23</f>
        <v>23</v>
      </c>
      <c r="AA77" s="24"/>
      <c r="AB77" s="25"/>
      <c r="AC77" s="23">
        <f>23+23</f>
        <v>46</v>
      </c>
      <c r="AD77" s="24"/>
      <c r="AE77" s="25"/>
      <c r="AF77" s="23">
        <f>22+23</f>
        <v>45</v>
      </c>
      <c r="AG77" s="24"/>
      <c r="AH77" s="25"/>
      <c r="AI77" s="31">
        <f t="shared" si="5"/>
        <v>350.47</v>
      </c>
      <c r="AJ77" s="32"/>
      <c r="AK77" s="33"/>
      <c r="AL77" s="145">
        <f>AI77/AI103</f>
        <v>5.8220868148613442E-4</v>
      </c>
      <c r="AM77" s="146">
        <f>7492.77+AI77</f>
        <v>7843.2400000000007</v>
      </c>
      <c r="AN77" s="146"/>
    </row>
    <row r="78" spans="1:40" x14ac:dyDescent="0.25">
      <c r="A78" s="152" t="s">
        <v>79</v>
      </c>
      <c r="B78" s="144">
        <v>4171.6000000000004</v>
      </c>
      <c r="C78" s="144"/>
      <c r="D78" s="144"/>
      <c r="E78" s="23">
        <v>0</v>
      </c>
      <c r="F78" s="24"/>
      <c r="G78" s="25"/>
      <c r="H78" s="23">
        <v>0</v>
      </c>
      <c r="I78" s="24"/>
      <c r="J78" s="25"/>
      <c r="K78" s="23">
        <v>0</v>
      </c>
      <c r="L78" s="24"/>
      <c r="M78" s="25"/>
      <c r="N78" s="23">
        <v>0</v>
      </c>
      <c r="O78" s="24"/>
      <c r="P78" s="25"/>
      <c r="Q78" s="23">
        <v>0</v>
      </c>
      <c r="R78" s="24"/>
      <c r="S78" s="25"/>
      <c r="T78" s="23">
        <v>0</v>
      </c>
      <c r="U78" s="24"/>
      <c r="V78" s="25"/>
      <c r="W78" s="23">
        <v>0</v>
      </c>
      <c r="X78" s="24"/>
      <c r="Y78" s="25"/>
      <c r="Z78" s="23">
        <v>0</v>
      </c>
      <c r="AA78" s="24"/>
      <c r="AB78" s="25"/>
      <c r="AC78" s="23">
        <v>0</v>
      </c>
      <c r="AD78" s="24"/>
      <c r="AE78" s="25"/>
      <c r="AF78" s="23">
        <v>0</v>
      </c>
      <c r="AG78" s="24"/>
      <c r="AH78" s="25"/>
      <c r="AI78" s="31">
        <f t="shared" si="5"/>
        <v>0</v>
      </c>
      <c r="AJ78" s="32"/>
      <c r="AK78" s="33"/>
      <c r="AL78" s="145">
        <f>AI78/AI103</f>
        <v>0</v>
      </c>
      <c r="AM78" s="146">
        <f>4171.6+AI78</f>
        <v>4171.6000000000004</v>
      </c>
      <c r="AN78" s="146"/>
    </row>
    <row r="79" spans="1:40" x14ac:dyDescent="0.25">
      <c r="A79" s="152" t="s">
        <v>80</v>
      </c>
      <c r="B79" s="144">
        <v>3563.88</v>
      </c>
      <c r="C79" s="144"/>
      <c r="D79" s="144"/>
      <c r="E79" s="23">
        <f>4.99+32.58+19.77+100</f>
        <v>157.34</v>
      </c>
      <c r="F79" s="24"/>
      <c r="G79" s="25"/>
      <c r="H79" s="23">
        <f>27.9</f>
        <v>27.9</v>
      </c>
      <c r="I79" s="24"/>
      <c r="J79" s="25"/>
      <c r="K79" s="23">
        <v>0</v>
      </c>
      <c r="L79" s="24"/>
      <c r="M79" s="25"/>
      <c r="N79" s="23">
        <v>0</v>
      </c>
      <c r="O79" s="24"/>
      <c r="P79" s="25"/>
      <c r="Q79" s="23">
        <v>0</v>
      </c>
      <c r="R79" s="24"/>
      <c r="S79" s="25"/>
      <c r="T79" s="23">
        <v>0</v>
      </c>
      <c r="U79" s="24"/>
      <c r="V79" s="25"/>
      <c r="W79" s="23">
        <v>0</v>
      </c>
      <c r="X79" s="24"/>
      <c r="Y79" s="25"/>
      <c r="Z79" s="23">
        <v>0</v>
      </c>
      <c r="AA79" s="24"/>
      <c r="AB79" s="25"/>
      <c r="AC79" s="23">
        <f>100</f>
        <v>100</v>
      </c>
      <c r="AD79" s="24"/>
      <c r="AE79" s="25"/>
      <c r="AF79" s="23">
        <v>0</v>
      </c>
      <c r="AG79" s="24"/>
      <c r="AH79" s="25"/>
      <c r="AI79" s="31">
        <f t="shared" si="5"/>
        <v>285.24</v>
      </c>
      <c r="AJ79" s="32"/>
      <c r="AK79" s="33"/>
      <c r="AL79" s="145">
        <f>AI79/AI103</f>
        <v>4.7384713187178634E-4</v>
      </c>
      <c r="AM79" s="146">
        <f>3563.88+AI79</f>
        <v>3849.12</v>
      </c>
      <c r="AN79" s="146"/>
    </row>
    <row r="80" spans="1:40" x14ac:dyDescent="0.25">
      <c r="A80" s="152" t="s">
        <v>81</v>
      </c>
      <c r="B80" s="31">
        <v>0</v>
      </c>
      <c r="C80" s="32"/>
      <c r="D80" s="33"/>
      <c r="E80" s="23">
        <f>2359.55</f>
        <v>2359.5500000000002</v>
      </c>
      <c r="F80" s="24"/>
      <c r="G80" s="25"/>
      <c r="H80" s="23">
        <v>0</v>
      </c>
      <c r="I80" s="24"/>
      <c r="J80" s="25"/>
      <c r="K80" s="23">
        <v>0</v>
      </c>
      <c r="L80" s="24"/>
      <c r="M80" s="25"/>
      <c r="N80" s="23">
        <v>0</v>
      </c>
      <c r="O80" s="24"/>
      <c r="P80" s="25"/>
      <c r="Q80" s="23">
        <v>0</v>
      </c>
      <c r="R80" s="24"/>
      <c r="S80" s="25"/>
      <c r="T80" s="23">
        <v>0</v>
      </c>
      <c r="U80" s="24"/>
      <c r="V80" s="25"/>
      <c r="W80" s="23">
        <v>0</v>
      </c>
      <c r="X80" s="24"/>
      <c r="Y80" s="25"/>
      <c r="Z80" s="23">
        <v>0</v>
      </c>
      <c r="AA80" s="24"/>
      <c r="AB80" s="25"/>
      <c r="AC80" s="23">
        <v>0</v>
      </c>
      <c r="AD80" s="24"/>
      <c r="AE80" s="25"/>
      <c r="AF80" s="23">
        <v>0</v>
      </c>
      <c r="AG80" s="24"/>
      <c r="AH80" s="25"/>
      <c r="AI80" s="31">
        <f t="shared" si="5"/>
        <v>2359.5500000000002</v>
      </c>
      <c r="AJ80" s="32"/>
      <c r="AK80" s="33"/>
      <c r="AL80" s="145">
        <f>AI80/AI103</f>
        <v>3.9197377647176889E-3</v>
      </c>
      <c r="AM80" s="146">
        <f>0+AI80</f>
        <v>2359.5500000000002</v>
      </c>
      <c r="AN80" s="146"/>
    </row>
    <row r="81" spans="1:40" x14ac:dyDescent="0.25">
      <c r="A81" s="152" t="s">
        <v>82</v>
      </c>
      <c r="B81" s="144">
        <v>2056.7600000000002</v>
      </c>
      <c r="C81" s="144"/>
      <c r="D81" s="144"/>
      <c r="E81" s="23">
        <v>0</v>
      </c>
      <c r="F81" s="24"/>
      <c r="G81" s="25"/>
      <c r="H81" s="23">
        <v>0</v>
      </c>
      <c r="I81" s="24"/>
      <c r="J81" s="25"/>
      <c r="K81" s="23">
        <v>0</v>
      </c>
      <c r="L81" s="24"/>
      <c r="M81" s="25"/>
      <c r="N81" s="23">
        <v>0</v>
      </c>
      <c r="O81" s="24"/>
      <c r="P81" s="25"/>
      <c r="Q81" s="23">
        <v>0</v>
      </c>
      <c r="R81" s="24"/>
      <c r="S81" s="25"/>
      <c r="T81" s="23">
        <v>0</v>
      </c>
      <c r="U81" s="24"/>
      <c r="V81" s="25"/>
      <c r="W81" s="23">
        <v>0</v>
      </c>
      <c r="X81" s="24"/>
      <c r="Y81" s="25"/>
      <c r="Z81" s="23">
        <v>0</v>
      </c>
      <c r="AA81" s="24"/>
      <c r="AB81" s="25"/>
      <c r="AC81" s="23">
        <v>0</v>
      </c>
      <c r="AD81" s="24"/>
      <c r="AE81" s="25"/>
      <c r="AF81" s="23">
        <v>0</v>
      </c>
      <c r="AG81" s="24"/>
      <c r="AH81" s="25"/>
      <c r="AI81" s="31">
        <f t="shared" si="5"/>
        <v>0</v>
      </c>
      <c r="AJ81" s="32"/>
      <c r="AK81" s="33"/>
      <c r="AL81" s="145">
        <f>AI81/AI103</f>
        <v>0</v>
      </c>
      <c r="AM81" s="146">
        <f>2056.76+AI81</f>
        <v>2056.7600000000002</v>
      </c>
      <c r="AN81" s="146"/>
    </row>
    <row r="82" spans="1:40" x14ac:dyDescent="0.25">
      <c r="A82" s="152" t="s">
        <v>83</v>
      </c>
      <c r="B82" s="144">
        <v>147202.01999999999</v>
      </c>
      <c r="C82" s="144"/>
      <c r="D82" s="144"/>
      <c r="E82" s="23">
        <f>1386.11+400</f>
        <v>1786.11</v>
      </c>
      <c r="F82" s="24"/>
      <c r="G82" s="25"/>
      <c r="H82" s="23">
        <f>600+1904.25+2113.13</f>
        <v>4617.38</v>
      </c>
      <c r="I82" s="24"/>
      <c r="J82" s="25"/>
      <c r="K82" s="23">
        <f>600+2242.97+2528.19</f>
        <v>5371.16</v>
      </c>
      <c r="L82" s="24"/>
      <c r="M82" s="25"/>
      <c r="N82" s="23">
        <f>600+2571.62+2246.21</f>
        <v>5417.83</v>
      </c>
      <c r="O82" s="24"/>
      <c r="P82" s="25"/>
      <c r="Q82" s="23">
        <f>600+2654.97+2246.21</f>
        <v>5501.18</v>
      </c>
      <c r="R82" s="24"/>
      <c r="S82" s="25"/>
      <c r="T82" s="23">
        <f>600+2759.14+2246.23</f>
        <v>5605.37</v>
      </c>
      <c r="U82" s="24"/>
      <c r="V82" s="25"/>
      <c r="W82" s="23">
        <f>2759.14+2441.19+600+1280.38</f>
        <v>7080.71</v>
      </c>
      <c r="X82" s="24"/>
      <c r="Y82" s="25"/>
      <c r="Z82" s="23">
        <f>600+1876.62+2246.23</f>
        <v>4722.8500000000004</v>
      </c>
      <c r="AA82" s="24"/>
      <c r="AB82" s="25"/>
      <c r="AC82" s="23">
        <f>600+2759.14+2246.23</f>
        <v>5605.37</v>
      </c>
      <c r="AD82" s="24"/>
      <c r="AE82" s="25"/>
      <c r="AF82" s="23">
        <f>600+2999.19+2285.84</f>
        <v>5885.0300000000007</v>
      </c>
      <c r="AG82" s="24"/>
      <c r="AH82" s="25"/>
      <c r="AI82" s="31">
        <f t="shared" si="5"/>
        <v>51592.99</v>
      </c>
      <c r="AJ82" s="32"/>
      <c r="AK82" s="33"/>
      <c r="AL82" s="145">
        <f>AI82/AI103</f>
        <v>8.570744052794052E-2</v>
      </c>
      <c r="AM82" s="146">
        <f>147202.02+AI82</f>
        <v>198795.00999999998</v>
      </c>
      <c r="AN82" s="146"/>
    </row>
    <row r="83" spans="1:40" x14ac:dyDescent="0.25">
      <c r="A83" s="152" t="s">
        <v>84</v>
      </c>
      <c r="B83" s="144">
        <v>119812.42</v>
      </c>
      <c r="C83" s="144"/>
      <c r="D83" s="144"/>
      <c r="E83" s="23">
        <f>35+47+47+14.1+94+488.27+380.7+503+47.63+66.81+66.81+31.4+45.25+47.63+1493.53+1493.53+78.96</f>
        <v>4980.62</v>
      </c>
      <c r="F83" s="24"/>
      <c r="G83" s="25"/>
      <c r="H83" s="23">
        <f>183.3+201.63+528+606.3+21.12</f>
        <v>1540.35</v>
      </c>
      <c r="I83" s="24"/>
      <c r="J83" s="25"/>
      <c r="K83" s="23">
        <f>184.98+532+449.62+93.29+61.2+371.3+677+1537.6</f>
        <v>3906.99</v>
      </c>
      <c r="L83" s="24"/>
      <c r="M83" s="25"/>
      <c r="N83" s="23">
        <f>449.62+97.24+1754.17+61.2+677</f>
        <v>3039.23</v>
      </c>
      <c r="O83" s="24"/>
      <c r="P83" s="25"/>
      <c r="Q83" s="23">
        <f>449.62+97.24+56.2+1754.17+709</f>
        <v>3066.23</v>
      </c>
      <c r="R83" s="24"/>
      <c r="S83" s="25"/>
      <c r="T83" s="23">
        <f>449.62+1854.14+549</f>
        <v>2852.76</v>
      </c>
      <c r="U83" s="24"/>
      <c r="V83" s="25"/>
      <c r="W83" s="23">
        <f>58.59+113.06+449.62+19.16+1835.58+699</f>
        <v>3175.0099999999998</v>
      </c>
      <c r="X83" s="24"/>
      <c r="Y83" s="25"/>
      <c r="Z83" s="23">
        <f>480.15+27.75+60.01+1891.33+108.1+699</f>
        <v>3266.3399999999997</v>
      </c>
      <c r="AA83" s="24"/>
      <c r="AB83" s="25"/>
      <c r="AC83" s="23">
        <f>449.62+500+97.25+2007.05+699+399.5+56.2</f>
        <v>4208.62</v>
      </c>
      <c r="AD83" s="24"/>
      <c r="AE83" s="25"/>
      <c r="AF83" s="23">
        <f>479.76+2158.5+815.4+568.7</f>
        <v>4022.3600000000006</v>
      </c>
      <c r="AG83" s="24"/>
      <c r="AH83" s="25"/>
      <c r="AI83" s="31">
        <f t="shared" si="5"/>
        <v>34058.509999999995</v>
      </c>
      <c r="AJ83" s="32"/>
      <c r="AK83" s="33"/>
      <c r="AL83" s="145">
        <f>AI83/AI103</f>
        <v>5.6578766229584042E-2</v>
      </c>
      <c r="AM83" s="146">
        <f>119812.42+AI83</f>
        <v>153870.93</v>
      </c>
      <c r="AN83" s="146"/>
    </row>
    <row r="84" spans="1:40" x14ac:dyDescent="0.25">
      <c r="A84" s="133" t="s">
        <v>85</v>
      </c>
      <c r="B84" s="134">
        <f>SUM(B85:D89)</f>
        <v>21260.080000000002</v>
      </c>
      <c r="C84" s="134"/>
      <c r="D84" s="134"/>
      <c r="E84" s="135">
        <f>SUM(E85:G89)</f>
        <v>189.5</v>
      </c>
      <c r="F84" s="136"/>
      <c r="G84" s="137"/>
      <c r="H84" s="135">
        <f>SUM(H85:J89)</f>
        <v>34</v>
      </c>
      <c r="I84" s="136"/>
      <c r="J84" s="137"/>
      <c r="K84" s="135">
        <f>SUM(K85:M89)</f>
        <v>165.2</v>
      </c>
      <c r="L84" s="136"/>
      <c r="M84" s="137"/>
      <c r="N84" s="135">
        <f>SUM(N85:P89)</f>
        <v>0</v>
      </c>
      <c r="O84" s="136"/>
      <c r="P84" s="137"/>
      <c r="Q84" s="135">
        <f>SUM(Q85:S89)</f>
        <v>174.45999999999998</v>
      </c>
      <c r="R84" s="136"/>
      <c r="S84" s="137"/>
      <c r="T84" s="135">
        <f>SUM(T85:V89)</f>
        <v>237.11</v>
      </c>
      <c r="U84" s="136"/>
      <c r="V84" s="137"/>
      <c r="W84" s="135">
        <f>SUM(W85:Y89)</f>
        <v>116.2</v>
      </c>
      <c r="X84" s="136"/>
      <c r="Y84" s="137"/>
      <c r="Z84" s="135">
        <f>SUM(Z85:AB89)</f>
        <v>285.23</v>
      </c>
      <c r="AA84" s="136"/>
      <c r="AB84" s="137"/>
      <c r="AC84" s="135">
        <f>SUM(AC85:AE89)</f>
        <v>67.099999999999994</v>
      </c>
      <c r="AD84" s="136"/>
      <c r="AE84" s="137"/>
      <c r="AF84" s="135">
        <f>SUM(AF85:AH89)</f>
        <v>17</v>
      </c>
      <c r="AG84" s="136"/>
      <c r="AH84" s="137"/>
      <c r="AI84" s="138">
        <f>SUM(AI85:AK89)</f>
        <v>1285.7999999999997</v>
      </c>
      <c r="AJ84" s="139"/>
      <c r="AK84" s="140"/>
      <c r="AL84" s="141">
        <f>AI84/AI103</f>
        <v>2.1360000075751743E-3</v>
      </c>
      <c r="AM84" s="142">
        <f>SUM(AM85:AN89)</f>
        <v>22545.88</v>
      </c>
      <c r="AN84" s="142"/>
    </row>
    <row r="85" spans="1:40" x14ac:dyDescent="0.25">
      <c r="A85" s="143" t="s">
        <v>86</v>
      </c>
      <c r="B85" s="144">
        <v>4832.0600000000004</v>
      </c>
      <c r="C85" s="144"/>
      <c r="D85" s="144"/>
      <c r="E85" s="23">
        <v>0</v>
      </c>
      <c r="F85" s="24"/>
      <c r="G85" s="25"/>
      <c r="H85" s="23">
        <v>0</v>
      </c>
      <c r="I85" s="24"/>
      <c r="J85" s="25"/>
      <c r="K85" s="23">
        <v>0</v>
      </c>
      <c r="L85" s="24"/>
      <c r="M85" s="25"/>
      <c r="N85" s="23">
        <v>0</v>
      </c>
      <c r="O85" s="24"/>
      <c r="P85" s="25"/>
      <c r="Q85" s="23">
        <v>0</v>
      </c>
      <c r="R85" s="24"/>
      <c r="S85" s="25"/>
      <c r="T85" s="23">
        <v>0</v>
      </c>
      <c r="U85" s="24"/>
      <c r="V85" s="25"/>
      <c r="W85" s="23">
        <v>0</v>
      </c>
      <c r="X85" s="24"/>
      <c r="Y85" s="25"/>
      <c r="Z85" s="23">
        <v>0</v>
      </c>
      <c r="AA85" s="24"/>
      <c r="AB85" s="25"/>
      <c r="AC85" s="23">
        <v>0</v>
      </c>
      <c r="AD85" s="24"/>
      <c r="AE85" s="25"/>
      <c r="AF85" s="23">
        <v>0</v>
      </c>
      <c r="AG85" s="24"/>
      <c r="AH85" s="25"/>
      <c r="AI85" s="31">
        <f>0+E85+H85+K85+N85+Q85+T85+W85+Z85+AC85+AF85</f>
        <v>0</v>
      </c>
      <c r="AJ85" s="32"/>
      <c r="AK85" s="33"/>
      <c r="AL85" s="145">
        <f>AI85/AI103</f>
        <v>0</v>
      </c>
      <c r="AM85" s="146">
        <f>4832.06+AI85</f>
        <v>4832.0600000000004</v>
      </c>
      <c r="AN85" s="146"/>
    </row>
    <row r="86" spans="1:40" x14ac:dyDescent="0.25">
      <c r="A86" s="143" t="s">
        <v>87</v>
      </c>
      <c r="B86" s="31">
        <v>0</v>
      </c>
      <c r="C86" s="32"/>
      <c r="D86" s="33"/>
      <c r="E86" s="23">
        <v>0</v>
      </c>
      <c r="F86" s="24"/>
      <c r="G86" s="25"/>
      <c r="H86" s="23">
        <v>0</v>
      </c>
      <c r="I86" s="24"/>
      <c r="J86" s="25"/>
      <c r="K86" s="23">
        <v>0</v>
      </c>
      <c r="L86" s="24"/>
      <c r="M86" s="25"/>
      <c r="N86" s="23">
        <v>0</v>
      </c>
      <c r="O86" s="24"/>
      <c r="P86" s="25"/>
      <c r="Q86" s="23">
        <v>0</v>
      </c>
      <c r="R86" s="24"/>
      <c r="S86" s="25"/>
      <c r="T86" s="23">
        <v>0</v>
      </c>
      <c r="U86" s="24"/>
      <c r="V86" s="25"/>
      <c r="W86" s="23">
        <v>0</v>
      </c>
      <c r="X86" s="24"/>
      <c r="Y86" s="25"/>
      <c r="Z86" s="23">
        <v>0</v>
      </c>
      <c r="AA86" s="24"/>
      <c r="AB86" s="25"/>
      <c r="AC86" s="23">
        <v>0</v>
      </c>
      <c r="AD86" s="24"/>
      <c r="AE86" s="25"/>
      <c r="AF86" s="23">
        <v>0</v>
      </c>
      <c r="AG86" s="24"/>
      <c r="AH86" s="25"/>
      <c r="AI86" s="31">
        <f t="shared" ref="AI86:AI89" si="6">0+E86+H86+K86+N86+Q86+T86+W86+Z86+AC86+AF86</f>
        <v>0</v>
      </c>
      <c r="AJ86" s="32"/>
      <c r="AK86" s="33"/>
      <c r="AL86" s="145">
        <f>AI86/AI103</f>
        <v>0</v>
      </c>
      <c r="AM86" s="146">
        <f>0+AI86</f>
        <v>0</v>
      </c>
      <c r="AN86" s="146"/>
    </row>
    <row r="87" spans="1:40" x14ac:dyDescent="0.25">
      <c r="A87" s="143" t="s">
        <v>88</v>
      </c>
      <c r="B87" s="31">
        <v>1100</v>
      </c>
      <c r="C87" s="32"/>
      <c r="D87" s="33"/>
      <c r="E87" s="23">
        <f>17</f>
        <v>17</v>
      </c>
      <c r="F87" s="24"/>
      <c r="G87" s="25"/>
      <c r="H87" s="23">
        <f>17+17</f>
        <v>34</v>
      </c>
      <c r="I87" s="24"/>
      <c r="J87" s="25"/>
      <c r="K87" s="23">
        <f>17+27</f>
        <v>44</v>
      </c>
      <c r="L87" s="24"/>
      <c r="M87" s="25"/>
      <c r="N87" s="23">
        <v>0</v>
      </c>
      <c r="O87" s="24"/>
      <c r="P87" s="25"/>
      <c r="Q87" s="23">
        <f>17+15</f>
        <v>32</v>
      </c>
      <c r="R87" s="24"/>
      <c r="S87" s="25"/>
      <c r="T87" s="23">
        <f>17+15+31.04+29.71+17.66</f>
        <v>110.41</v>
      </c>
      <c r="U87" s="24"/>
      <c r="V87" s="25"/>
      <c r="W87" s="23">
        <f>15+17</f>
        <v>32</v>
      </c>
      <c r="X87" s="24"/>
      <c r="Y87" s="25"/>
      <c r="Z87" s="23">
        <f>17+14</f>
        <v>31</v>
      </c>
      <c r="AA87" s="24"/>
      <c r="AB87" s="25"/>
      <c r="AC87" s="23">
        <f>17+15</f>
        <v>32</v>
      </c>
      <c r="AD87" s="24"/>
      <c r="AE87" s="25"/>
      <c r="AF87" s="23">
        <f>17</f>
        <v>17</v>
      </c>
      <c r="AG87" s="24"/>
      <c r="AH87" s="25"/>
      <c r="AI87" s="31">
        <f t="shared" si="6"/>
        <v>349.40999999999997</v>
      </c>
      <c r="AJ87" s="32"/>
      <c r="AK87" s="33"/>
      <c r="AL87" s="145">
        <f>AI87/AI103</f>
        <v>5.804477855396187E-4</v>
      </c>
      <c r="AM87" s="146">
        <f>1100+AI87</f>
        <v>1449.4099999999999</v>
      </c>
      <c r="AN87" s="146"/>
    </row>
    <row r="88" spans="1:40" x14ac:dyDescent="0.25">
      <c r="A88" s="143" t="s">
        <v>89</v>
      </c>
      <c r="B88" s="31">
        <v>14793.96</v>
      </c>
      <c r="C88" s="32"/>
      <c r="D88" s="33"/>
      <c r="E88" s="23">
        <f>35.1+107.4</f>
        <v>142.5</v>
      </c>
      <c r="F88" s="24"/>
      <c r="G88" s="25"/>
      <c r="H88" s="23">
        <v>0</v>
      </c>
      <c r="I88" s="24"/>
      <c r="J88" s="25"/>
      <c r="K88" s="23">
        <f>44.3+35.1</f>
        <v>79.400000000000006</v>
      </c>
      <c r="L88" s="24"/>
      <c r="M88" s="25"/>
      <c r="N88" s="23">
        <v>0</v>
      </c>
      <c r="O88" s="24"/>
      <c r="P88" s="25"/>
      <c r="Q88" s="23">
        <f>9.2+35.1+38.2</f>
        <v>82.5</v>
      </c>
      <c r="R88" s="24"/>
      <c r="S88" s="25"/>
      <c r="T88" s="23">
        <f>45.8+80.9</f>
        <v>126.7</v>
      </c>
      <c r="U88" s="24"/>
      <c r="V88" s="25"/>
      <c r="W88" s="23">
        <f>49.1+35.1</f>
        <v>84.2</v>
      </c>
      <c r="X88" s="24"/>
      <c r="Y88" s="25"/>
      <c r="Z88" s="23">
        <f>74.1+35.1+12.85+70.2+20.35</f>
        <v>212.6</v>
      </c>
      <c r="AA88" s="24"/>
      <c r="AB88" s="25"/>
      <c r="AC88" s="23">
        <f>35.1</f>
        <v>35.1</v>
      </c>
      <c r="AD88" s="24"/>
      <c r="AE88" s="25"/>
      <c r="AF88" s="23">
        <v>0</v>
      </c>
      <c r="AG88" s="24"/>
      <c r="AH88" s="25"/>
      <c r="AI88" s="31">
        <f t="shared" si="6"/>
        <v>763</v>
      </c>
      <c r="AJ88" s="32"/>
      <c r="AK88" s="33"/>
      <c r="AL88" s="145">
        <f>AI88/AI103</f>
        <v>1.2675128369729807E-3</v>
      </c>
      <c r="AM88" s="146">
        <f>14793.96+AI88</f>
        <v>15556.96</v>
      </c>
      <c r="AN88" s="146"/>
    </row>
    <row r="89" spans="1:40" x14ac:dyDescent="0.25">
      <c r="A89" s="143" t="s">
        <v>90</v>
      </c>
      <c r="B89" s="31">
        <v>534.05999999999995</v>
      </c>
      <c r="C89" s="32"/>
      <c r="D89" s="33"/>
      <c r="E89" s="23">
        <f>16+14</f>
        <v>30</v>
      </c>
      <c r="F89" s="24"/>
      <c r="G89" s="25"/>
      <c r="H89" s="23">
        <v>0</v>
      </c>
      <c r="I89" s="24"/>
      <c r="J89" s="25"/>
      <c r="K89" s="23">
        <f>11.6+15.2+15</f>
        <v>41.8</v>
      </c>
      <c r="L89" s="24"/>
      <c r="M89" s="25"/>
      <c r="N89" s="23">
        <v>0</v>
      </c>
      <c r="O89" s="24"/>
      <c r="P89" s="25"/>
      <c r="Q89" s="23">
        <f>11+15.3+33.66</f>
        <v>59.959999999999994</v>
      </c>
      <c r="R89" s="24"/>
      <c r="S89" s="25"/>
      <c r="T89" s="23">
        <v>0</v>
      </c>
      <c r="U89" s="24"/>
      <c r="V89" s="25"/>
      <c r="W89" s="23">
        <v>0</v>
      </c>
      <c r="X89" s="24"/>
      <c r="Y89" s="25"/>
      <c r="Z89" s="23">
        <f>33.23+8.4</f>
        <v>41.629999999999995</v>
      </c>
      <c r="AA89" s="24"/>
      <c r="AB89" s="25"/>
      <c r="AC89" s="23">
        <v>0</v>
      </c>
      <c r="AD89" s="24"/>
      <c r="AE89" s="25"/>
      <c r="AF89" s="23">
        <v>0</v>
      </c>
      <c r="AG89" s="24"/>
      <c r="AH89" s="25"/>
      <c r="AI89" s="31">
        <f t="shared" si="6"/>
        <v>173.39</v>
      </c>
      <c r="AJ89" s="32"/>
      <c r="AK89" s="33"/>
      <c r="AL89" s="145">
        <f>AI89/AI103</f>
        <v>2.8803938506257549E-4</v>
      </c>
      <c r="AM89" s="146">
        <f>534.06+AI89</f>
        <v>707.44999999999993</v>
      </c>
      <c r="AN89" s="146"/>
    </row>
    <row r="90" spans="1:40" x14ac:dyDescent="0.25">
      <c r="A90" s="133" t="s">
        <v>91</v>
      </c>
      <c r="B90" s="138">
        <f>SUM(B91:D94)</f>
        <v>273602.88</v>
      </c>
      <c r="C90" s="139"/>
      <c r="D90" s="140"/>
      <c r="E90" s="135">
        <f>SUM(E91:G94)</f>
        <v>10089.06</v>
      </c>
      <c r="F90" s="136"/>
      <c r="G90" s="137"/>
      <c r="H90" s="135">
        <f t="shared" ref="H90" si="7">SUM(H91:J94)</f>
        <v>200</v>
      </c>
      <c r="I90" s="136"/>
      <c r="J90" s="137"/>
      <c r="K90" s="135">
        <f t="shared" ref="K90" si="8">SUM(K91:M94)</f>
        <v>300</v>
      </c>
      <c r="L90" s="136"/>
      <c r="M90" s="137"/>
      <c r="N90" s="135">
        <f t="shared" ref="N90" si="9">SUM(N91:P94)</f>
        <v>0</v>
      </c>
      <c r="O90" s="136"/>
      <c r="P90" s="137"/>
      <c r="Q90" s="135">
        <f t="shared" ref="Q90" si="10">SUM(Q91:S94)</f>
        <v>5783.0499999999993</v>
      </c>
      <c r="R90" s="136"/>
      <c r="S90" s="137"/>
      <c r="T90" s="135">
        <f t="shared" ref="T90" si="11">SUM(T91:V94)</f>
        <v>0</v>
      </c>
      <c r="U90" s="136"/>
      <c r="V90" s="137"/>
      <c r="W90" s="135">
        <f t="shared" ref="W90" si="12">SUM(W91:Y94)</f>
        <v>0</v>
      </c>
      <c r="X90" s="136"/>
      <c r="Y90" s="137"/>
      <c r="Z90" s="135">
        <f t="shared" ref="Z90" si="13">SUM(Z91:AB94)</f>
        <v>461</v>
      </c>
      <c r="AA90" s="136"/>
      <c r="AB90" s="137"/>
      <c r="AC90" s="135">
        <f t="shared" ref="AC90" si="14">SUM(AC91:AE94)</f>
        <v>0</v>
      </c>
      <c r="AD90" s="136"/>
      <c r="AE90" s="137"/>
      <c r="AF90" s="135">
        <f t="shared" ref="AF90" si="15">SUM(AF91:AH94)</f>
        <v>0</v>
      </c>
      <c r="AG90" s="136"/>
      <c r="AH90" s="137"/>
      <c r="AI90" s="138">
        <f>SUM(AI91:AK94)</f>
        <v>16833.11</v>
      </c>
      <c r="AJ90" s="139"/>
      <c r="AK90" s="140"/>
      <c r="AL90" s="141">
        <f>AI90/AI103</f>
        <v>2.7963542609670052E-2</v>
      </c>
      <c r="AM90" s="142">
        <f>SUM(AM91:AN94)</f>
        <v>290435.99</v>
      </c>
      <c r="AN90" s="142"/>
    </row>
    <row r="91" spans="1:40" x14ac:dyDescent="0.25">
      <c r="A91" s="143" t="s">
        <v>92</v>
      </c>
      <c r="B91" s="31">
        <f>93359.5</f>
        <v>93359.5</v>
      </c>
      <c r="C91" s="32"/>
      <c r="D91" s="33"/>
      <c r="E91" s="23">
        <f>9027.03+667.8</f>
        <v>9694.83</v>
      </c>
      <c r="F91" s="24"/>
      <c r="G91" s="25"/>
      <c r="H91" s="23">
        <v>0</v>
      </c>
      <c r="I91" s="24"/>
      <c r="J91" s="25"/>
      <c r="K91" s="23">
        <v>0</v>
      </c>
      <c r="L91" s="24"/>
      <c r="M91" s="25"/>
      <c r="N91" s="23">
        <v>0</v>
      </c>
      <c r="O91" s="24"/>
      <c r="P91" s="25"/>
      <c r="Q91" s="23">
        <f>4279.9+1503.15</f>
        <v>5783.0499999999993</v>
      </c>
      <c r="R91" s="24"/>
      <c r="S91" s="25"/>
      <c r="T91" s="23">
        <v>0</v>
      </c>
      <c r="U91" s="24"/>
      <c r="V91" s="25"/>
      <c r="W91" s="23">
        <v>0</v>
      </c>
      <c r="X91" s="24"/>
      <c r="Y91" s="25"/>
      <c r="Z91" s="23">
        <f>200+201</f>
        <v>401</v>
      </c>
      <c r="AA91" s="24"/>
      <c r="AB91" s="25"/>
      <c r="AC91" s="23">
        <v>0</v>
      </c>
      <c r="AD91" s="24"/>
      <c r="AE91" s="25"/>
      <c r="AF91" s="23">
        <v>0</v>
      </c>
      <c r="AG91" s="24"/>
      <c r="AH91" s="25"/>
      <c r="AI91" s="31">
        <f>0+E91+H91+K91+N91+Q91+T91+W91+Z91+AC91+AF91</f>
        <v>15878.88</v>
      </c>
      <c r="AJ91" s="32"/>
      <c r="AK91" s="33"/>
      <c r="AL91" s="145">
        <f>AI91/AI103</f>
        <v>2.6378354176610119E-2</v>
      </c>
      <c r="AM91" s="146">
        <f>93359.5+AI91</f>
        <v>109238.38</v>
      </c>
      <c r="AN91" s="146"/>
    </row>
    <row r="92" spans="1:40" x14ac:dyDescent="0.25">
      <c r="A92" s="143" t="s">
        <v>93</v>
      </c>
      <c r="B92" s="31">
        <v>1000</v>
      </c>
      <c r="C92" s="32"/>
      <c r="D92" s="33"/>
      <c r="E92" s="23">
        <v>0</v>
      </c>
      <c r="F92" s="24"/>
      <c r="G92" s="25"/>
      <c r="H92" s="23">
        <f>200</f>
        <v>200</v>
      </c>
      <c r="I92" s="24"/>
      <c r="J92" s="25"/>
      <c r="K92" s="23">
        <v>0</v>
      </c>
      <c r="L92" s="24"/>
      <c r="M92" s="25"/>
      <c r="N92" s="23">
        <v>0</v>
      </c>
      <c r="O92" s="24"/>
      <c r="P92" s="25"/>
      <c r="Q92" s="23">
        <v>0</v>
      </c>
      <c r="R92" s="24"/>
      <c r="S92" s="25"/>
      <c r="T92" s="23">
        <v>0</v>
      </c>
      <c r="U92" s="24"/>
      <c r="V92" s="25"/>
      <c r="W92" s="23">
        <v>0</v>
      </c>
      <c r="X92" s="24"/>
      <c r="Y92" s="25"/>
      <c r="Z92" s="23">
        <v>0</v>
      </c>
      <c r="AA92" s="24"/>
      <c r="AB92" s="25"/>
      <c r="AC92" s="23">
        <v>0</v>
      </c>
      <c r="AD92" s="24"/>
      <c r="AE92" s="25"/>
      <c r="AF92" s="23">
        <v>0</v>
      </c>
      <c r="AG92" s="24"/>
      <c r="AH92" s="25"/>
      <c r="AI92" s="31">
        <f t="shared" ref="AI92:AI94" si="16">0+E92+H92+K92+N92+Q92+T92+W92+Z92+AC92+AF92</f>
        <v>200</v>
      </c>
      <c r="AJ92" s="32"/>
      <c r="AK92" s="33"/>
      <c r="AL92" s="145">
        <f>AI92/AI103</f>
        <v>3.3224451821047983E-4</v>
      </c>
      <c r="AM92" s="146">
        <f>1000+AI92</f>
        <v>1200</v>
      </c>
      <c r="AN92" s="146"/>
    </row>
    <row r="93" spans="1:40" x14ac:dyDescent="0.25">
      <c r="A93" s="143" t="s">
        <v>94</v>
      </c>
      <c r="B93" s="31">
        <v>179183.38</v>
      </c>
      <c r="C93" s="32"/>
      <c r="D93" s="33"/>
      <c r="E93" s="23">
        <f>20+20+20+20+20+20+100+174.23</f>
        <v>394.23</v>
      </c>
      <c r="F93" s="24"/>
      <c r="G93" s="25"/>
      <c r="H93" s="23">
        <v>0</v>
      </c>
      <c r="I93" s="24"/>
      <c r="J93" s="25"/>
      <c r="K93" s="23">
        <f>120+180</f>
        <v>300</v>
      </c>
      <c r="L93" s="24"/>
      <c r="M93" s="25"/>
      <c r="N93" s="23">
        <v>0</v>
      </c>
      <c r="O93" s="24"/>
      <c r="P93" s="25"/>
      <c r="Q93" s="23">
        <v>0</v>
      </c>
      <c r="R93" s="24"/>
      <c r="S93" s="25"/>
      <c r="T93" s="23">
        <v>0</v>
      </c>
      <c r="U93" s="24"/>
      <c r="V93" s="25"/>
      <c r="W93" s="23">
        <v>0</v>
      </c>
      <c r="X93" s="24"/>
      <c r="Y93" s="25"/>
      <c r="Z93" s="23">
        <v>0</v>
      </c>
      <c r="AA93" s="24"/>
      <c r="AB93" s="25"/>
      <c r="AC93" s="23">
        <v>0</v>
      </c>
      <c r="AD93" s="24"/>
      <c r="AE93" s="25"/>
      <c r="AF93" s="23">
        <v>0</v>
      </c>
      <c r="AG93" s="24"/>
      <c r="AH93" s="25"/>
      <c r="AI93" s="31">
        <f t="shared" si="16"/>
        <v>694.23</v>
      </c>
      <c r="AJ93" s="32"/>
      <c r="AK93" s="33"/>
      <c r="AL93" s="145">
        <f>AI93/AI103</f>
        <v>1.1532705593863071E-3</v>
      </c>
      <c r="AM93" s="146">
        <f>179183.38+AI93</f>
        <v>179877.61000000002</v>
      </c>
      <c r="AN93" s="146"/>
    </row>
    <row r="94" spans="1:40" x14ac:dyDescent="0.25">
      <c r="A94" s="143" t="s">
        <v>95</v>
      </c>
      <c r="B94" s="31">
        <v>60</v>
      </c>
      <c r="C94" s="32"/>
      <c r="D94" s="33"/>
      <c r="E94" s="23">
        <v>0</v>
      </c>
      <c r="F94" s="24"/>
      <c r="G94" s="25"/>
      <c r="H94" s="23">
        <v>0</v>
      </c>
      <c r="I94" s="24"/>
      <c r="J94" s="25"/>
      <c r="K94" s="23">
        <v>0</v>
      </c>
      <c r="L94" s="24"/>
      <c r="M94" s="25"/>
      <c r="N94" s="23">
        <v>0</v>
      </c>
      <c r="O94" s="24"/>
      <c r="P94" s="25"/>
      <c r="Q94" s="23">
        <v>0</v>
      </c>
      <c r="R94" s="24"/>
      <c r="S94" s="25"/>
      <c r="T94" s="23">
        <v>0</v>
      </c>
      <c r="U94" s="24"/>
      <c r="V94" s="25"/>
      <c r="W94" s="23">
        <v>0</v>
      </c>
      <c r="X94" s="24"/>
      <c r="Y94" s="25"/>
      <c r="Z94" s="23">
        <f>60</f>
        <v>60</v>
      </c>
      <c r="AA94" s="24"/>
      <c r="AB94" s="25"/>
      <c r="AC94" s="23">
        <v>0</v>
      </c>
      <c r="AD94" s="24"/>
      <c r="AE94" s="25"/>
      <c r="AF94" s="23">
        <v>0</v>
      </c>
      <c r="AG94" s="24"/>
      <c r="AH94" s="25"/>
      <c r="AI94" s="31">
        <f t="shared" si="16"/>
        <v>60</v>
      </c>
      <c r="AJ94" s="32"/>
      <c r="AK94" s="33"/>
      <c r="AL94" s="145">
        <f>AI94/AI103</f>
        <v>9.9673355463143952E-5</v>
      </c>
      <c r="AM94" s="146">
        <f>60+AI94</f>
        <v>120</v>
      </c>
      <c r="AN94" s="146"/>
    </row>
    <row r="95" spans="1:40" x14ac:dyDescent="0.25">
      <c r="A95" s="133" t="s">
        <v>96</v>
      </c>
      <c r="B95" s="138">
        <f>SUM(B96:D102)</f>
        <v>178248.91999999998</v>
      </c>
      <c r="C95" s="139"/>
      <c r="D95" s="140"/>
      <c r="E95" s="135">
        <f>SUM(E96:G102)</f>
        <v>4770.4400000000005</v>
      </c>
      <c r="F95" s="136"/>
      <c r="G95" s="137"/>
      <c r="H95" s="135">
        <f t="shared" ref="H95" si="17">SUM(H96:J102)</f>
        <v>6178.1900000000005</v>
      </c>
      <c r="I95" s="136"/>
      <c r="J95" s="137"/>
      <c r="K95" s="135">
        <f t="shared" ref="K95" si="18">SUM(K96:M102)</f>
        <v>8814.16</v>
      </c>
      <c r="L95" s="136"/>
      <c r="M95" s="137"/>
      <c r="N95" s="135">
        <f t="shared" ref="N95" si="19">SUM(N96:P102)</f>
        <v>0</v>
      </c>
      <c r="O95" s="136"/>
      <c r="P95" s="137"/>
      <c r="Q95" s="135">
        <f t="shared" ref="Q95" si="20">SUM(Q96:S102)</f>
        <v>0</v>
      </c>
      <c r="R95" s="136"/>
      <c r="S95" s="137"/>
      <c r="T95" s="135">
        <f t="shared" ref="T95" si="21">SUM(T96:V102)</f>
        <v>0</v>
      </c>
      <c r="U95" s="136"/>
      <c r="V95" s="137"/>
      <c r="W95" s="135">
        <f t="shared" ref="W95" si="22">SUM(W96:Y102)</f>
        <v>0</v>
      </c>
      <c r="X95" s="136"/>
      <c r="Y95" s="137"/>
      <c r="Z95" s="135">
        <f t="shared" ref="Z95" si="23">SUM(Z96:AB102)</f>
        <v>0</v>
      </c>
      <c r="AA95" s="136"/>
      <c r="AB95" s="137"/>
      <c r="AC95" s="135">
        <f t="shared" ref="AC95" si="24">SUM(AC96:AE102)</f>
        <v>0</v>
      </c>
      <c r="AD95" s="136"/>
      <c r="AE95" s="137"/>
      <c r="AF95" s="135">
        <f t="shared" ref="AF95" si="25">SUM(AF96:AH102)</f>
        <v>0</v>
      </c>
      <c r="AG95" s="136"/>
      <c r="AH95" s="137"/>
      <c r="AI95" s="138">
        <f>SUM(AI96:AK102)</f>
        <v>19762.79</v>
      </c>
      <c r="AJ95" s="139"/>
      <c r="AK95" s="140"/>
      <c r="AL95" s="141">
        <f>AI95/AI103</f>
        <v>3.2830393210224448E-2</v>
      </c>
      <c r="AM95" s="142">
        <f>SUM(AM96:AN102)</f>
        <v>198011.71000000002</v>
      </c>
      <c r="AN95" s="142"/>
    </row>
    <row r="96" spans="1:40" x14ac:dyDescent="0.25">
      <c r="A96" s="152" t="s">
        <v>97</v>
      </c>
      <c r="B96" s="31">
        <v>74980.759999999995</v>
      </c>
      <c r="C96" s="32"/>
      <c r="D96" s="33"/>
      <c r="E96" s="23">
        <v>2616.9499999999998</v>
      </c>
      <c r="F96" s="24"/>
      <c r="G96" s="25"/>
      <c r="H96" s="23">
        <f>1710.68+355.51+1760.11</f>
        <v>3826.3</v>
      </c>
      <c r="I96" s="24"/>
      <c r="J96" s="25"/>
      <c r="K96" s="23">
        <f>1556.68+1195.41</f>
        <v>2752.09</v>
      </c>
      <c r="L96" s="24"/>
      <c r="M96" s="25"/>
      <c r="N96" s="23">
        <v>0</v>
      </c>
      <c r="O96" s="24"/>
      <c r="P96" s="25"/>
      <c r="Q96" s="23">
        <v>0</v>
      </c>
      <c r="R96" s="24"/>
      <c r="S96" s="25"/>
      <c r="T96" s="23">
        <v>0</v>
      </c>
      <c r="U96" s="24"/>
      <c r="V96" s="25"/>
      <c r="W96" s="23">
        <v>0</v>
      </c>
      <c r="X96" s="24"/>
      <c r="Y96" s="25"/>
      <c r="Z96" s="23">
        <v>0</v>
      </c>
      <c r="AA96" s="24"/>
      <c r="AB96" s="25"/>
      <c r="AC96" s="23">
        <v>0</v>
      </c>
      <c r="AD96" s="24"/>
      <c r="AE96" s="25"/>
      <c r="AF96" s="23">
        <v>0</v>
      </c>
      <c r="AG96" s="24"/>
      <c r="AH96" s="25"/>
      <c r="AI96" s="31">
        <f>0+E96+H96+K96+N96+Q96+T96+W96+Z96+AC96+AF96</f>
        <v>9195.34</v>
      </c>
      <c r="AJ96" s="32"/>
      <c r="AK96" s="33"/>
      <c r="AL96" s="145">
        <f>AI96/AI103</f>
        <v>1.5275506540407768E-2</v>
      </c>
      <c r="AM96" s="146">
        <f>74980.76+AI96</f>
        <v>84176.099999999991</v>
      </c>
      <c r="AN96" s="146"/>
    </row>
    <row r="97" spans="1:41" x14ac:dyDescent="0.25">
      <c r="A97" s="152" t="s">
        <v>98</v>
      </c>
      <c r="B97" s="31">
        <v>19327.43</v>
      </c>
      <c r="C97" s="32"/>
      <c r="D97" s="33"/>
      <c r="E97" s="23">
        <v>0</v>
      </c>
      <c r="F97" s="24"/>
      <c r="G97" s="25"/>
      <c r="H97" s="23">
        <f>1034</f>
        <v>1034</v>
      </c>
      <c r="I97" s="24"/>
      <c r="J97" s="25"/>
      <c r="K97" s="23">
        <v>0</v>
      </c>
      <c r="L97" s="24"/>
      <c r="M97" s="25"/>
      <c r="N97" s="23">
        <v>0</v>
      </c>
      <c r="O97" s="24"/>
      <c r="P97" s="25"/>
      <c r="Q97" s="23">
        <v>0</v>
      </c>
      <c r="R97" s="24"/>
      <c r="S97" s="25"/>
      <c r="T97" s="23">
        <v>0</v>
      </c>
      <c r="U97" s="24"/>
      <c r="V97" s="25"/>
      <c r="W97" s="23">
        <v>0</v>
      </c>
      <c r="X97" s="24"/>
      <c r="Y97" s="25"/>
      <c r="Z97" s="23">
        <v>0</v>
      </c>
      <c r="AA97" s="24"/>
      <c r="AB97" s="25"/>
      <c r="AC97" s="23">
        <v>0</v>
      </c>
      <c r="AD97" s="24"/>
      <c r="AE97" s="25"/>
      <c r="AF97" s="23">
        <v>0</v>
      </c>
      <c r="AG97" s="24"/>
      <c r="AH97" s="25"/>
      <c r="AI97" s="31">
        <f t="shared" ref="AI97:AI102" si="26">0+E97+H97+K97+N97+Q97+T97+W97+Z97+AC97+AF97</f>
        <v>1034</v>
      </c>
      <c r="AJ97" s="32"/>
      <c r="AK97" s="33"/>
      <c r="AL97" s="145">
        <f>AI97/AI103</f>
        <v>1.7177041591481808E-3</v>
      </c>
      <c r="AM97" s="146">
        <f>19327.43+AI97</f>
        <v>20361.43</v>
      </c>
      <c r="AN97" s="146"/>
    </row>
    <row r="98" spans="1:41" x14ac:dyDescent="0.25">
      <c r="A98" s="152" t="s">
        <v>99</v>
      </c>
      <c r="B98" s="31">
        <v>24884.52</v>
      </c>
      <c r="C98" s="32"/>
      <c r="D98" s="33"/>
      <c r="E98" s="23">
        <f>751.76</f>
        <v>751.76</v>
      </c>
      <c r="F98" s="24"/>
      <c r="G98" s="25"/>
      <c r="H98" s="23">
        <f>1317.89</f>
        <v>1317.89</v>
      </c>
      <c r="I98" s="24"/>
      <c r="J98" s="25"/>
      <c r="K98" s="23">
        <f>858</f>
        <v>858</v>
      </c>
      <c r="L98" s="24"/>
      <c r="M98" s="25"/>
      <c r="N98" s="23">
        <v>0</v>
      </c>
      <c r="O98" s="24"/>
      <c r="P98" s="25"/>
      <c r="Q98" s="23">
        <v>0</v>
      </c>
      <c r="R98" s="24"/>
      <c r="S98" s="25"/>
      <c r="T98" s="23">
        <v>0</v>
      </c>
      <c r="U98" s="24"/>
      <c r="V98" s="25"/>
      <c r="W98" s="23">
        <v>0</v>
      </c>
      <c r="X98" s="24"/>
      <c r="Y98" s="25"/>
      <c r="Z98" s="23">
        <v>0</v>
      </c>
      <c r="AA98" s="24"/>
      <c r="AB98" s="25"/>
      <c r="AC98" s="23">
        <v>0</v>
      </c>
      <c r="AD98" s="24"/>
      <c r="AE98" s="25"/>
      <c r="AF98" s="23">
        <v>0</v>
      </c>
      <c r="AG98" s="24"/>
      <c r="AH98" s="25"/>
      <c r="AI98" s="31">
        <f t="shared" si="26"/>
        <v>2927.65</v>
      </c>
      <c r="AJ98" s="32"/>
      <c r="AK98" s="33"/>
      <c r="AL98" s="145">
        <f>AI98/AI103</f>
        <v>4.8634783186945569E-3</v>
      </c>
      <c r="AM98" s="146">
        <f>24884.52+AI98</f>
        <v>27812.170000000002</v>
      </c>
      <c r="AN98" s="146"/>
    </row>
    <row r="99" spans="1:41" x14ac:dyDescent="0.25">
      <c r="A99" s="152" t="s">
        <v>100</v>
      </c>
      <c r="B99" s="31">
        <v>6131.04</v>
      </c>
      <c r="C99" s="32"/>
      <c r="D99" s="33"/>
      <c r="E99" s="23">
        <v>0</v>
      </c>
      <c r="F99" s="24"/>
      <c r="G99" s="25"/>
      <c r="H99" s="23">
        <v>0</v>
      </c>
      <c r="I99" s="24"/>
      <c r="J99" s="25"/>
      <c r="K99" s="23">
        <f>1527.85</f>
        <v>1527.85</v>
      </c>
      <c r="L99" s="24"/>
      <c r="M99" s="25"/>
      <c r="N99" s="23">
        <v>0</v>
      </c>
      <c r="O99" s="24"/>
      <c r="P99" s="25"/>
      <c r="Q99" s="23">
        <v>0</v>
      </c>
      <c r="R99" s="24"/>
      <c r="S99" s="25"/>
      <c r="T99" s="23">
        <v>0</v>
      </c>
      <c r="U99" s="24"/>
      <c r="V99" s="25"/>
      <c r="W99" s="23">
        <v>0</v>
      </c>
      <c r="X99" s="24"/>
      <c r="Y99" s="25"/>
      <c r="Z99" s="23">
        <v>0</v>
      </c>
      <c r="AA99" s="24"/>
      <c r="AB99" s="25"/>
      <c r="AC99" s="23">
        <v>0</v>
      </c>
      <c r="AD99" s="24"/>
      <c r="AE99" s="25"/>
      <c r="AF99" s="23">
        <v>0</v>
      </c>
      <c r="AG99" s="24"/>
      <c r="AH99" s="25"/>
      <c r="AI99" s="31">
        <f t="shared" si="26"/>
        <v>1527.85</v>
      </c>
      <c r="AJ99" s="32"/>
      <c r="AK99" s="33"/>
      <c r="AL99" s="153">
        <f>AI99/AI103</f>
        <v>2.5380989357394078E-3</v>
      </c>
      <c r="AM99" s="146">
        <f>6131.04+AI99</f>
        <v>7658.8899999999994</v>
      </c>
      <c r="AN99" s="146"/>
    </row>
    <row r="100" spans="1:41" x14ac:dyDescent="0.25">
      <c r="A100" s="152" t="s">
        <v>101</v>
      </c>
      <c r="B100" s="31">
        <v>8096.72</v>
      </c>
      <c r="C100" s="32"/>
      <c r="D100" s="33"/>
      <c r="E100" s="23">
        <v>0</v>
      </c>
      <c r="F100" s="24"/>
      <c r="G100" s="25"/>
      <c r="H100" s="23">
        <v>0</v>
      </c>
      <c r="I100" s="24"/>
      <c r="J100" s="25"/>
      <c r="K100" s="23">
        <f>774.85</f>
        <v>774.85</v>
      </c>
      <c r="L100" s="24"/>
      <c r="M100" s="25"/>
      <c r="N100" s="23">
        <v>0</v>
      </c>
      <c r="O100" s="24"/>
      <c r="P100" s="25"/>
      <c r="Q100" s="23">
        <v>0</v>
      </c>
      <c r="R100" s="24"/>
      <c r="S100" s="25"/>
      <c r="T100" s="23">
        <v>0</v>
      </c>
      <c r="U100" s="24"/>
      <c r="V100" s="25"/>
      <c r="W100" s="23">
        <v>0</v>
      </c>
      <c r="X100" s="24"/>
      <c r="Y100" s="25"/>
      <c r="Z100" s="23">
        <v>0</v>
      </c>
      <c r="AA100" s="24"/>
      <c r="AB100" s="25"/>
      <c r="AC100" s="23">
        <v>0</v>
      </c>
      <c r="AD100" s="24"/>
      <c r="AE100" s="25"/>
      <c r="AF100" s="23">
        <v>0</v>
      </c>
      <c r="AG100" s="24"/>
      <c r="AH100" s="25"/>
      <c r="AI100" s="31">
        <f t="shared" si="26"/>
        <v>774.85</v>
      </c>
      <c r="AJ100" s="32"/>
      <c r="AK100" s="33"/>
      <c r="AL100" s="145">
        <f>AI100/AI103</f>
        <v>1.2871983246769516E-3</v>
      </c>
      <c r="AM100" s="146">
        <f>8096.72+AI100</f>
        <v>8871.57</v>
      </c>
      <c r="AN100" s="146"/>
    </row>
    <row r="101" spans="1:41" x14ac:dyDescent="0.25">
      <c r="A101" s="152" t="s">
        <v>102</v>
      </c>
      <c r="B101" s="31">
        <v>14414.08</v>
      </c>
      <c r="C101" s="32"/>
      <c r="D101" s="33"/>
      <c r="E101" s="23">
        <v>0</v>
      </c>
      <c r="F101" s="24"/>
      <c r="G101" s="25"/>
      <c r="H101" s="23">
        <v>0</v>
      </c>
      <c r="I101" s="24"/>
      <c r="J101" s="25"/>
      <c r="K101" s="23">
        <v>0</v>
      </c>
      <c r="L101" s="24"/>
      <c r="M101" s="25"/>
      <c r="N101" s="23">
        <v>0</v>
      </c>
      <c r="O101" s="24"/>
      <c r="P101" s="25"/>
      <c r="Q101" s="23">
        <v>0</v>
      </c>
      <c r="R101" s="24"/>
      <c r="S101" s="25"/>
      <c r="T101" s="23">
        <v>0</v>
      </c>
      <c r="U101" s="24"/>
      <c r="V101" s="25"/>
      <c r="W101" s="23">
        <v>0</v>
      </c>
      <c r="X101" s="24"/>
      <c r="Y101" s="25"/>
      <c r="Z101" s="23">
        <v>0</v>
      </c>
      <c r="AA101" s="24"/>
      <c r="AB101" s="25"/>
      <c r="AC101" s="23">
        <v>0</v>
      </c>
      <c r="AD101" s="24"/>
      <c r="AE101" s="25"/>
      <c r="AF101" s="23">
        <v>0</v>
      </c>
      <c r="AG101" s="24"/>
      <c r="AH101" s="25"/>
      <c r="AI101" s="31">
        <f t="shared" si="26"/>
        <v>0</v>
      </c>
      <c r="AJ101" s="32"/>
      <c r="AK101" s="33"/>
      <c r="AL101" s="145">
        <f>AI101/AI103</f>
        <v>0</v>
      </c>
      <c r="AM101" s="146">
        <f>14414.08+AI101</f>
        <v>14414.08</v>
      </c>
      <c r="AN101" s="146"/>
    </row>
    <row r="102" spans="1:41" x14ac:dyDescent="0.25">
      <c r="A102" s="152" t="s">
        <v>103</v>
      </c>
      <c r="B102" s="31">
        <v>30414.37</v>
      </c>
      <c r="C102" s="32"/>
      <c r="D102" s="33"/>
      <c r="E102" s="23">
        <f>1045.9+241.2+12.73+21.9+30+50</f>
        <v>1401.7300000000002</v>
      </c>
      <c r="F102" s="24"/>
      <c r="G102" s="25"/>
      <c r="H102" s="23">
        <v>0</v>
      </c>
      <c r="I102" s="24"/>
      <c r="J102" s="25"/>
      <c r="K102" s="23">
        <f>2901.37</f>
        <v>2901.37</v>
      </c>
      <c r="L102" s="24"/>
      <c r="M102" s="25"/>
      <c r="N102" s="23">
        <v>0</v>
      </c>
      <c r="O102" s="24"/>
      <c r="P102" s="25"/>
      <c r="Q102" s="23">
        <v>0</v>
      </c>
      <c r="R102" s="24"/>
      <c r="S102" s="25"/>
      <c r="T102" s="23">
        <v>0</v>
      </c>
      <c r="U102" s="24"/>
      <c r="V102" s="25"/>
      <c r="W102" s="23">
        <v>0</v>
      </c>
      <c r="X102" s="24"/>
      <c r="Y102" s="25"/>
      <c r="Z102" s="23">
        <v>0</v>
      </c>
      <c r="AA102" s="24"/>
      <c r="AB102" s="25"/>
      <c r="AC102" s="23">
        <v>0</v>
      </c>
      <c r="AD102" s="24"/>
      <c r="AE102" s="25"/>
      <c r="AF102" s="23">
        <v>0</v>
      </c>
      <c r="AG102" s="24"/>
      <c r="AH102" s="25"/>
      <c r="AI102" s="31">
        <f t="shared" si="26"/>
        <v>4303.1000000000004</v>
      </c>
      <c r="AJ102" s="32"/>
      <c r="AK102" s="33"/>
      <c r="AL102" s="145">
        <f>AI102/AI103</f>
        <v>7.1484069315575797E-3</v>
      </c>
      <c r="AM102" s="146">
        <f>30414.37+AI102</f>
        <v>34717.47</v>
      </c>
      <c r="AN102" s="146"/>
    </row>
    <row r="103" spans="1:41" x14ac:dyDescent="0.25">
      <c r="A103" s="154" t="s">
        <v>104</v>
      </c>
      <c r="B103" s="155">
        <v>665976.37</v>
      </c>
      <c r="C103" s="156"/>
      <c r="D103" s="157"/>
      <c r="E103" s="155">
        <f>E33+E42+E46+E50+E64+E69+E84+E90+E95</f>
        <v>60661.509999999995</v>
      </c>
      <c r="F103" s="156"/>
      <c r="G103" s="157"/>
      <c r="H103" s="155">
        <f>H33+H42+H46+H50+H64+H69+H84+H90+H95</f>
        <v>41855.070000000007</v>
      </c>
      <c r="I103" s="156"/>
      <c r="J103" s="157"/>
      <c r="K103" s="155">
        <f>K33+K42+K46+K50+K64+K69+K84+K90+K95</f>
        <v>48116</v>
      </c>
      <c r="L103" s="156"/>
      <c r="M103" s="157"/>
      <c r="N103" s="155">
        <f>N33+N42+N46+N50+N64+N69+N84+N90+N95</f>
        <v>72473.42</v>
      </c>
      <c r="O103" s="156"/>
      <c r="P103" s="157"/>
      <c r="Q103" s="155">
        <f>Q33+Q42+Q46+Q50+Q64+Q69+Q84+Q90+Q95</f>
        <v>60471.19</v>
      </c>
      <c r="R103" s="156"/>
      <c r="S103" s="157"/>
      <c r="T103" s="155">
        <f>T33+T42+T46+T50+T64+T69+T84+T90+T95</f>
        <v>82771.33</v>
      </c>
      <c r="U103" s="156"/>
      <c r="V103" s="157"/>
      <c r="W103" s="155">
        <f>W33+W42+W46+W50+W64+W69+W84+W90+W95</f>
        <v>33141.39</v>
      </c>
      <c r="X103" s="156"/>
      <c r="Y103" s="157"/>
      <c r="Z103" s="155">
        <f>Z33+Z42+Z46+Z50+Z64+Z69+Z84+Z90+Z95</f>
        <v>44031.850000000006</v>
      </c>
      <c r="AA103" s="156"/>
      <c r="AB103" s="157"/>
      <c r="AC103" s="155">
        <f>AC33+AC42+AC46+AC50+AC64+AC69+AC84+AC90+AC95</f>
        <v>34193.810000000005</v>
      </c>
      <c r="AD103" s="156"/>
      <c r="AE103" s="157"/>
      <c r="AF103" s="155">
        <f>AF33+AF42+AF46+AF50+AF64+AF69+AF84+AF90+AF95</f>
        <v>124250.72</v>
      </c>
      <c r="AG103" s="156"/>
      <c r="AH103" s="157"/>
      <c r="AI103" s="155">
        <f>SUM(AI33+AI42+AI46+AI50+AI64+AI69+AI84+AI90+AI95)</f>
        <v>601966.29</v>
      </c>
      <c r="AJ103" s="156"/>
      <c r="AK103" s="157"/>
      <c r="AL103" s="158">
        <f>AI103/AI103</f>
        <v>1</v>
      </c>
      <c r="AM103" s="159">
        <f>SUM(AM33+AM42+AM46+AM50+AM64+AM69+AM84+AM90+AM95)</f>
        <v>2638167.4299999997</v>
      </c>
      <c r="AN103" s="159"/>
    </row>
    <row r="104" spans="1:41" x14ac:dyDescent="0.25">
      <c r="A104" s="160" t="s">
        <v>105</v>
      </c>
      <c r="B104" s="161">
        <f>D27-B105</f>
        <v>2150247.92</v>
      </c>
      <c r="C104" s="162"/>
      <c r="D104" s="163"/>
      <c r="E104" s="164">
        <f>G27-E103</f>
        <v>63337.280000000013</v>
      </c>
      <c r="F104" s="164"/>
      <c r="G104" s="164"/>
      <c r="H104" s="164">
        <f>J27-H103</f>
        <v>79118.739999999991</v>
      </c>
      <c r="I104" s="164"/>
      <c r="J104" s="164"/>
      <c r="K104" s="164">
        <f>M27-K103</f>
        <v>-39763.53</v>
      </c>
      <c r="L104" s="164"/>
      <c r="M104" s="164"/>
      <c r="N104" s="164">
        <f>P27-N103</f>
        <v>49000.380000000005</v>
      </c>
      <c r="O104" s="164"/>
      <c r="P104" s="164"/>
      <c r="Q104" s="164">
        <f>S27-Q103</f>
        <v>-53036.22</v>
      </c>
      <c r="R104" s="164"/>
      <c r="S104" s="164"/>
      <c r="T104" s="164">
        <f>V27-T103</f>
        <v>38238.990000000005</v>
      </c>
      <c r="U104" s="164"/>
      <c r="V104" s="164"/>
      <c r="W104" s="164">
        <f>Y27-W103</f>
        <v>-26645.759999999998</v>
      </c>
      <c r="X104" s="164"/>
      <c r="Y104" s="164"/>
      <c r="Z104" s="164">
        <f>AB27-Z103</f>
        <v>85346.12</v>
      </c>
      <c r="AA104" s="164"/>
      <c r="AB104" s="164"/>
      <c r="AC104" s="164">
        <f>AE27-AC103</f>
        <v>-26560.850000000006</v>
      </c>
      <c r="AD104" s="164"/>
      <c r="AE104" s="164"/>
      <c r="AF104" s="164">
        <f>AH27-AF103</f>
        <v>21238.410000000003</v>
      </c>
      <c r="AG104" s="164"/>
      <c r="AH104" s="164"/>
      <c r="AI104" s="161">
        <f>AK27-AI103</f>
        <v>190273.56000000006</v>
      </c>
      <c r="AJ104" s="162"/>
      <c r="AK104" s="163"/>
      <c r="AL104" s="165">
        <f>AN27-AM103</f>
        <v>2340521.4800000004</v>
      </c>
      <c r="AM104" s="165"/>
      <c r="AN104" s="165"/>
    </row>
    <row r="105" spans="1:41" x14ac:dyDescent="0.25">
      <c r="A105" s="166" t="s">
        <v>106</v>
      </c>
      <c r="B105" s="167">
        <v>2036201.14</v>
      </c>
      <c r="C105" s="167"/>
      <c r="D105" s="167"/>
      <c r="E105" s="168"/>
      <c r="F105" s="168"/>
      <c r="G105" s="168"/>
      <c r="H105" s="169"/>
      <c r="I105" s="169"/>
      <c r="J105" s="168"/>
      <c r="K105" s="169"/>
      <c r="L105" s="169"/>
      <c r="M105" s="168"/>
      <c r="N105" s="169"/>
      <c r="O105" s="169"/>
      <c r="P105" s="168"/>
      <c r="Q105" s="169"/>
      <c r="R105" s="169"/>
      <c r="S105" s="168"/>
      <c r="T105" s="169"/>
      <c r="U105" s="169"/>
      <c r="V105" s="168"/>
      <c r="W105" s="169"/>
      <c r="X105" s="169"/>
      <c r="Y105" s="168"/>
      <c r="Z105" s="169"/>
      <c r="AA105" s="169"/>
      <c r="AB105" s="168"/>
      <c r="AC105" s="169"/>
      <c r="AD105" s="169"/>
      <c r="AE105" s="168"/>
      <c r="AF105" s="169"/>
      <c r="AG105" s="169"/>
      <c r="AH105" s="168"/>
      <c r="AI105" s="169"/>
      <c r="AJ105" s="169"/>
      <c r="AK105" s="169"/>
      <c r="AL105" s="170"/>
      <c r="AM105" s="170"/>
      <c r="AN105" s="170"/>
    </row>
    <row r="106" spans="1:41" x14ac:dyDescent="0.25">
      <c r="A106" s="171"/>
      <c r="B106" s="172"/>
      <c r="C106" s="172"/>
      <c r="D106" s="172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</row>
    <row r="107" spans="1:41" x14ac:dyDescent="0.25">
      <c r="A107" s="173"/>
      <c r="B107" s="173"/>
      <c r="C107" s="173"/>
      <c r="D107" s="173"/>
      <c r="E107" s="173"/>
      <c r="F107" s="173"/>
      <c r="G107" s="173"/>
      <c r="H107" s="172"/>
      <c r="I107" s="172"/>
      <c r="J107" s="172"/>
      <c r="K107" s="172"/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  <c r="AM107" s="172"/>
      <c r="AN107" s="172"/>
    </row>
    <row r="108" spans="1:41" x14ac:dyDescent="0.25">
      <c r="A108" s="174" t="s">
        <v>107</v>
      </c>
      <c r="B108" s="175" t="s">
        <v>108</v>
      </c>
      <c r="C108" s="176"/>
      <c r="D108" s="176"/>
      <c r="E108" s="177" t="s">
        <v>3</v>
      </c>
      <c r="F108" s="178"/>
      <c r="G108" s="179"/>
      <c r="H108" s="180" t="s">
        <v>4</v>
      </c>
      <c r="I108" s="180"/>
      <c r="J108" s="180"/>
      <c r="K108" s="180" t="s">
        <v>5</v>
      </c>
      <c r="L108" s="180"/>
      <c r="M108" s="180"/>
      <c r="N108" s="180" t="s">
        <v>6</v>
      </c>
      <c r="O108" s="180"/>
      <c r="P108" s="180"/>
      <c r="Q108" s="180" t="s">
        <v>7</v>
      </c>
      <c r="R108" s="180"/>
      <c r="S108" s="180"/>
      <c r="T108" s="181" t="s">
        <v>8</v>
      </c>
      <c r="U108" s="181"/>
      <c r="V108" s="181"/>
      <c r="W108" s="181" t="s">
        <v>9</v>
      </c>
      <c r="X108" s="181"/>
      <c r="Y108" s="181"/>
      <c r="Z108" s="181" t="s">
        <v>10</v>
      </c>
      <c r="AA108" s="181"/>
      <c r="AB108" s="181"/>
      <c r="AC108" s="181" t="s">
        <v>11</v>
      </c>
      <c r="AD108" s="181"/>
      <c r="AE108" s="181"/>
      <c r="AF108" s="181" t="s">
        <v>12</v>
      </c>
      <c r="AG108" s="181"/>
      <c r="AH108" s="181"/>
      <c r="AI108" s="182"/>
      <c r="AJ108" s="182"/>
      <c r="AK108" s="182"/>
      <c r="AL108" s="182"/>
      <c r="AM108" s="182"/>
      <c r="AN108" s="182"/>
    </row>
    <row r="109" spans="1:41" x14ac:dyDescent="0.25">
      <c r="A109" s="183" t="s">
        <v>109</v>
      </c>
      <c r="B109" s="184">
        <f>344608.99</f>
        <v>344608.99</v>
      </c>
      <c r="C109" s="185"/>
      <c r="D109" s="186"/>
      <c r="E109" s="187">
        <f>B109+103000+1258.22-33476.8-48.46</f>
        <v>415341.94999999995</v>
      </c>
      <c r="F109" s="188"/>
      <c r="G109" s="189"/>
      <c r="H109" s="40">
        <f>E109-33646.97+989.67-72.49</f>
        <v>382612.16</v>
      </c>
      <c r="I109" s="40"/>
      <c r="J109" s="40"/>
      <c r="K109" s="40">
        <f>H109+100000-36971.24-103.47+1353.08</f>
        <v>446890.53</v>
      </c>
      <c r="L109" s="40"/>
      <c r="M109" s="40"/>
      <c r="N109" s="187">
        <f>K109+994.9-163-53478.09</f>
        <v>394244.34000000008</v>
      </c>
      <c r="O109" s="188"/>
      <c r="P109" s="189"/>
      <c r="Q109" s="190">
        <f>N109+766.4-808.1-56378.6</f>
        <v>337824.04000000015</v>
      </c>
      <c r="R109" s="190"/>
      <c r="S109" s="190"/>
      <c r="T109" s="190">
        <f>Q109+573.82-97.86-70257.38</f>
        <v>268042.62000000017</v>
      </c>
      <c r="U109" s="190"/>
      <c r="V109" s="190"/>
      <c r="W109" s="190">
        <f>T109+397.83-28480.77-46.61</f>
        <v>239913.07000000021</v>
      </c>
      <c r="X109" s="190"/>
      <c r="Y109" s="190"/>
      <c r="Z109" s="190">
        <f>W109-23014.71-43.74+282.95</f>
        <v>217137.57000000024</v>
      </c>
      <c r="AA109" s="190"/>
      <c r="AB109" s="190"/>
      <c r="AC109" s="190">
        <f>Z109-21363.45-256.33-39.42</f>
        <v>195478.37000000023</v>
      </c>
      <c r="AD109" s="190"/>
      <c r="AE109" s="190"/>
      <c r="AF109" s="191">
        <f>AC109-95791.56+23.74-102.43</f>
        <v>99608.120000000243</v>
      </c>
      <c r="AG109" s="192"/>
      <c r="AH109" s="192"/>
      <c r="AI109" s="182"/>
      <c r="AJ109" s="182"/>
      <c r="AK109" s="182"/>
      <c r="AL109" s="182"/>
      <c r="AM109" s="182"/>
      <c r="AN109" s="182"/>
    </row>
    <row r="110" spans="1:41" x14ac:dyDescent="0.25">
      <c r="A110" s="183" t="s">
        <v>110</v>
      </c>
      <c r="B110" s="184">
        <v>675639.54</v>
      </c>
      <c r="C110" s="185"/>
      <c r="D110" s="186"/>
      <c r="E110" s="187">
        <f>B110+100000+2528.85</f>
        <v>778168.39</v>
      </c>
      <c r="F110" s="188"/>
      <c r="G110" s="189"/>
      <c r="H110" s="40">
        <f>E110+2097.79</f>
        <v>780266.18</v>
      </c>
      <c r="I110" s="40"/>
      <c r="J110" s="40"/>
      <c r="K110" s="40">
        <f>H110+748.68</f>
        <v>781014.8600000001</v>
      </c>
      <c r="L110" s="40"/>
      <c r="M110" s="40"/>
      <c r="N110" s="148">
        <f>K110-462.33</f>
        <v>780552.53000000014</v>
      </c>
      <c r="O110" s="149"/>
      <c r="P110" s="150"/>
      <c r="Q110" s="146">
        <f>N110+2494.19-1448.28</f>
        <v>781598.44000000006</v>
      </c>
      <c r="R110" s="146"/>
      <c r="S110" s="146"/>
      <c r="T110" s="190">
        <f>Q110+1968.57</f>
        <v>783567.01</v>
      </c>
      <c r="U110" s="190"/>
      <c r="V110" s="190"/>
      <c r="W110" s="190">
        <f>T110+100000+2362.86</f>
        <v>885929.87</v>
      </c>
      <c r="X110" s="190"/>
      <c r="Y110" s="190"/>
      <c r="Z110" s="190">
        <f>W110+1202.2</f>
        <v>887132.07</v>
      </c>
      <c r="AA110" s="190"/>
      <c r="AB110" s="190"/>
      <c r="AC110" s="191">
        <f>Z110+100000+94.92</f>
        <v>987226.99</v>
      </c>
      <c r="AD110" s="192"/>
      <c r="AE110" s="192"/>
      <c r="AF110" s="191">
        <f>AC110+903.26</f>
        <v>988130.25</v>
      </c>
      <c r="AG110" s="192"/>
      <c r="AH110" s="192"/>
      <c r="AK110" s="193"/>
      <c r="AL110" s="193"/>
      <c r="AM110" s="193"/>
      <c r="AN110" s="193"/>
    </row>
    <row r="111" spans="1:41" x14ac:dyDescent="0.25">
      <c r="A111" s="183" t="s">
        <v>111</v>
      </c>
      <c r="B111" s="184">
        <v>0</v>
      </c>
      <c r="C111" s="185"/>
      <c r="D111" s="186"/>
      <c r="E111" s="187">
        <v>0</v>
      </c>
      <c r="F111" s="188"/>
      <c r="G111" s="189"/>
      <c r="H111" s="187">
        <v>0</v>
      </c>
      <c r="I111" s="188"/>
      <c r="J111" s="189"/>
      <c r="K111" s="187">
        <v>0</v>
      </c>
      <c r="L111" s="188"/>
      <c r="M111" s="189"/>
      <c r="N111" s="187">
        <f>100000+25.38</f>
        <v>100025.38</v>
      </c>
      <c r="O111" s="188"/>
      <c r="P111" s="189"/>
      <c r="Q111" s="190">
        <f>N111+209.71-35.26</f>
        <v>100199.83000000002</v>
      </c>
      <c r="R111" s="190"/>
      <c r="S111" s="190"/>
      <c r="T111" s="190">
        <f>Q111+184.59</f>
        <v>100384.42000000001</v>
      </c>
      <c r="U111" s="190"/>
      <c r="V111" s="190"/>
      <c r="W111" s="190">
        <f>T111+161.21</f>
        <v>100545.63000000002</v>
      </c>
      <c r="X111" s="190"/>
      <c r="Y111" s="190"/>
      <c r="Z111" s="190">
        <f>W111+129.87</f>
        <v>100675.50000000001</v>
      </c>
      <c r="AA111" s="190"/>
      <c r="AB111" s="190"/>
      <c r="AC111" s="190">
        <f>Z111-73.63</f>
        <v>100601.87000000001</v>
      </c>
      <c r="AD111" s="190"/>
      <c r="AE111" s="190"/>
      <c r="AF111" s="191">
        <f>AC111+111.2</f>
        <v>100713.07</v>
      </c>
      <c r="AG111" s="192"/>
      <c r="AH111" s="192"/>
      <c r="AI111" s="182"/>
      <c r="AJ111" s="182"/>
      <c r="AK111" s="182"/>
      <c r="AL111" s="182"/>
      <c r="AM111" s="182"/>
      <c r="AN111" s="182"/>
    </row>
    <row r="112" spans="1:41" x14ac:dyDescent="0.25">
      <c r="A112" s="183" t="s">
        <v>112</v>
      </c>
      <c r="B112" s="184">
        <v>1016116.05</v>
      </c>
      <c r="C112" s="185"/>
      <c r="D112" s="186"/>
      <c r="E112" s="187">
        <f>B112+3456.99</f>
        <v>1019573.04</v>
      </c>
      <c r="F112" s="188"/>
      <c r="G112" s="189"/>
      <c r="H112" s="40">
        <f>E112+2306.35</f>
        <v>1021879.39</v>
      </c>
      <c r="I112" s="40"/>
      <c r="J112" s="40"/>
      <c r="K112" s="40">
        <f>H112+2670.71</f>
        <v>1024550.1</v>
      </c>
      <c r="L112" s="40"/>
      <c r="M112" s="40"/>
      <c r="N112" s="187">
        <f>K112+2243.52</f>
        <v>1026793.62</v>
      </c>
      <c r="O112" s="188"/>
      <c r="P112" s="189"/>
      <c r="Q112" s="190">
        <f>N112+1884.67</f>
        <v>1028678.29</v>
      </c>
      <c r="R112" s="190"/>
      <c r="S112" s="190"/>
      <c r="T112" s="190">
        <f>Q112+1703.34</f>
        <v>1030381.63</v>
      </c>
      <c r="U112" s="190"/>
      <c r="V112" s="190"/>
      <c r="W112" s="190">
        <f>T112+2538.73</f>
        <v>1032920.36</v>
      </c>
      <c r="X112" s="190"/>
      <c r="Y112" s="190"/>
      <c r="Z112" s="190">
        <f>W112+1317.95</f>
        <v>1034238.3099999999</v>
      </c>
      <c r="AA112" s="190"/>
      <c r="AB112" s="190"/>
      <c r="AC112" s="190">
        <f>Z112+1288</f>
        <v>1035526.3099999999</v>
      </c>
      <c r="AD112" s="190"/>
      <c r="AE112" s="190"/>
      <c r="AF112" s="191">
        <f>AC112+1289.93</f>
        <v>1036816.24</v>
      </c>
      <c r="AG112" s="192"/>
      <c r="AH112" s="192"/>
      <c r="AI112" s="182"/>
      <c r="AJ112" s="182"/>
      <c r="AK112" s="194"/>
      <c r="AL112" s="194"/>
      <c r="AM112" s="194"/>
      <c r="AN112" s="194"/>
      <c r="AO112" s="194"/>
    </row>
    <row r="113" spans="1:41" x14ac:dyDescent="0.25">
      <c r="A113" s="183" t="s">
        <v>113</v>
      </c>
      <c r="B113" s="184">
        <v>113425.27</v>
      </c>
      <c r="C113" s="185"/>
      <c r="D113" s="186"/>
      <c r="E113" s="148">
        <f>B113+447.4-113872.67</f>
        <v>0</v>
      </c>
      <c r="F113" s="149"/>
      <c r="G113" s="150"/>
      <c r="H113" s="146">
        <v>0</v>
      </c>
      <c r="I113" s="146"/>
      <c r="J113" s="146"/>
      <c r="K113" s="146">
        <f>0</f>
        <v>0</v>
      </c>
      <c r="L113" s="146"/>
      <c r="M113" s="146"/>
      <c r="N113" s="187">
        <v>0</v>
      </c>
      <c r="O113" s="188"/>
      <c r="P113" s="189"/>
      <c r="Q113" s="190">
        <v>0</v>
      </c>
      <c r="R113" s="190"/>
      <c r="S113" s="190"/>
      <c r="T113" s="190">
        <f>0</f>
        <v>0</v>
      </c>
      <c r="U113" s="190"/>
      <c r="V113" s="190"/>
      <c r="W113" s="190">
        <f>0</f>
        <v>0</v>
      </c>
      <c r="X113" s="190"/>
      <c r="Y113" s="190"/>
      <c r="Z113" s="190">
        <v>0</v>
      </c>
      <c r="AA113" s="190"/>
      <c r="AB113" s="190"/>
      <c r="AC113" s="190">
        <v>0</v>
      </c>
      <c r="AD113" s="190"/>
      <c r="AE113" s="190"/>
      <c r="AF113" s="195">
        <v>0</v>
      </c>
      <c r="AG113" s="195"/>
      <c r="AH113" s="195"/>
      <c r="AI113" s="182"/>
      <c r="AJ113" s="182"/>
      <c r="AK113" s="194"/>
      <c r="AL113" s="194"/>
      <c r="AM113" s="194"/>
      <c r="AN113" s="194"/>
      <c r="AO113" s="194"/>
    </row>
    <row r="114" spans="1:41" x14ac:dyDescent="0.25">
      <c r="A114" s="196" t="s">
        <v>114</v>
      </c>
      <c r="B114" s="197">
        <f>SUM(B109:D113)</f>
        <v>2149789.85</v>
      </c>
      <c r="C114" s="198"/>
      <c r="D114" s="199"/>
      <c r="E114" s="197">
        <f>SUM(E109:G113)</f>
        <v>2213083.38</v>
      </c>
      <c r="F114" s="198"/>
      <c r="G114" s="199"/>
      <c r="H114" s="200">
        <f>SUM(H109:J113)</f>
        <v>2184757.73</v>
      </c>
      <c r="I114" s="200"/>
      <c r="J114" s="200"/>
      <c r="K114" s="200">
        <f>SUM(K109:M113)</f>
        <v>2252455.4900000002</v>
      </c>
      <c r="L114" s="200"/>
      <c r="M114" s="200"/>
      <c r="N114" s="200">
        <f>SUM(N109:P113)</f>
        <v>2301615.87</v>
      </c>
      <c r="O114" s="200"/>
      <c r="P114" s="200"/>
      <c r="Q114" s="200">
        <f>SUM(Q109:S113)</f>
        <v>2248300.6000000006</v>
      </c>
      <c r="R114" s="200"/>
      <c r="S114" s="200"/>
      <c r="T114" s="200">
        <f>SUM(T109:V113)</f>
        <v>2182375.6800000002</v>
      </c>
      <c r="U114" s="200"/>
      <c r="V114" s="200"/>
      <c r="W114" s="201">
        <f>SUM(W109:Y113)</f>
        <v>2259308.9300000002</v>
      </c>
      <c r="X114" s="201"/>
      <c r="Y114" s="201"/>
      <c r="Z114" s="201">
        <f>SUM(Z109:AB113)</f>
        <v>2239183.4500000002</v>
      </c>
      <c r="AA114" s="201"/>
      <c r="AB114" s="201"/>
      <c r="AC114" s="201">
        <f>SUM(AC109:AE113)</f>
        <v>2318833.5400000005</v>
      </c>
      <c r="AD114" s="201"/>
      <c r="AE114" s="201"/>
      <c r="AF114" s="201">
        <f>SUM(AF109:AH113)</f>
        <v>2225267.6800000006</v>
      </c>
      <c r="AG114" s="201"/>
      <c r="AH114" s="201"/>
      <c r="AI114" s="182"/>
      <c r="AJ114" s="182"/>
      <c r="AK114" s="182"/>
      <c r="AL114" s="182"/>
      <c r="AM114" s="182"/>
      <c r="AN114" s="182"/>
    </row>
    <row r="115" spans="1:41" x14ac:dyDescent="0.25">
      <c r="A115" s="202" t="s">
        <v>115</v>
      </c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182"/>
      <c r="R115" s="182"/>
      <c r="S115" s="203"/>
      <c r="T115" s="182"/>
      <c r="U115" s="182"/>
      <c r="V115" s="203"/>
      <c r="W115" s="182"/>
      <c r="X115" s="182"/>
      <c r="Y115" s="203"/>
      <c r="Z115" s="182"/>
      <c r="AA115" s="182"/>
      <c r="AB115" s="203"/>
      <c r="AC115" s="182"/>
      <c r="AD115" s="182"/>
      <c r="AE115" s="203"/>
      <c r="AF115" s="182"/>
      <c r="AG115" s="182"/>
      <c r="AH115" s="203"/>
      <c r="AI115" s="182"/>
      <c r="AJ115" s="182"/>
      <c r="AK115" s="182"/>
      <c r="AL115" s="182"/>
      <c r="AM115" s="182"/>
      <c r="AN115" s="182"/>
    </row>
    <row r="116" spans="1:41" x14ac:dyDescent="0.25">
      <c r="A116" s="204" t="s">
        <v>116</v>
      </c>
      <c r="B116" s="203"/>
      <c r="C116" s="203"/>
      <c r="D116" s="203"/>
      <c r="E116" s="203"/>
      <c r="F116" s="203"/>
      <c r="Q116" s="182"/>
      <c r="R116" s="182"/>
      <c r="T116" s="182"/>
      <c r="U116" s="182"/>
      <c r="W116" s="182"/>
      <c r="X116" s="182"/>
      <c r="Z116" s="182"/>
      <c r="AA116" s="182"/>
      <c r="AC116" s="182"/>
      <c r="AD116" s="182"/>
      <c r="AF116" s="182"/>
      <c r="AG116" s="182"/>
      <c r="AI116" s="182"/>
      <c r="AJ116" s="182"/>
      <c r="AK116" s="182"/>
      <c r="AL116" s="182"/>
      <c r="AM116" s="182"/>
      <c r="AN116" s="182"/>
    </row>
    <row r="117" spans="1:41" x14ac:dyDescent="0.25">
      <c r="A117" s="204" t="s">
        <v>117</v>
      </c>
      <c r="B117" s="203"/>
      <c r="C117" s="203"/>
      <c r="D117" s="203"/>
      <c r="E117" s="203"/>
      <c r="F117" s="203"/>
      <c r="Q117" s="182"/>
      <c r="R117" s="182"/>
      <c r="T117" s="182"/>
      <c r="U117" s="182"/>
      <c r="W117" s="182"/>
      <c r="X117" s="182"/>
      <c r="Z117" s="182"/>
      <c r="AA117" s="182"/>
      <c r="AC117" s="182"/>
      <c r="AD117" s="182"/>
      <c r="AF117" s="182"/>
      <c r="AG117" s="182"/>
      <c r="AI117" s="182"/>
      <c r="AJ117" s="182"/>
      <c r="AK117" s="182"/>
      <c r="AL117" s="182"/>
      <c r="AM117" s="182"/>
      <c r="AN117" s="182"/>
    </row>
    <row r="118" spans="1:41" x14ac:dyDescent="0.25">
      <c r="A118" s="205" t="s">
        <v>118</v>
      </c>
      <c r="B118" s="20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</row>
    <row r="119" spans="1:41" x14ac:dyDescent="0.25">
      <c r="A119" s="206" t="s">
        <v>119</v>
      </c>
      <c r="B119" s="206"/>
      <c r="C119" s="206"/>
      <c r="D119" s="206"/>
      <c r="E119" s="206"/>
      <c r="F119" s="206"/>
      <c r="G119" s="203"/>
      <c r="H119" s="206"/>
      <c r="I119" s="206"/>
      <c r="J119" s="203"/>
      <c r="K119" s="206"/>
      <c r="L119" s="206"/>
      <c r="M119" s="203"/>
      <c r="N119" s="206"/>
      <c r="O119" s="206"/>
      <c r="P119" s="203"/>
      <c r="Q119" s="206"/>
      <c r="R119" s="206"/>
      <c r="S119" s="203"/>
      <c r="T119" s="206"/>
      <c r="U119" s="206"/>
      <c r="V119" s="203"/>
      <c r="W119" s="206"/>
      <c r="X119" s="206"/>
      <c r="Y119" s="203"/>
      <c r="Z119" s="206"/>
      <c r="AA119" s="206"/>
      <c r="AB119" s="203"/>
      <c r="AC119" s="206"/>
      <c r="AD119" s="206"/>
      <c r="AE119" s="203"/>
      <c r="AF119" s="206"/>
      <c r="AG119" s="206"/>
      <c r="AH119" s="203"/>
      <c r="AI119" s="206"/>
      <c r="AJ119" s="206"/>
      <c r="AK119" s="206"/>
      <c r="AL119" s="206"/>
      <c r="AM119" s="206"/>
      <c r="AN119" s="206"/>
    </row>
    <row r="120" spans="1:41" x14ac:dyDescent="0.25">
      <c r="A120" s="206" t="s">
        <v>120</v>
      </c>
      <c r="B120" s="206"/>
      <c r="C120" s="206"/>
      <c r="D120" s="206"/>
      <c r="E120" s="206"/>
      <c r="F120" s="206"/>
      <c r="G120" s="203"/>
      <c r="H120" s="206"/>
      <c r="I120" s="206"/>
      <c r="J120" s="203"/>
      <c r="K120" s="206"/>
      <c r="L120" s="206"/>
      <c r="M120" s="203"/>
      <c r="N120" s="206"/>
      <c r="O120" s="206"/>
      <c r="P120" s="203"/>
      <c r="Q120" s="206"/>
      <c r="R120" s="206"/>
      <c r="S120" s="203"/>
      <c r="T120" s="206"/>
      <c r="U120" s="206"/>
      <c r="V120" s="203"/>
      <c r="W120" s="206"/>
      <c r="X120" s="206"/>
      <c r="Y120" s="203"/>
      <c r="Z120" s="206"/>
      <c r="AA120" s="206"/>
      <c r="AB120" s="203"/>
      <c r="AC120" s="206"/>
      <c r="AD120" s="206"/>
      <c r="AE120" s="203"/>
      <c r="AF120" s="206"/>
      <c r="AG120" s="206"/>
      <c r="AH120" s="203"/>
      <c r="AI120" s="206"/>
      <c r="AJ120" s="206"/>
      <c r="AK120" s="206"/>
      <c r="AL120" s="206"/>
      <c r="AM120" s="206"/>
      <c r="AN120" s="206"/>
    </row>
    <row r="121" spans="1:41" x14ac:dyDescent="0.25">
      <c r="A121" s="206" t="s">
        <v>121</v>
      </c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</row>
    <row r="122" spans="1:41" x14ac:dyDescent="0.25">
      <c r="A122" s="206" t="s">
        <v>122</v>
      </c>
      <c r="AE122" s="207"/>
      <c r="AH122" s="207"/>
    </row>
    <row r="123" spans="1:41" x14ac:dyDescent="0.25">
      <c r="A123" s="206" t="s">
        <v>123</v>
      </c>
    </row>
    <row r="124" spans="1:41" x14ac:dyDescent="0.25">
      <c r="A124" s="206" t="s">
        <v>124</v>
      </c>
    </row>
    <row r="125" spans="1:41" x14ac:dyDescent="0.25">
      <c r="A125" s="206" t="s">
        <v>126</v>
      </c>
    </row>
  </sheetData>
  <sheetProtection algorithmName="SHA-512" hashValue="kQDME+S/B8YmCzZO0bZsh+uEMJGKCKHRpHFvn2rcBtqCbQTS/pb4bftleqVOuRh0nLqMEjIZSffeRF3yhmKYjg==" saltValue="PMD8w75dQHbBqx3RQOPcOA==" spinCount="100000" sheet="1" objects="1" scenarios="1"/>
  <mergeCells count="1158">
    <mergeCell ref="Z114:AB114"/>
    <mergeCell ref="AC114:AE114"/>
    <mergeCell ref="AF114:AH114"/>
    <mergeCell ref="A118:AN118"/>
    <mergeCell ref="AC113:AE113"/>
    <mergeCell ref="AF113:AH113"/>
    <mergeCell ref="B114:D114"/>
    <mergeCell ref="E114:G114"/>
    <mergeCell ref="H114:J114"/>
    <mergeCell ref="K114:M114"/>
    <mergeCell ref="N114:P114"/>
    <mergeCell ref="Q114:S114"/>
    <mergeCell ref="T114:V114"/>
    <mergeCell ref="W114:Y114"/>
    <mergeCell ref="AK112:AO113"/>
    <mergeCell ref="B113:D113"/>
    <mergeCell ref="E113:G113"/>
    <mergeCell ref="H113:J113"/>
    <mergeCell ref="K113:M113"/>
    <mergeCell ref="N113:P113"/>
    <mergeCell ref="Q113:S113"/>
    <mergeCell ref="T113:V113"/>
    <mergeCell ref="W113:Y113"/>
    <mergeCell ref="Z113:AB113"/>
    <mergeCell ref="Q112:S112"/>
    <mergeCell ref="T112:V112"/>
    <mergeCell ref="W112:Y112"/>
    <mergeCell ref="Z112:AB112"/>
    <mergeCell ref="AC112:AE112"/>
    <mergeCell ref="AF112:AH112"/>
    <mergeCell ref="T111:V111"/>
    <mergeCell ref="W111:Y111"/>
    <mergeCell ref="Z111:AB111"/>
    <mergeCell ref="AC111:AE111"/>
    <mergeCell ref="AF111:AH111"/>
    <mergeCell ref="B112:D112"/>
    <mergeCell ref="E112:G112"/>
    <mergeCell ref="H112:J112"/>
    <mergeCell ref="K112:M112"/>
    <mergeCell ref="N112:P112"/>
    <mergeCell ref="B111:D111"/>
    <mergeCell ref="E111:G111"/>
    <mergeCell ref="H111:J111"/>
    <mergeCell ref="K111:M111"/>
    <mergeCell ref="N111:P111"/>
    <mergeCell ref="Q111:S111"/>
    <mergeCell ref="T110:V110"/>
    <mergeCell ref="W110:Y110"/>
    <mergeCell ref="Z110:AB110"/>
    <mergeCell ref="AC110:AE110"/>
    <mergeCell ref="AF110:AH110"/>
    <mergeCell ref="AK110:AN110"/>
    <mergeCell ref="B110:D110"/>
    <mergeCell ref="E110:G110"/>
    <mergeCell ref="H110:J110"/>
    <mergeCell ref="K110:M110"/>
    <mergeCell ref="N110:P110"/>
    <mergeCell ref="Q110:S110"/>
    <mergeCell ref="Q109:S109"/>
    <mergeCell ref="T109:V109"/>
    <mergeCell ref="W109:Y109"/>
    <mergeCell ref="Z109:AB109"/>
    <mergeCell ref="AC109:AE109"/>
    <mergeCell ref="AF109:AH109"/>
    <mergeCell ref="T108:V108"/>
    <mergeCell ref="W108:Y108"/>
    <mergeCell ref="Z108:AB108"/>
    <mergeCell ref="AC108:AE108"/>
    <mergeCell ref="AF108:AH108"/>
    <mergeCell ref="B109:D109"/>
    <mergeCell ref="E109:G109"/>
    <mergeCell ref="H109:J109"/>
    <mergeCell ref="K109:M109"/>
    <mergeCell ref="N109:P109"/>
    <mergeCell ref="AL104:AN104"/>
    <mergeCell ref="B105:D105"/>
    <mergeCell ref="AL105:AN105"/>
    <mergeCell ref="A106:AN107"/>
    <mergeCell ref="B108:D108"/>
    <mergeCell ref="E108:G108"/>
    <mergeCell ref="H108:J108"/>
    <mergeCell ref="K108:M108"/>
    <mergeCell ref="N108:P108"/>
    <mergeCell ref="Q108:S108"/>
    <mergeCell ref="T104:V104"/>
    <mergeCell ref="W104:Y104"/>
    <mergeCell ref="Z104:AB104"/>
    <mergeCell ref="AC104:AE104"/>
    <mergeCell ref="AF104:AH104"/>
    <mergeCell ref="AI104:AK104"/>
    <mergeCell ref="AC103:AE103"/>
    <mergeCell ref="AF103:AH103"/>
    <mergeCell ref="AI103:AK103"/>
    <mergeCell ref="AM103:AN103"/>
    <mergeCell ref="B104:D104"/>
    <mergeCell ref="E104:G104"/>
    <mergeCell ref="H104:J104"/>
    <mergeCell ref="K104:M104"/>
    <mergeCell ref="N104:P104"/>
    <mergeCell ref="Q104:S104"/>
    <mergeCell ref="AM102:AN102"/>
    <mergeCell ref="B103:D103"/>
    <mergeCell ref="E103:G103"/>
    <mergeCell ref="H103:J103"/>
    <mergeCell ref="K103:M103"/>
    <mergeCell ref="N103:P103"/>
    <mergeCell ref="Q103:S103"/>
    <mergeCell ref="T103:V103"/>
    <mergeCell ref="W103:Y103"/>
    <mergeCell ref="Z103:AB103"/>
    <mergeCell ref="T102:V102"/>
    <mergeCell ref="W102:Y102"/>
    <mergeCell ref="Z102:AB102"/>
    <mergeCell ref="AC102:AE102"/>
    <mergeCell ref="AF102:AH102"/>
    <mergeCell ref="AI102:AK102"/>
    <mergeCell ref="AC101:AE101"/>
    <mergeCell ref="AF101:AH101"/>
    <mergeCell ref="AI101:AK101"/>
    <mergeCell ref="AM101:AN101"/>
    <mergeCell ref="B102:D102"/>
    <mergeCell ref="E102:G102"/>
    <mergeCell ref="H102:J102"/>
    <mergeCell ref="K102:M102"/>
    <mergeCell ref="N102:P102"/>
    <mergeCell ref="Q102:S102"/>
    <mergeCell ref="AM100:AN100"/>
    <mergeCell ref="B101:D101"/>
    <mergeCell ref="E101:G101"/>
    <mergeCell ref="H101:J101"/>
    <mergeCell ref="K101:M101"/>
    <mergeCell ref="N101:P101"/>
    <mergeCell ref="Q101:S101"/>
    <mergeCell ref="T101:V101"/>
    <mergeCell ref="W101:Y101"/>
    <mergeCell ref="Z101:AB101"/>
    <mergeCell ref="T100:V100"/>
    <mergeCell ref="W100:Y100"/>
    <mergeCell ref="Z100:AB100"/>
    <mergeCell ref="AC100:AE100"/>
    <mergeCell ref="AF100:AH100"/>
    <mergeCell ref="AI100:AK100"/>
    <mergeCell ref="AC99:AE99"/>
    <mergeCell ref="AF99:AH99"/>
    <mergeCell ref="AI99:AK99"/>
    <mergeCell ref="AM99:AN99"/>
    <mergeCell ref="B100:D100"/>
    <mergeCell ref="E100:G100"/>
    <mergeCell ref="H100:J100"/>
    <mergeCell ref="K100:M100"/>
    <mergeCell ref="N100:P100"/>
    <mergeCell ref="Q100:S100"/>
    <mergeCell ref="AM98:AN98"/>
    <mergeCell ref="B99:D99"/>
    <mergeCell ref="E99:G99"/>
    <mergeCell ref="H99:J99"/>
    <mergeCell ref="K99:M99"/>
    <mergeCell ref="N99:P99"/>
    <mergeCell ref="Q99:S99"/>
    <mergeCell ref="T99:V99"/>
    <mergeCell ref="W99:Y99"/>
    <mergeCell ref="Z99:AB99"/>
    <mergeCell ref="T98:V98"/>
    <mergeCell ref="W98:Y98"/>
    <mergeCell ref="Z98:AB98"/>
    <mergeCell ref="AC98:AE98"/>
    <mergeCell ref="AF98:AH98"/>
    <mergeCell ref="AI98:AK98"/>
    <mergeCell ref="AC97:AE97"/>
    <mergeCell ref="AF97:AH97"/>
    <mergeCell ref="AI97:AK97"/>
    <mergeCell ref="AM97:AN97"/>
    <mergeCell ref="B98:D98"/>
    <mergeCell ref="E98:G98"/>
    <mergeCell ref="H98:J98"/>
    <mergeCell ref="K98:M98"/>
    <mergeCell ref="N98:P98"/>
    <mergeCell ref="Q98:S98"/>
    <mergeCell ref="AM96:AN96"/>
    <mergeCell ref="B97:D97"/>
    <mergeCell ref="E97:G97"/>
    <mergeCell ref="H97:J97"/>
    <mergeCell ref="K97:M97"/>
    <mergeCell ref="N97:P97"/>
    <mergeCell ref="Q97:S97"/>
    <mergeCell ref="T97:V97"/>
    <mergeCell ref="W97:Y97"/>
    <mergeCell ref="Z97:AB97"/>
    <mergeCell ref="T96:V96"/>
    <mergeCell ref="W96:Y96"/>
    <mergeCell ref="Z96:AB96"/>
    <mergeCell ref="AC96:AE96"/>
    <mergeCell ref="AF96:AH96"/>
    <mergeCell ref="AI96:AK96"/>
    <mergeCell ref="AC95:AE95"/>
    <mergeCell ref="AF95:AH95"/>
    <mergeCell ref="AI95:AK95"/>
    <mergeCell ref="AM95:AN95"/>
    <mergeCell ref="B96:D96"/>
    <mergeCell ref="E96:G96"/>
    <mergeCell ref="H96:J96"/>
    <mergeCell ref="K96:M96"/>
    <mergeCell ref="N96:P96"/>
    <mergeCell ref="Q96:S96"/>
    <mergeCell ref="AM94:AN94"/>
    <mergeCell ref="B95:D95"/>
    <mergeCell ref="E95:G95"/>
    <mergeCell ref="H95:J95"/>
    <mergeCell ref="K95:M95"/>
    <mergeCell ref="N95:P95"/>
    <mergeCell ref="Q95:S95"/>
    <mergeCell ref="T95:V95"/>
    <mergeCell ref="W95:Y95"/>
    <mergeCell ref="Z95:AB95"/>
    <mergeCell ref="T94:V94"/>
    <mergeCell ref="W94:Y94"/>
    <mergeCell ref="Z94:AB94"/>
    <mergeCell ref="AC94:AE94"/>
    <mergeCell ref="AF94:AH94"/>
    <mergeCell ref="AI94:AK94"/>
    <mergeCell ref="AC93:AE93"/>
    <mergeCell ref="AF93:AH93"/>
    <mergeCell ref="AI93:AK93"/>
    <mergeCell ref="AM93:AN93"/>
    <mergeCell ref="B94:D94"/>
    <mergeCell ref="E94:G94"/>
    <mergeCell ref="H94:J94"/>
    <mergeCell ref="K94:M94"/>
    <mergeCell ref="N94:P94"/>
    <mergeCell ref="Q94:S94"/>
    <mergeCell ref="AM92:AN92"/>
    <mergeCell ref="B93:D93"/>
    <mergeCell ref="E93:G93"/>
    <mergeCell ref="H93:J93"/>
    <mergeCell ref="K93:M93"/>
    <mergeCell ref="N93:P93"/>
    <mergeCell ref="Q93:S93"/>
    <mergeCell ref="T93:V93"/>
    <mergeCell ref="W93:Y93"/>
    <mergeCell ref="Z93:AB93"/>
    <mergeCell ref="T92:V92"/>
    <mergeCell ref="W92:Y92"/>
    <mergeCell ref="Z92:AB92"/>
    <mergeCell ref="AC92:AE92"/>
    <mergeCell ref="AF92:AH92"/>
    <mergeCell ref="AI92:AK92"/>
    <mergeCell ref="AC91:AE91"/>
    <mergeCell ref="AF91:AH91"/>
    <mergeCell ref="AI91:AK91"/>
    <mergeCell ref="AM91:AN91"/>
    <mergeCell ref="B92:D92"/>
    <mergeCell ref="E92:G92"/>
    <mergeCell ref="H92:J92"/>
    <mergeCell ref="K92:M92"/>
    <mergeCell ref="N92:P92"/>
    <mergeCell ref="Q92:S92"/>
    <mergeCell ref="AM90:AN90"/>
    <mergeCell ref="B91:D91"/>
    <mergeCell ref="E91:G91"/>
    <mergeCell ref="H91:J91"/>
    <mergeCell ref="K91:M91"/>
    <mergeCell ref="N91:P91"/>
    <mergeCell ref="Q91:S91"/>
    <mergeCell ref="T91:V91"/>
    <mergeCell ref="W91:Y91"/>
    <mergeCell ref="Z91:AB91"/>
    <mergeCell ref="T90:V90"/>
    <mergeCell ref="W90:Y90"/>
    <mergeCell ref="Z90:AB90"/>
    <mergeCell ref="AC90:AE90"/>
    <mergeCell ref="AF90:AH90"/>
    <mergeCell ref="AI90:AK90"/>
    <mergeCell ref="AC89:AE89"/>
    <mergeCell ref="AF89:AH89"/>
    <mergeCell ref="AI89:AK89"/>
    <mergeCell ref="AM89:AN89"/>
    <mergeCell ref="B90:D90"/>
    <mergeCell ref="E90:G90"/>
    <mergeCell ref="H90:J90"/>
    <mergeCell ref="K90:M90"/>
    <mergeCell ref="N90:P90"/>
    <mergeCell ref="Q90:S90"/>
    <mergeCell ref="AM88:AN88"/>
    <mergeCell ref="B89:D89"/>
    <mergeCell ref="E89:G89"/>
    <mergeCell ref="H89:J89"/>
    <mergeCell ref="K89:M89"/>
    <mergeCell ref="N89:P89"/>
    <mergeCell ref="Q89:S89"/>
    <mergeCell ref="T89:V89"/>
    <mergeCell ref="W89:Y89"/>
    <mergeCell ref="Z89:AB89"/>
    <mergeCell ref="T88:V88"/>
    <mergeCell ref="W88:Y88"/>
    <mergeCell ref="Z88:AB88"/>
    <mergeCell ref="AC88:AE88"/>
    <mergeCell ref="AF88:AH88"/>
    <mergeCell ref="AI88:AK88"/>
    <mergeCell ref="AC87:AE87"/>
    <mergeCell ref="AF87:AH87"/>
    <mergeCell ref="AI87:AK87"/>
    <mergeCell ref="AM87:AN87"/>
    <mergeCell ref="B88:D88"/>
    <mergeCell ref="E88:G88"/>
    <mergeCell ref="H88:J88"/>
    <mergeCell ref="K88:M88"/>
    <mergeCell ref="N88:P88"/>
    <mergeCell ref="Q88:S88"/>
    <mergeCell ref="AM86:AN86"/>
    <mergeCell ref="B87:D87"/>
    <mergeCell ref="E87:G87"/>
    <mergeCell ref="H87:J87"/>
    <mergeCell ref="K87:M87"/>
    <mergeCell ref="N87:P87"/>
    <mergeCell ref="Q87:S87"/>
    <mergeCell ref="T87:V87"/>
    <mergeCell ref="W87:Y87"/>
    <mergeCell ref="Z87:AB87"/>
    <mergeCell ref="T86:V86"/>
    <mergeCell ref="W86:Y86"/>
    <mergeCell ref="Z86:AB86"/>
    <mergeCell ref="AC86:AE86"/>
    <mergeCell ref="AF86:AH86"/>
    <mergeCell ref="AI86:AK86"/>
    <mergeCell ref="AC85:AE85"/>
    <mergeCell ref="AF85:AH85"/>
    <mergeCell ref="AI85:AK85"/>
    <mergeCell ref="AM85:AN85"/>
    <mergeCell ref="B86:D86"/>
    <mergeCell ref="E86:G86"/>
    <mergeCell ref="H86:J86"/>
    <mergeCell ref="K86:M86"/>
    <mergeCell ref="N86:P86"/>
    <mergeCell ref="Q86:S86"/>
    <mergeCell ref="AM84:AN84"/>
    <mergeCell ref="B85:D85"/>
    <mergeCell ref="E85:G85"/>
    <mergeCell ref="H85:J85"/>
    <mergeCell ref="K85:M85"/>
    <mergeCell ref="N85:P85"/>
    <mergeCell ref="Q85:S85"/>
    <mergeCell ref="T85:V85"/>
    <mergeCell ref="W85:Y85"/>
    <mergeCell ref="Z85:AB85"/>
    <mergeCell ref="T84:V84"/>
    <mergeCell ref="W84:Y84"/>
    <mergeCell ref="Z84:AB84"/>
    <mergeCell ref="AC84:AE84"/>
    <mergeCell ref="AF84:AH84"/>
    <mergeCell ref="AI84:AK84"/>
    <mergeCell ref="AC83:AE83"/>
    <mergeCell ref="AF83:AH83"/>
    <mergeCell ref="AI83:AK83"/>
    <mergeCell ref="AM83:AN83"/>
    <mergeCell ref="B84:D84"/>
    <mergeCell ref="E84:G84"/>
    <mergeCell ref="H84:J84"/>
    <mergeCell ref="K84:M84"/>
    <mergeCell ref="N84:P84"/>
    <mergeCell ref="Q84:S84"/>
    <mergeCell ref="AM82:AN82"/>
    <mergeCell ref="B83:D83"/>
    <mergeCell ref="E83:G83"/>
    <mergeCell ref="H83:J83"/>
    <mergeCell ref="K83:M83"/>
    <mergeCell ref="N83:P83"/>
    <mergeCell ref="Q83:S83"/>
    <mergeCell ref="T83:V83"/>
    <mergeCell ref="W83:Y83"/>
    <mergeCell ref="Z83:AB83"/>
    <mergeCell ref="T82:V82"/>
    <mergeCell ref="W82:Y82"/>
    <mergeCell ref="Z82:AB82"/>
    <mergeCell ref="AC82:AE82"/>
    <mergeCell ref="AF82:AH82"/>
    <mergeCell ref="AI82:AK82"/>
    <mergeCell ref="AC81:AE81"/>
    <mergeCell ref="AF81:AH81"/>
    <mergeCell ref="AI81:AK81"/>
    <mergeCell ref="AM81:AN81"/>
    <mergeCell ref="B82:D82"/>
    <mergeCell ref="E82:G82"/>
    <mergeCell ref="H82:J82"/>
    <mergeCell ref="K82:M82"/>
    <mergeCell ref="N82:P82"/>
    <mergeCell ref="Q82:S82"/>
    <mergeCell ref="AM80:AN80"/>
    <mergeCell ref="B81:D81"/>
    <mergeCell ref="E81:G81"/>
    <mergeCell ref="H81:J81"/>
    <mergeCell ref="K81:M81"/>
    <mergeCell ref="N81:P81"/>
    <mergeCell ref="Q81:S81"/>
    <mergeCell ref="T81:V81"/>
    <mergeCell ref="W81:Y81"/>
    <mergeCell ref="Z81:AB81"/>
    <mergeCell ref="T80:V80"/>
    <mergeCell ref="W80:Y80"/>
    <mergeCell ref="Z80:AB80"/>
    <mergeCell ref="AC80:AE80"/>
    <mergeCell ref="AF80:AH80"/>
    <mergeCell ref="AI80:AK80"/>
    <mergeCell ref="AC79:AE79"/>
    <mergeCell ref="AF79:AH79"/>
    <mergeCell ref="AI79:AK79"/>
    <mergeCell ref="AM79:AN79"/>
    <mergeCell ref="B80:D80"/>
    <mergeCell ref="E80:G80"/>
    <mergeCell ref="H80:J80"/>
    <mergeCell ref="K80:M80"/>
    <mergeCell ref="N80:P80"/>
    <mergeCell ref="Q80:S80"/>
    <mergeCell ref="AM78:AN78"/>
    <mergeCell ref="B79:D79"/>
    <mergeCell ref="E79:G79"/>
    <mergeCell ref="H79:J79"/>
    <mergeCell ref="K79:M79"/>
    <mergeCell ref="N79:P79"/>
    <mergeCell ref="Q79:S79"/>
    <mergeCell ref="T79:V79"/>
    <mergeCell ref="W79:Y79"/>
    <mergeCell ref="Z79:AB79"/>
    <mergeCell ref="T78:V78"/>
    <mergeCell ref="W78:Y78"/>
    <mergeCell ref="Z78:AB78"/>
    <mergeCell ref="AC78:AE78"/>
    <mergeCell ref="AF78:AH78"/>
    <mergeCell ref="AI78:AK78"/>
    <mergeCell ref="AC77:AE77"/>
    <mergeCell ref="AF77:AH77"/>
    <mergeCell ref="AI77:AK77"/>
    <mergeCell ref="AM77:AN77"/>
    <mergeCell ref="B78:D78"/>
    <mergeCell ref="E78:G78"/>
    <mergeCell ref="H78:J78"/>
    <mergeCell ref="K78:M78"/>
    <mergeCell ref="N78:P78"/>
    <mergeCell ref="Q78:S78"/>
    <mergeCell ref="AM76:AN76"/>
    <mergeCell ref="B77:D77"/>
    <mergeCell ref="E77:G77"/>
    <mergeCell ref="H77:J77"/>
    <mergeCell ref="K77:M77"/>
    <mergeCell ref="N77:P77"/>
    <mergeCell ref="Q77:S77"/>
    <mergeCell ref="T77:V77"/>
    <mergeCell ref="W77:Y77"/>
    <mergeCell ref="Z77:AB77"/>
    <mergeCell ref="T76:V76"/>
    <mergeCell ref="W76:Y76"/>
    <mergeCell ref="Z76:AB76"/>
    <mergeCell ref="AC76:AE76"/>
    <mergeCell ref="AF76:AH76"/>
    <mergeCell ref="AI76:AK76"/>
    <mergeCell ref="AC75:AE75"/>
    <mergeCell ref="AF75:AH75"/>
    <mergeCell ref="AI75:AK75"/>
    <mergeCell ref="AM75:AN75"/>
    <mergeCell ref="B76:D76"/>
    <mergeCell ref="E76:G76"/>
    <mergeCell ref="H76:J76"/>
    <mergeCell ref="K76:M76"/>
    <mergeCell ref="N76:P76"/>
    <mergeCell ref="Q76:S76"/>
    <mergeCell ref="AM74:AN74"/>
    <mergeCell ref="B75:D75"/>
    <mergeCell ref="E75:G75"/>
    <mergeCell ref="H75:J75"/>
    <mergeCell ref="K75:M75"/>
    <mergeCell ref="N75:P75"/>
    <mergeCell ref="Q75:S75"/>
    <mergeCell ref="T75:V75"/>
    <mergeCell ref="W75:Y75"/>
    <mergeCell ref="Z75:AB75"/>
    <mergeCell ref="T74:V74"/>
    <mergeCell ref="W74:Y74"/>
    <mergeCell ref="Z74:AB74"/>
    <mergeCell ref="AC74:AE74"/>
    <mergeCell ref="AF74:AH74"/>
    <mergeCell ref="AI74:AK74"/>
    <mergeCell ref="AC73:AE73"/>
    <mergeCell ref="AF73:AH73"/>
    <mergeCell ref="AI73:AK73"/>
    <mergeCell ref="AM73:AN73"/>
    <mergeCell ref="B74:D74"/>
    <mergeCell ref="E74:G74"/>
    <mergeCell ref="H74:J74"/>
    <mergeCell ref="K74:M74"/>
    <mergeCell ref="N74:P74"/>
    <mergeCell ref="Q74:S74"/>
    <mergeCell ref="AM72:AN72"/>
    <mergeCell ref="B73:D73"/>
    <mergeCell ref="E73:G73"/>
    <mergeCell ref="H73:J73"/>
    <mergeCell ref="K73:M73"/>
    <mergeCell ref="N73:P73"/>
    <mergeCell ref="Q73:S73"/>
    <mergeCell ref="T73:V73"/>
    <mergeCell ref="W73:Y73"/>
    <mergeCell ref="Z73:AB73"/>
    <mergeCell ref="T72:V72"/>
    <mergeCell ref="W72:Y72"/>
    <mergeCell ref="Z72:AB72"/>
    <mergeCell ref="AC72:AE72"/>
    <mergeCell ref="AF72:AH72"/>
    <mergeCell ref="AI72:AK72"/>
    <mergeCell ref="AC71:AE71"/>
    <mergeCell ref="AF71:AH71"/>
    <mergeCell ref="AI71:AK71"/>
    <mergeCell ref="AM71:AN71"/>
    <mergeCell ref="B72:D72"/>
    <mergeCell ref="E72:G72"/>
    <mergeCell ref="H72:J72"/>
    <mergeCell ref="K72:M72"/>
    <mergeCell ref="N72:P72"/>
    <mergeCell ref="Q72:S72"/>
    <mergeCell ref="AM70:AN70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T70:V70"/>
    <mergeCell ref="W70:Y70"/>
    <mergeCell ref="Z70:AB70"/>
    <mergeCell ref="AC70:AE70"/>
    <mergeCell ref="AF70:AH70"/>
    <mergeCell ref="AI70:AK70"/>
    <mergeCell ref="AC69:AE69"/>
    <mergeCell ref="AF69:AH69"/>
    <mergeCell ref="AI69:AK69"/>
    <mergeCell ref="AM69:AN69"/>
    <mergeCell ref="B70:D70"/>
    <mergeCell ref="E70:G70"/>
    <mergeCell ref="H70:J70"/>
    <mergeCell ref="K70:M70"/>
    <mergeCell ref="N70:P70"/>
    <mergeCell ref="Q70:S70"/>
    <mergeCell ref="AM68:AN68"/>
    <mergeCell ref="B69:D69"/>
    <mergeCell ref="E69:G69"/>
    <mergeCell ref="H69:J69"/>
    <mergeCell ref="K69:M69"/>
    <mergeCell ref="N69:P69"/>
    <mergeCell ref="Q69:S69"/>
    <mergeCell ref="T69:V69"/>
    <mergeCell ref="W69:Y69"/>
    <mergeCell ref="Z69:AB69"/>
    <mergeCell ref="T68:V68"/>
    <mergeCell ref="W68:Y68"/>
    <mergeCell ref="Z68:AB68"/>
    <mergeCell ref="AC68:AE68"/>
    <mergeCell ref="AF68:AH68"/>
    <mergeCell ref="AI68:AK68"/>
    <mergeCell ref="AC67:AE67"/>
    <mergeCell ref="AF67:AH67"/>
    <mergeCell ref="AI67:AK67"/>
    <mergeCell ref="AM67:AN67"/>
    <mergeCell ref="B68:D68"/>
    <mergeCell ref="E68:G68"/>
    <mergeCell ref="H68:J68"/>
    <mergeCell ref="K68:M68"/>
    <mergeCell ref="N68:P68"/>
    <mergeCell ref="Q68:S68"/>
    <mergeCell ref="AM66:AN66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T66:V66"/>
    <mergeCell ref="W66:Y66"/>
    <mergeCell ref="Z66:AB66"/>
    <mergeCell ref="AC66:AE66"/>
    <mergeCell ref="AF66:AH66"/>
    <mergeCell ref="AI66:AK66"/>
    <mergeCell ref="AC65:AE65"/>
    <mergeCell ref="AF65:AH65"/>
    <mergeCell ref="AI65:AK65"/>
    <mergeCell ref="AM65:AN65"/>
    <mergeCell ref="B66:D66"/>
    <mergeCell ref="E66:G66"/>
    <mergeCell ref="H66:J66"/>
    <mergeCell ref="K66:M66"/>
    <mergeCell ref="N66:P66"/>
    <mergeCell ref="Q66:S66"/>
    <mergeCell ref="AM64:AN64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T64:V64"/>
    <mergeCell ref="W64:Y64"/>
    <mergeCell ref="Z64:AB64"/>
    <mergeCell ref="AC64:AE64"/>
    <mergeCell ref="AF64:AH64"/>
    <mergeCell ref="AI64:AK64"/>
    <mergeCell ref="AC63:AE63"/>
    <mergeCell ref="AF63:AH63"/>
    <mergeCell ref="AI63:AK63"/>
    <mergeCell ref="AM63:AN63"/>
    <mergeCell ref="B64:D64"/>
    <mergeCell ref="E64:G64"/>
    <mergeCell ref="H64:J64"/>
    <mergeCell ref="K64:M64"/>
    <mergeCell ref="N64:P64"/>
    <mergeCell ref="Q64:S64"/>
    <mergeCell ref="AM62:AN62"/>
    <mergeCell ref="B63:D63"/>
    <mergeCell ref="E63:G63"/>
    <mergeCell ref="H63:J63"/>
    <mergeCell ref="K63:M63"/>
    <mergeCell ref="N63:P63"/>
    <mergeCell ref="Q63:S63"/>
    <mergeCell ref="T63:V63"/>
    <mergeCell ref="W63:Y63"/>
    <mergeCell ref="Z63:AB63"/>
    <mergeCell ref="T62:V62"/>
    <mergeCell ref="W62:Y62"/>
    <mergeCell ref="Z62:AB62"/>
    <mergeCell ref="AC62:AE62"/>
    <mergeCell ref="AF62:AH62"/>
    <mergeCell ref="AI62:AK62"/>
    <mergeCell ref="AC61:AE61"/>
    <mergeCell ref="AF61:AH61"/>
    <mergeCell ref="AI61:AK61"/>
    <mergeCell ref="AM61:AN61"/>
    <mergeCell ref="B62:D62"/>
    <mergeCell ref="E62:G62"/>
    <mergeCell ref="H62:J62"/>
    <mergeCell ref="K62:M62"/>
    <mergeCell ref="N62:P62"/>
    <mergeCell ref="Q62:S62"/>
    <mergeCell ref="AM60:AN60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T60:V60"/>
    <mergeCell ref="W60:Y60"/>
    <mergeCell ref="Z60:AB60"/>
    <mergeCell ref="AC60:AE60"/>
    <mergeCell ref="AF60:AH60"/>
    <mergeCell ref="AI60:AK60"/>
    <mergeCell ref="AC59:AE59"/>
    <mergeCell ref="AF59:AH59"/>
    <mergeCell ref="AI59:AK59"/>
    <mergeCell ref="AM59:AN59"/>
    <mergeCell ref="B60:D60"/>
    <mergeCell ref="E60:G60"/>
    <mergeCell ref="H60:J60"/>
    <mergeCell ref="K60:M60"/>
    <mergeCell ref="N60:P60"/>
    <mergeCell ref="Q60:S60"/>
    <mergeCell ref="AM58:AN58"/>
    <mergeCell ref="B59:D59"/>
    <mergeCell ref="E59:G59"/>
    <mergeCell ref="H59:J59"/>
    <mergeCell ref="K59:M59"/>
    <mergeCell ref="N59:P59"/>
    <mergeCell ref="Q59:S59"/>
    <mergeCell ref="T59:V59"/>
    <mergeCell ref="W59:Y59"/>
    <mergeCell ref="Z59:AB59"/>
    <mergeCell ref="T58:V58"/>
    <mergeCell ref="W58:Y58"/>
    <mergeCell ref="Z58:AB58"/>
    <mergeCell ref="AC58:AE58"/>
    <mergeCell ref="AF58:AH58"/>
    <mergeCell ref="AI58:AK58"/>
    <mergeCell ref="AC57:AE57"/>
    <mergeCell ref="AF57:AH57"/>
    <mergeCell ref="AI57:AK57"/>
    <mergeCell ref="AM57:AN57"/>
    <mergeCell ref="B58:D58"/>
    <mergeCell ref="E58:G58"/>
    <mergeCell ref="H58:J58"/>
    <mergeCell ref="K58:M58"/>
    <mergeCell ref="N58:P58"/>
    <mergeCell ref="Q58:S58"/>
    <mergeCell ref="AM56:AN56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T56:V56"/>
    <mergeCell ref="W56:Y56"/>
    <mergeCell ref="Z56:AB56"/>
    <mergeCell ref="AC56:AE56"/>
    <mergeCell ref="AF56:AH56"/>
    <mergeCell ref="AI56:AK56"/>
    <mergeCell ref="AC55:AE55"/>
    <mergeCell ref="AF55:AH55"/>
    <mergeCell ref="AI55:AK55"/>
    <mergeCell ref="AM55:AN55"/>
    <mergeCell ref="B56:D56"/>
    <mergeCell ref="E56:G56"/>
    <mergeCell ref="H56:J56"/>
    <mergeCell ref="K56:M56"/>
    <mergeCell ref="N56:P56"/>
    <mergeCell ref="Q56:S56"/>
    <mergeCell ref="AM54:AN54"/>
    <mergeCell ref="B55:D55"/>
    <mergeCell ref="E55:G55"/>
    <mergeCell ref="H55:J55"/>
    <mergeCell ref="K55:M55"/>
    <mergeCell ref="N55:P55"/>
    <mergeCell ref="Q55:S55"/>
    <mergeCell ref="T55:V55"/>
    <mergeCell ref="W55:Y55"/>
    <mergeCell ref="Z55:AB55"/>
    <mergeCell ref="T54:V54"/>
    <mergeCell ref="W54:Y54"/>
    <mergeCell ref="Z54:AB54"/>
    <mergeCell ref="AC54:AE54"/>
    <mergeCell ref="AF54:AH54"/>
    <mergeCell ref="AI54:AK54"/>
    <mergeCell ref="AC53:AE53"/>
    <mergeCell ref="AF53:AH53"/>
    <mergeCell ref="AI53:AK53"/>
    <mergeCell ref="AM53:AN53"/>
    <mergeCell ref="B54:D54"/>
    <mergeCell ref="E54:G54"/>
    <mergeCell ref="H54:J54"/>
    <mergeCell ref="K54:M54"/>
    <mergeCell ref="N54:P54"/>
    <mergeCell ref="Q54:S54"/>
    <mergeCell ref="AM52:AN52"/>
    <mergeCell ref="B53:D53"/>
    <mergeCell ref="E53:G53"/>
    <mergeCell ref="H53:J53"/>
    <mergeCell ref="K53:M53"/>
    <mergeCell ref="N53:P53"/>
    <mergeCell ref="Q53:S53"/>
    <mergeCell ref="T53:V53"/>
    <mergeCell ref="W53:Y53"/>
    <mergeCell ref="Z53:AB53"/>
    <mergeCell ref="T52:V52"/>
    <mergeCell ref="W52:Y52"/>
    <mergeCell ref="Z52:AB52"/>
    <mergeCell ref="AC52:AE52"/>
    <mergeCell ref="AF52:AH52"/>
    <mergeCell ref="AI52:AK52"/>
    <mergeCell ref="AC51:AE51"/>
    <mergeCell ref="AF51:AH51"/>
    <mergeCell ref="AI51:AK51"/>
    <mergeCell ref="AM51:AN51"/>
    <mergeCell ref="B52:D52"/>
    <mergeCell ref="E52:G52"/>
    <mergeCell ref="H52:J52"/>
    <mergeCell ref="K52:M52"/>
    <mergeCell ref="N52:P52"/>
    <mergeCell ref="Q52:S52"/>
    <mergeCell ref="AM50:AN50"/>
    <mergeCell ref="B51:D51"/>
    <mergeCell ref="E51:G51"/>
    <mergeCell ref="H51:J51"/>
    <mergeCell ref="K51:M51"/>
    <mergeCell ref="N51:P51"/>
    <mergeCell ref="Q51:S51"/>
    <mergeCell ref="T51:V51"/>
    <mergeCell ref="W51:Y51"/>
    <mergeCell ref="Z51:AB51"/>
    <mergeCell ref="T50:V50"/>
    <mergeCell ref="W50:Y50"/>
    <mergeCell ref="Z50:AB50"/>
    <mergeCell ref="AC50:AE50"/>
    <mergeCell ref="AF50:AH50"/>
    <mergeCell ref="AI50:AK50"/>
    <mergeCell ref="AC49:AE49"/>
    <mergeCell ref="AF49:AH49"/>
    <mergeCell ref="AI49:AK49"/>
    <mergeCell ref="AM49:AN49"/>
    <mergeCell ref="B50:D50"/>
    <mergeCell ref="E50:G50"/>
    <mergeCell ref="H50:J50"/>
    <mergeCell ref="K50:M50"/>
    <mergeCell ref="N50:P50"/>
    <mergeCell ref="Q50:S50"/>
    <mergeCell ref="AM48:AN48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T48:V48"/>
    <mergeCell ref="W48:Y48"/>
    <mergeCell ref="Z48:AB48"/>
    <mergeCell ref="AC48:AE48"/>
    <mergeCell ref="AF48:AH48"/>
    <mergeCell ref="AI48:AK48"/>
    <mergeCell ref="AC47:AE47"/>
    <mergeCell ref="AF47:AH47"/>
    <mergeCell ref="AI47:AK47"/>
    <mergeCell ref="AM47:AN47"/>
    <mergeCell ref="B48:D48"/>
    <mergeCell ref="E48:G48"/>
    <mergeCell ref="H48:J48"/>
    <mergeCell ref="K48:M48"/>
    <mergeCell ref="N48:P48"/>
    <mergeCell ref="Q48:S48"/>
    <mergeCell ref="AM46:AN46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T46:V46"/>
    <mergeCell ref="W46:Y46"/>
    <mergeCell ref="Z46:AB46"/>
    <mergeCell ref="AC46:AE46"/>
    <mergeCell ref="AF46:AH46"/>
    <mergeCell ref="AI46:AK46"/>
    <mergeCell ref="AC45:AE45"/>
    <mergeCell ref="AF45:AH45"/>
    <mergeCell ref="AI45:AK45"/>
    <mergeCell ref="AM45:AN45"/>
    <mergeCell ref="B46:D46"/>
    <mergeCell ref="E46:G46"/>
    <mergeCell ref="H46:J46"/>
    <mergeCell ref="K46:M46"/>
    <mergeCell ref="N46:P46"/>
    <mergeCell ref="Q46:S46"/>
    <mergeCell ref="AM44:AN44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T44:V44"/>
    <mergeCell ref="W44:Y44"/>
    <mergeCell ref="Z44:AB44"/>
    <mergeCell ref="AC44:AE44"/>
    <mergeCell ref="AF44:AH44"/>
    <mergeCell ref="AI44:AK44"/>
    <mergeCell ref="AC43:AE43"/>
    <mergeCell ref="AF43:AH43"/>
    <mergeCell ref="AI43:AK43"/>
    <mergeCell ref="AM43:AN43"/>
    <mergeCell ref="B44:D44"/>
    <mergeCell ref="E44:G44"/>
    <mergeCell ref="H44:J44"/>
    <mergeCell ref="K44:M44"/>
    <mergeCell ref="N44:P44"/>
    <mergeCell ref="Q44:S44"/>
    <mergeCell ref="AM42:AN42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T42:V42"/>
    <mergeCell ref="W42:Y42"/>
    <mergeCell ref="Z42:AB42"/>
    <mergeCell ref="AC42:AE42"/>
    <mergeCell ref="AF42:AH42"/>
    <mergeCell ref="AI42:AK42"/>
    <mergeCell ref="AC41:AE41"/>
    <mergeCell ref="AF41:AH41"/>
    <mergeCell ref="AI41:AK41"/>
    <mergeCell ref="AM41:AN41"/>
    <mergeCell ref="B42:D42"/>
    <mergeCell ref="E42:G42"/>
    <mergeCell ref="H42:J42"/>
    <mergeCell ref="K42:M42"/>
    <mergeCell ref="N42:P42"/>
    <mergeCell ref="Q42:S42"/>
    <mergeCell ref="AM40:AN40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T40:V40"/>
    <mergeCell ref="W40:Y40"/>
    <mergeCell ref="Z40:AB40"/>
    <mergeCell ref="AC40:AE40"/>
    <mergeCell ref="AF40:AH40"/>
    <mergeCell ref="AI40:AK40"/>
    <mergeCell ref="AC39:AE39"/>
    <mergeCell ref="AF39:AH39"/>
    <mergeCell ref="AI39:AK39"/>
    <mergeCell ref="AM39:AN39"/>
    <mergeCell ref="B40:D40"/>
    <mergeCell ref="E40:G40"/>
    <mergeCell ref="H40:J40"/>
    <mergeCell ref="K40:M40"/>
    <mergeCell ref="N40:P40"/>
    <mergeCell ref="Q40:S40"/>
    <mergeCell ref="AM38:AN38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T38:V38"/>
    <mergeCell ref="W38:Y38"/>
    <mergeCell ref="Z38:AB38"/>
    <mergeCell ref="AC38:AE38"/>
    <mergeCell ref="AF38:AH38"/>
    <mergeCell ref="AI38:AK38"/>
    <mergeCell ref="AC37:AE37"/>
    <mergeCell ref="AF37:AH37"/>
    <mergeCell ref="AI37:AK37"/>
    <mergeCell ref="AM37:AN37"/>
    <mergeCell ref="B38:D38"/>
    <mergeCell ref="E38:G38"/>
    <mergeCell ref="H38:J38"/>
    <mergeCell ref="K38:M38"/>
    <mergeCell ref="N38:P38"/>
    <mergeCell ref="Q38:S38"/>
    <mergeCell ref="AM36:AN36"/>
    <mergeCell ref="B37:D37"/>
    <mergeCell ref="E37:G37"/>
    <mergeCell ref="H37:J37"/>
    <mergeCell ref="K37:M37"/>
    <mergeCell ref="N37:P37"/>
    <mergeCell ref="Q37:S37"/>
    <mergeCell ref="T37:V37"/>
    <mergeCell ref="W37:Y37"/>
    <mergeCell ref="Z37:AB37"/>
    <mergeCell ref="T36:V36"/>
    <mergeCell ref="W36:Y36"/>
    <mergeCell ref="Z36:AB36"/>
    <mergeCell ref="AC36:AE36"/>
    <mergeCell ref="AF36:AH36"/>
    <mergeCell ref="AI36:AK36"/>
    <mergeCell ref="AC35:AE35"/>
    <mergeCell ref="AF35:AH35"/>
    <mergeCell ref="AI35:AK35"/>
    <mergeCell ref="AM35:AN35"/>
    <mergeCell ref="B36:D36"/>
    <mergeCell ref="E36:G36"/>
    <mergeCell ref="H36:J36"/>
    <mergeCell ref="K36:M36"/>
    <mergeCell ref="N36:P36"/>
    <mergeCell ref="Q36:S36"/>
    <mergeCell ref="AM34:AN34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T34:V34"/>
    <mergeCell ref="W34:Y34"/>
    <mergeCell ref="Z34:AB34"/>
    <mergeCell ref="AC34:AE34"/>
    <mergeCell ref="AF34:AH34"/>
    <mergeCell ref="AI34:AK34"/>
    <mergeCell ref="AC33:AE33"/>
    <mergeCell ref="AF33:AH33"/>
    <mergeCell ref="AI33:AK33"/>
    <mergeCell ref="AM33:AN33"/>
    <mergeCell ref="B34:D34"/>
    <mergeCell ref="E34:G34"/>
    <mergeCell ref="H34:J34"/>
    <mergeCell ref="K34:M34"/>
    <mergeCell ref="N34:P34"/>
    <mergeCell ref="Q34:S34"/>
    <mergeCell ref="AM32:AN32"/>
    <mergeCell ref="B33:D33"/>
    <mergeCell ref="E33:G33"/>
    <mergeCell ref="H33:J33"/>
    <mergeCell ref="K33:M33"/>
    <mergeCell ref="N33:P33"/>
    <mergeCell ref="Q33:S33"/>
    <mergeCell ref="T33:V33"/>
    <mergeCell ref="W33:Y33"/>
    <mergeCell ref="Z33:AB33"/>
    <mergeCell ref="T32:V32"/>
    <mergeCell ref="W32:Y32"/>
    <mergeCell ref="Z32:AB32"/>
    <mergeCell ref="AC32:AE32"/>
    <mergeCell ref="AF32:AH32"/>
    <mergeCell ref="AI32:AK32"/>
    <mergeCell ref="AI27:AJ27"/>
    <mergeCell ref="A28:AN29"/>
    <mergeCell ref="A30:AN30"/>
    <mergeCell ref="A31:AN31"/>
    <mergeCell ref="B32:D32"/>
    <mergeCell ref="E32:G32"/>
    <mergeCell ref="H32:J32"/>
    <mergeCell ref="K32:M32"/>
    <mergeCell ref="N32:P32"/>
    <mergeCell ref="Q32:S32"/>
    <mergeCell ref="Q27:R27"/>
    <mergeCell ref="T27:U27"/>
    <mergeCell ref="W27:X27"/>
    <mergeCell ref="Z27:AA27"/>
    <mergeCell ref="AC27:AD27"/>
    <mergeCell ref="AF27:AG27"/>
    <mergeCell ref="B26:C26"/>
    <mergeCell ref="B27:C27"/>
    <mergeCell ref="E27:F27"/>
    <mergeCell ref="H27:I27"/>
    <mergeCell ref="K27:L27"/>
    <mergeCell ref="N27:O27"/>
    <mergeCell ref="AL21:AL22"/>
    <mergeCell ref="AM21:AN21"/>
    <mergeCell ref="B22:C22"/>
    <mergeCell ref="B23:C23"/>
    <mergeCell ref="B24:C24"/>
    <mergeCell ref="B25:C25"/>
    <mergeCell ref="T21:V21"/>
    <mergeCell ref="W21:Y21"/>
    <mergeCell ref="Z21:AB21"/>
    <mergeCell ref="AC21:AE21"/>
    <mergeCell ref="AF21:AH21"/>
    <mergeCell ref="AI21:AK21"/>
    <mergeCell ref="AI18:AK18"/>
    <mergeCell ref="AL18:AN18"/>
    <mergeCell ref="A19:AN20"/>
    <mergeCell ref="A21:A22"/>
    <mergeCell ref="B21:D21"/>
    <mergeCell ref="E21:G21"/>
    <mergeCell ref="H21:J21"/>
    <mergeCell ref="K21:M21"/>
    <mergeCell ref="N21:P21"/>
    <mergeCell ref="Q21:S21"/>
    <mergeCell ref="Z17:AB17"/>
    <mergeCell ref="AI17:AK17"/>
    <mergeCell ref="AL17:AN17"/>
    <mergeCell ref="B18:D18"/>
    <mergeCell ref="E18:G18"/>
    <mergeCell ref="N18:P18"/>
    <mergeCell ref="Q18:S18"/>
    <mergeCell ref="T18:V18"/>
    <mergeCell ref="W18:Y18"/>
    <mergeCell ref="Z18:AB18"/>
    <mergeCell ref="B17:D17"/>
    <mergeCell ref="E17:G17"/>
    <mergeCell ref="N17:P17"/>
    <mergeCell ref="Q17:S17"/>
    <mergeCell ref="T17:V17"/>
    <mergeCell ref="W17:Y17"/>
    <mergeCell ref="AL15:AN15"/>
    <mergeCell ref="B16:D16"/>
    <mergeCell ref="E16:G16"/>
    <mergeCell ref="N16:P16"/>
    <mergeCell ref="Q16:S16"/>
    <mergeCell ref="T16:V16"/>
    <mergeCell ref="W16:Y16"/>
    <mergeCell ref="Z16:AB16"/>
    <mergeCell ref="AI16:AK16"/>
    <mergeCell ref="AL16:AN16"/>
    <mergeCell ref="T15:V15"/>
    <mergeCell ref="W15:Y15"/>
    <mergeCell ref="Z15:AB15"/>
    <mergeCell ref="AC15:AE15"/>
    <mergeCell ref="AF15:AH15"/>
    <mergeCell ref="AI15:AK15"/>
    <mergeCell ref="Z14:AB14"/>
    <mergeCell ref="AC14:AE14"/>
    <mergeCell ref="AF14:AH14"/>
    <mergeCell ref="AI14:AK14"/>
    <mergeCell ref="AL14:AN14"/>
    <mergeCell ref="B15:D15"/>
    <mergeCell ref="E15:G15"/>
    <mergeCell ref="K15:M15"/>
    <mergeCell ref="N15:P15"/>
    <mergeCell ref="Q15:S15"/>
    <mergeCell ref="AC13:AE13"/>
    <mergeCell ref="AF13:AH13"/>
    <mergeCell ref="AI13:AK13"/>
    <mergeCell ref="AL13:AN13"/>
    <mergeCell ref="B14:D14"/>
    <mergeCell ref="E14:G14"/>
    <mergeCell ref="N14:P14"/>
    <mergeCell ref="Q14:S14"/>
    <mergeCell ref="T14:V14"/>
    <mergeCell ref="W14:Y14"/>
    <mergeCell ref="AF12:AH12"/>
    <mergeCell ref="AI12:AK12"/>
    <mergeCell ref="AL12:AN12"/>
    <mergeCell ref="B13:D13"/>
    <mergeCell ref="E13:G13"/>
    <mergeCell ref="N13:P13"/>
    <mergeCell ref="Q13:S13"/>
    <mergeCell ref="T13:V13"/>
    <mergeCell ref="W13:Y13"/>
    <mergeCell ref="Z13:AB13"/>
    <mergeCell ref="AI11:AK11"/>
    <mergeCell ref="AL11:AN11"/>
    <mergeCell ref="B12:D12"/>
    <mergeCell ref="E12:G12"/>
    <mergeCell ref="N12:P12"/>
    <mergeCell ref="Q12:S12"/>
    <mergeCell ref="T12:V12"/>
    <mergeCell ref="W12:Y12"/>
    <mergeCell ref="Z12:AB12"/>
    <mergeCell ref="AC12:AE12"/>
    <mergeCell ref="Q11:S11"/>
    <mergeCell ref="T11:V11"/>
    <mergeCell ref="W11:Y11"/>
    <mergeCell ref="Z11:AB11"/>
    <mergeCell ref="AC11:AE11"/>
    <mergeCell ref="AF11:AH11"/>
    <mergeCell ref="A1:AN4"/>
    <mergeCell ref="A5:AN6"/>
    <mergeCell ref="A7:AN8"/>
    <mergeCell ref="A9:AN9"/>
    <mergeCell ref="A10:AN10"/>
    <mergeCell ref="B11:D11"/>
    <mergeCell ref="E11:G11"/>
    <mergeCell ref="H11:J11"/>
    <mergeCell ref="K11:M11"/>
    <mergeCell ref="N11:P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ANIPA</dc:creator>
  <cp:lastModifiedBy>ANIPA</cp:lastModifiedBy>
  <dcterms:created xsi:type="dcterms:W3CDTF">2020-11-16T16:23:02Z</dcterms:created>
  <dcterms:modified xsi:type="dcterms:W3CDTF">2020-11-16T16:30:09Z</dcterms:modified>
</cp:coreProperties>
</file>