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ados\Desktop\FINANCEIRO\05. FINANCEIRO\2019\10. OUT\Histórico Mensal\"/>
    </mc:Choice>
  </mc:AlternateContent>
  <xr:revisionPtr revIDLastSave="0" documentId="8_{37D3441D-B091-4E7B-A14E-B2182B07F8BE}" xr6:coauthVersionLast="41" xr6:coauthVersionMax="41" xr10:uidLastSave="{00000000-0000-0000-0000-000000000000}"/>
  <bookViews>
    <workbookView xWindow="-120" yWindow="-120" windowWidth="20730" windowHeight="11160" xr2:uid="{15BDCA57-7C55-4EA0-8B46-21ED90055452}"/>
  </bookViews>
  <sheets>
    <sheet name="OU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09" i="1" l="1"/>
  <c r="E109" i="1" s="1"/>
  <c r="H109" i="1" s="1"/>
  <c r="K109" i="1" s="1"/>
  <c r="N109" i="1" s="1"/>
  <c r="Q109" i="1" s="1"/>
  <c r="T109" i="1" s="1"/>
  <c r="W109" i="1" s="1"/>
  <c r="Z109" i="1" s="1"/>
  <c r="AC109" i="1" s="1"/>
  <c r="AF109" i="1" s="1"/>
  <c r="Q108" i="1"/>
  <c r="T108" i="1" s="1"/>
  <c r="W108" i="1" s="1"/>
  <c r="Z108" i="1" s="1"/>
  <c r="AC108" i="1" s="1"/>
  <c r="AF108" i="1" s="1"/>
  <c r="E108" i="1"/>
  <c r="H108" i="1" s="1"/>
  <c r="K108" i="1" s="1"/>
  <c r="N108" i="1" s="1"/>
  <c r="B108" i="1"/>
  <c r="B107" i="1"/>
  <c r="AF106" i="1"/>
  <c r="AF105" i="1"/>
  <c r="B101" i="1"/>
  <c r="AI98" i="1"/>
  <c r="AM98" i="1" s="1"/>
  <c r="AC98" i="1"/>
  <c r="AI97" i="1"/>
  <c r="AM97" i="1" s="1"/>
  <c r="W97" i="1"/>
  <c r="AI96" i="1"/>
  <c r="AM96" i="1" s="1"/>
  <c r="AC96" i="1"/>
  <c r="Z96" i="1"/>
  <c r="AI95" i="1"/>
  <c r="AC95" i="1"/>
  <c r="AI94" i="1"/>
  <c r="AC94" i="1"/>
  <c r="AI93" i="1"/>
  <c r="AC93" i="1"/>
  <c r="AI92" i="1"/>
  <c r="AC92" i="1"/>
  <c r="Z92" i="1"/>
  <c r="W92" i="1"/>
  <c r="AF91" i="1"/>
  <c r="AC91" i="1"/>
  <c r="Z91" i="1"/>
  <c r="T91" i="1"/>
  <c r="Q91" i="1"/>
  <c r="N91" i="1"/>
  <c r="K91" i="1"/>
  <c r="H91" i="1"/>
  <c r="E91" i="1"/>
  <c r="AI90" i="1"/>
  <c r="Z90" i="1"/>
  <c r="AI89" i="1"/>
  <c r="AF89" i="1"/>
  <c r="AF86" i="1" s="1"/>
  <c r="AC89" i="1"/>
  <c r="W89" i="1"/>
  <c r="AM88" i="1"/>
  <c r="AI88" i="1"/>
  <c r="AI87" i="1"/>
  <c r="Z87" i="1"/>
  <c r="W87" i="1"/>
  <c r="AC86" i="1"/>
  <c r="Z86" i="1"/>
  <c r="W86" i="1"/>
  <c r="T86" i="1"/>
  <c r="Q86" i="1"/>
  <c r="N86" i="1"/>
  <c r="K86" i="1"/>
  <c r="H86" i="1"/>
  <c r="E86" i="1"/>
  <c r="E99" i="1" s="1"/>
  <c r="AM85" i="1"/>
  <c r="AI85" i="1"/>
  <c r="AC85" i="1"/>
  <c r="Z85" i="1"/>
  <c r="AI84" i="1"/>
  <c r="AC84" i="1"/>
  <c r="Z84" i="1"/>
  <c r="AI83" i="1"/>
  <c r="AF83" i="1"/>
  <c r="AC83" i="1"/>
  <c r="Z83" i="1"/>
  <c r="Z80" i="1" s="1"/>
  <c r="W83" i="1"/>
  <c r="W80" i="1" s="1"/>
  <c r="AM82" i="1"/>
  <c r="AM81" i="1"/>
  <c r="AI80" i="1"/>
  <c r="AF80" i="1"/>
  <c r="T80" i="1"/>
  <c r="Q80" i="1"/>
  <c r="N80" i="1"/>
  <c r="K80" i="1"/>
  <c r="H80" i="1"/>
  <c r="E80" i="1"/>
  <c r="AI79" i="1"/>
  <c r="AM79" i="1" s="1"/>
  <c r="AF79" i="1"/>
  <c r="AC79" i="1"/>
  <c r="Z79" i="1"/>
  <c r="W79" i="1"/>
  <c r="AI78" i="1"/>
  <c r="AF78" i="1"/>
  <c r="AC78" i="1"/>
  <c r="Z78" i="1"/>
  <c r="W78" i="1"/>
  <c r="AM77" i="1"/>
  <c r="AI76" i="1"/>
  <c r="AM76" i="1" s="1"/>
  <c r="AF76" i="1"/>
  <c r="Z76" i="1"/>
  <c r="W76" i="1"/>
  <c r="AM75" i="1"/>
  <c r="AI75" i="1"/>
  <c r="AF75" i="1"/>
  <c r="AM74" i="1"/>
  <c r="AI74" i="1"/>
  <c r="AF74" i="1"/>
  <c r="AC74" i="1"/>
  <c r="Z74" i="1"/>
  <c r="W74" i="1"/>
  <c r="AM73" i="1"/>
  <c r="AI73" i="1"/>
  <c r="AF73" i="1"/>
  <c r="AC73" i="1"/>
  <c r="Z73" i="1"/>
  <c r="W73" i="1"/>
  <c r="AI72" i="1"/>
  <c r="AM72" i="1" s="1"/>
  <c r="AF72" i="1"/>
  <c r="AC72" i="1"/>
  <c r="Z72" i="1"/>
  <c r="W72" i="1"/>
  <c r="W67" i="1" s="1"/>
  <c r="AI71" i="1"/>
  <c r="W71" i="1"/>
  <c r="AI70" i="1"/>
  <c r="AM69" i="1"/>
  <c r="AI69" i="1"/>
  <c r="AM68" i="1"/>
  <c r="AF67" i="1"/>
  <c r="T67" i="1"/>
  <c r="Q67" i="1"/>
  <c r="N67" i="1"/>
  <c r="K67" i="1"/>
  <c r="H67" i="1"/>
  <c r="E67" i="1"/>
  <c r="AM66" i="1"/>
  <c r="AM65" i="1"/>
  <c r="AI65" i="1"/>
  <c r="AF65" i="1"/>
  <c r="AF62" i="1" s="1"/>
  <c r="AC65" i="1"/>
  <c r="Z65" i="1"/>
  <c r="W65" i="1"/>
  <c r="AM64" i="1"/>
  <c r="AI64" i="1"/>
  <c r="AF64" i="1"/>
  <c r="AC64" i="1"/>
  <c r="AC62" i="1" s="1"/>
  <c r="Z64" i="1"/>
  <c r="W64" i="1"/>
  <c r="AI63" i="1"/>
  <c r="AF63" i="1"/>
  <c r="AC63" i="1"/>
  <c r="Z63" i="1"/>
  <c r="Z62" i="1" s="1"/>
  <c r="W63" i="1"/>
  <c r="W62" i="1" s="1"/>
  <c r="T62" i="1"/>
  <c r="Q62" i="1"/>
  <c r="N62" i="1"/>
  <c r="K62" i="1"/>
  <c r="H62" i="1"/>
  <c r="E62" i="1"/>
  <c r="AM61" i="1"/>
  <c r="B61" i="1"/>
  <c r="AI60" i="1"/>
  <c r="B60" i="1"/>
  <c r="AM59" i="1"/>
  <c r="B59" i="1"/>
  <c r="AM58" i="1"/>
  <c r="B58" i="1"/>
  <c r="AM57" i="1"/>
  <c r="AI57" i="1"/>
  <c r="B57" i="1"/>
  <c r="AM56" i="1"/>
  <c r="AI56" i="1"/>
  <c r="AF56" i="1"/>
  <c r="AC56" i="1"/>
  <c r="Z56" i="1"/>
  <c r="W56" i="1"/>
  <c r="B56" i="1"/>
  <c r="AM55" i="1"/>
  <c r="AI55" i="1"/>
  <c r="AF55" i="1"/>
  <c r="AC55" i="1"/>
  <c r="Z55" i="1"/>
  <c r="W55" i="1"/>
  <c r="B55" i="1"/>
  <c r="AM54" i="1"/>
  <c r="AI54" i="1"/>
  <c r="AF54" i="1"/>
  <c r="AC54" i="1"/>
  <c r="AC49" i="1" s="1"/>
  <c r="Z54" i="1"/>
  <c r="W54" i="1"/>
  <c r="B54" i="1"/>
  <c r="AM53" i="1"/>
  <c r="B53" i="1"/>
  <c r="AI52" i="1"/>
  <c r="AM52" i="1" s="1"/>
  <c r="AF52" i="1"/>
  <c r="AC52" i="1"/>
  <c r="Z52" i="1"/>
  <c r="W52" i="1"/>
  <c r="W49" i="1" s="1"/>
  <c r="B52" i="1"/>
  <c r="AI51" i="1"/>
  <c r="AM51" i="1" s="1"/>
  <c r="B51" i="1"/>
  <c r="AM50" i="1"/>
  <c r="B50" i="1"/>
  <c r="AI49" i="1"/>
  <c r="AF49" i="1"/>
  <c r="T49" i="1"/>
  <c r="T99" i="1" s="1"/>
  <c r="Q49" i="1"/>
  <c r="N49" i="1"/>
  <c r="K49" i="1"/>
  <c r="H49" i="1"/>
  <c r="E49" i="1"/>
  <c r="AM48" i="1"/>
  <c r="AI48" i="1"/>
  <c r="B48" i="1"/>
  <c r="AM47" i="1"/>
  <c r="AI47" i="1"/>
  <c r="Z47" i="1"/>
  <c r="W47" i="1"/>
  <c r="W45" i="1" s="1"/>
  <c r="B47" i="1"/>
  <c r="AI46" i="1"/>
  <c r="AC46" i="1"/>
  <c r="AC45" i="1" s="1"/>
  <c r="B46" i="1"/>
  <c r="AI45" i="1"/>
  <c r="AF45" i="1"/>
  <c r="Z45" i="1"/>
  <c r="T45" i="1"/>
  <c r="Q45" i="1"/>
  <c r="N45" i="1"/>
  <c r="K45" i="1"/>
  <c r="H45" i="1"/>
  <c r="E45" i="1"/>
  <c r="B45" i="1"/>
  <c r="AM44" i="1"/>
  <c r="B44" i="1"/>
  <c r="AM43" i="1"/>
  <c r="AM42" i="1" s="1"/>
  <c r="B43" i="1"/>
  <c r="AI42" i="1"/>
  <c r="AF42" i="1"/>
  <c r="AC42" i="1"/>
  <c r="Z42" i="1"/>
  <c r="W42" i="1"/>
  <c r="T42" i="1"/>
  <c r="Q42" i="1"/>
  <c r="N42" i="1"/>
  <c r="K42" i="1"/>
  <c r="H42" i="1"/>
  <c r="E42" i="1"/>
  <c r="B42" i="1"/>
  <c r="AM41" i="1"/>
  <c r="B41" i="1"/>
  <c r="AM40" i="1"/>
  <c r="AI40" i="1"/>
  <c r="B40" i="1"/>
  <c r="AM39" i="1"/>
  <c r="B39" i="1"/>
  <c r="AI38" i="1"/>
  <c r="AM38" i="1" s="1"/>
  <c r="AF38" i="1"/>
  <c r="B38" i="1"/>
  <c r="AM37" i="1"/>
  <c r="AI37" i="1"/>
  <c r="AF37" i="1"/>
  <c r="AC37" i="1"/>
  <c r="Z37" i="1"/>
  <c r="W37" i="1"/>
  <c r="B37" i="1"/>
  <c r="AM36" i="1"/>
  <c r="AI36" i="1"/>
  <c r="AF36" i="1"/>
  <c r="AC36" i="1"/>
  <c r="Z36" i="1"/>
  <c r="W36" i="1"/>
  <c r="B36" i="1"/>
  <c r="AM35" i="1"/>
  <c r="AI35" i="1"/>
  <c r="AF35" i="1"/>
  <c r="AC35" i="1"/>
  <c r="AC33" i="1" s="1"/>
  <c r="Z35" i="1"/>
  <c r="W35" i="1"/>
  <c r="AI34" i="1"/>
  <c r="B34" i="1"/>
  <c r="AF33" i="1"/>
  <c r="Z33" i="1"/>
  <c r="W33" i="1"/>
  <c r="T33" i="1"/>
  <c r="Q33" i="1"/>
  <c r="Q99" i="1" s="1"/>
  <c r="N33" i="1"/>
  <c r="K33" i="1"/>
  <c r="H33" i="1"/>
  <c r="E33" i="1"/>
  <c r="B33" i="1"/>
  <c r="AI27" i="1"/>
  <c r="Y27" i="1"/>
  <c r="W27" i="1"/>
  <c r="V27" i="1"/>
  <c r="S27" i="1"/>
  <c r="Q27" i="1"/>
  <c r="T27" i="1" s="1"/>
  <c r="P27" i="1"/>
  <c r="M27" i="1"/>
  <c r="K100" i="1" s="1"/>
  <c r="J27" i="1"/>
  <c r="AN26" i="1"/>
  <c r="AN25" i="1"/>
  <c r="AH25" i="1"/>
  <c r="AE25" i="1"/>
  <c r="AB25" i="1"/>
  <c r="Y25" i="1"/>
  <c r="G25" i="1"/>
  <c r="AK25" i="1" s="1"/>
  <c r="D25" i="1"/>
  <c r="AJ24" i="1"/>
  <c r="AI24" i="1"/>
  <c r="AH24" i="1"/>
  <c r="AE24" i="1"/>
  <c r="AE27" i="1" s="1"/>
  <c r="AC24" i="1"/>
  <c r="AB24" i="1"/>
  <c r="AB27" i="1" s="1"/>
  <c r="AA24" i="1"/>
  <c r="Z24" i="1"/>
  <c r="Y24" i="1"/>
  <c r="X24" i="1"/>
  <c r="W24" i="1"/>
  <c r="G24" i="1"/>
  <c r="G27" i="1" s="1"/>
  <c r="E100" i="1" s="1"/>
  <c r="D24" i="1"/>
  <c r="B24" i="1"/>
  <c r="B27" i="1" s="1"/>
  <c r="E27" i="1" s="1"/>
  <c r="H27" i="1" s="1"/>
  <c r="K27" i="1" s="1"/>
  <c r="N27" i="1" s="1"/>
  <c r="AN23" i="1"/>
  <c r="AM23" i="1"/>
  <c r="D23" i="1"/>
  <c r="D27" i="1" s="1"/>
  <c r="B16" i="1" s="1"/>
  <c r="B18" i="1" s="1"/>
  <c r="B17" i="1"/>
  <c r="B15" i="1"/>
  <c r="B14" i="1"/>
  <c r="B13" i="1"/>
  <c r="AL12" i="1"/>
  <c r="AI12" i="1"/>
  <c r="B12" i="1"/>
  <c r="AM71" i="1" l="1"/>
  <c r="AI67" i="1"/>
  <c r="AM27" i="1"/>
  <c r="AK24" i="1"/>
  <c r="Z27" i="1"/>
  <c r="AC27" i="1" s="1"/>
  <c r="AF27" i="1" s="1"/>
  <c r="AM34" i="1"/>
  <c r="AM33" i="1" s="1"/>
  <c r="AF99" i="1"/>
  <c r="B100" i="1"/>
  <c r="AM63" i="1"/>
  <c r="AM62" i="1" s="1"/>
  <c r="AI62" i="1"/>
  <c r="AM84" i="1"/>
  <c r="AM90" i="1"/>
  <c r="AI33" i="1"/>
  <c r="AM83" i="1"/>
  <c r="AM80" i="1" s="1"/>
  <c r="AC67" i="1"/>
  <c r="AC99" i="1" s="1"/>
  <c r="AC100" i="1" s="1"/>
  <c r="AM78" i="1"/>
  <c r="AM93" i="1"/>
  <c r="AM95" i="1"/>
  <c r="AM24" i="1"/>
  <c r="AH27" i="1"/>
  <c r="AF100" i="1" s="1"/>
  <c r="Q100" i="1"/>
  <c r="AM46" i="1"/>
  <c r="AM45" i="1" s="1"/>
  <c r="H99" i="1"/>
  <c r="H100" i="1" s="1"/>
  <c r="B49" i="1"/>
  <c r="Z49" i="1"/>
  <c r="AM70" i="1"/>
  <c r="AM67" i="1" s="1"/>
  <c r="Z67" i="1"/>
  <c r="AI86" i="1"/>
  <c r="AM87" i="1"/>
  <c r="AM89" i="1"/>
  <c r="AM92" i="1"/>
  <c r="AI91" i="1"/>
  <c r="T100" i="1"/>
  <c r="N99" i="1"/>
  <c r="N100" i="1" s="1"/>
  <c r="Z99" i="1"/>
  <c r="Z100" i="1" s="1"/>
  <c r="AM60" i="1"/>
  <c r="AM49" i="1" s="1"/>
  <c r="AC80" i="1"/>
  <c r="W91" i="1"/>
  <c r="W99" i="1" s="1"/>
  <c r="W100" i="1" s="1"/>
  <c r="AM94" i="1"/>
  <c r="E107" i="1"/>
  <c r="B110" i="1"/>
  <c r="E110" i="1" l="1"/>
  <c r="H107" i="1"/>
  <c r="AM99" i="1"/>
  <c r="AL17" i="1" s="1"/>
  <c r="AM86" i="1"/>
  <c r="AI99" i="1"/>
  <c r="AN24" i="1"/>
  <c r="AN27" i="1" s="1"/>
  <c r="AK27" i="1"/>
  <c r="AM91" i="1"/>
  <c r="AI100" i="1" l="1"/>
  <c r="AI16" i="1"/>
  <c r="AL27" i="1"/>
  <c r="AL25" i="1"/>
  <c r="AL77" i="1"/>
  <c r="AL58" i="1"/>
  <c r="AL44" i="1"/>
  <c r="AL41" i="1"/>
  <c r="AL99" i="1"/>
  <c r="AL82" i="1"/>
  <c r="AL59" i="1"/>
  <c r="AI17" i="1"/>
  <c r="AL66" i="1"/>
  <c r="AL64" i="1"/>
  <c r="AL50" i="1"/>
  <c r="AL48" i="1"/>
  <c r="AL47" i="1"/>
  <c r="AL37" i="1"/>
  <c r="AL36" i="1"/>
  <c r="AL35" i="1"/>
  <c r="AL68" i="1"/>
  <c r="AL40" i="1"/>
  <c r="AL39" i="1"/>
  <c r="AL88" i="1"/>
  <c r="AL81" i="1"/>
  <c r="AL61" i="1"/>
  <c r="AL73" i="1"/>
  <c r="AL57" i="1"/>
  <c r="AL56" i="1"/>
  <c r="AL55" i="1"/>
  <c r="AL54" i="1"/>
  <c r="AL53" i="1"/>
  <c r="AL43" i="1"/>
  <c r="AL38" i="1"/>
  <c r="AL71" i="1"/>
  <c r="AL34" i="1"/>
  <c r="AL83" i="1"/>
  <c r="AL75" i="1"/>
  <c r="AL70" i="1"/>
  <c r="AL89" i="1"/>
  <c r="AL60" i="1"/>
  <c r="AL92" i="1"/>
  <c r="AL85" i="1"/>
  <c r="AL96" i="1"/>
  <c r="AL80" i="1"/>
  <c r="AL45" i="1"/>
  <c r="AL65" i="1"/>
  <c r="AL95" i="1"/>
  <c r="AL51" i="1"/>
  <c r="AL76" i="1"/>
  <c r="AL87" i="1"/>
  <c r="AL97" i="1"/>
  <c r="AL63" i="1"/>
  <c r="AL90" i="1"/>
  <c r="AL93" i="1"/>
  <c r="AL42" i="1"/>
  <c r="AL84" i="1"/>
  <c r="AL49" i="1"/>
  <c r="AL46" i="1"/>
  <c r="AL69" i="1"/>
  <c r="AL78" i="1"/>
  <c r="AL52" i="1"/>
  <c r="AL72" i="1"/>
  <c r="AL94" i="1"/>
  <c r="AL74" i="1"/>
  <c r="AL79" i="1"/>
  <c r="AL98" i="1"/>
  <c r="AL91" i="1"/>
  <c r="AL24" i="1"/>
  <c r="AL86" i="1"/>
  <c r="AL100" i="1"/>
  <c r="AL16" i="1"/>
  <c r="AL18" i="1" s="1"/>
  <c r="AL62" i="1"/>
  <c r="H110" i="1"/>
  <c r="K107" i="1"/>
  <c r="AL67" i="1"/>
  <c r="AL33" i="1"/>
  <c r="K110" i="1" l="1"/>
  <c r="N107" i="1"/>
  <c r="AI18" i="1"/>
  <c r="N110" i="1" l="1"/>
  <c r="Q107" i="1"/>
  <c r="Q110" i="1" l="1"/>
  <c r="T107" i="1"/>
  <c r="T110" i="1" l="1"/>
  <c r="W107" i="1"/>
  <c r="W110" i="1" l="1"/>
  <c r="Z107" i="1"/>
  <c r="Z110" i="1" l="1"/>
  <c r="AC107" i="1"/>
  <c r="AC110" i="1" l="1"/>
  <c r="AF107" i="1"/>
  <c r="AF110" i="1" s="1"/>
</calcChain>
</file>

<file path=xl/sharedStrings.xml><?xml version="1.0" encoding="utf-8"?>
<sst xmlns="http://schemas.openxmlformats.org/spreadsheetml/2006/main" count="183" uniqueCount="116">
  <si>
    <r>
      <t xml:space="preserve">CONTROLE FINANCEIRO 2019
</t>
    </r>
    <r>
      <rPr>
        <b/>
        <sz val="12"/>
        <rFont val="Calibri"/>
        <family val="2"/>
        <scheme val="minor"/>
      </rPr>
      <t>Posição OUTUBRO</t>
    </r>
  </si>
  <si>
    <t>DETALHAMENTO DE BENS E RECEITAS</t>
  </si>
  <si>
    <t>Bens da ANIPA</t>
  </si>
  <si>
    <t>Acumulado 2018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</si>
  <si>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</si>
  <si>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</si>
  <si>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</si>
  <si>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</si>
  <si>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</si>
  <si>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</si>
  <si>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</si>
  <si>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</si>
  <si>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</si>
  <si>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</si>
  <si>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Acumulado 2019</t>
  </si>
  <si>
    <t>Evolução histórica</t>
  </si>
  <si>
    <t xml:space="preserve">Total bens </t>
  </si>
  <si>
    <t>Imobilizado (computadores, equipamentos)</t>
  </si>
  <si>
    <t>Intangível (softwares)</t>
  </si>
  <si>
    <t>(-) Depreciação acumulada</t>
  </si>
  <si>
    <t>Receitas</t>
  </si>
  <si>
    <t>Despesas</t>
  </si>
  <si>
    <t>Total Parcial e Acumulado</t>
  </si>
  <si>
    <t>Associados / Receitas</t>
  </si>
  <si>
    <t>%</t>
  </si>
  <si>
    <t>Q</t>
  </si>
  <si>
    <t>Valor</t>
  </si>
  <si>
    <t>S</t>
  </si>
  <si>
    <t>E</t>
  </si>
  <si>
    <t>Receitas anteriores / Associados</t>
  </si>
  <si>
    <t>Associados / Mensalidades</t>
  </si>
  <si>
    <t>Receitas Financeiras</t>
  </si>
  <si>
    <t xml:space="preserve">Outras Receitas </t>
  </si>
  <si>
    <t>Total Associados / Receitas</t>
  </si>
  <si>
    <t>DETALHAMENTO DE DESPESAS</t>
  </si>
  <si>
    <t>Serviços de Terceiros</t>
  </si>
  <si>
    <t>Serviços administrativos Advogados</t>
  </si>
  <si>
    <t>Assessoria Jurídica</t>
  </si>
  <si>
    <t xml:space="preserve">Serviços Contábeis </t>
  </si>
  <si>
    <t>Assessoria Atuarial</t>
  </si>
  <si>
    <t>Consultoria/Assessoria Técnica (Fin, Cont, TI)</t>
  </si>
  <si>
    <t>Telemarketing (associados regular termos)</t>
  </si>
  <si>
    <t>Assessoria Comunicação</t>
  </si>
  <si>
    <t xml:space="preserve">Serviços eventuais de apoio </t>
  </si>
  <si>
    <t>Custos das Ações</t>
  </si>
  <si>
    <t>Honorários Advocatícios Iniciais Ações</t>
  </si>
  <si>
    <t>Honorários mensais das ações</t>
  </si>
  <si>
    <t>Registros/Cartórios/Publicações</t>
  </si>
  <si>
    <t>Registros e Taxas(Cart, Pref, RF...)</t>
  </si>
  <si>
    <t>Cartórios (Aut, Doc, Rec Firma)</t>
  </si>
  <si>
    <t>Publicações Legais/Editais</t>
  </si>
  <si>
    <t>Tecnologia</t>
  </si>
  <si>
    <t>Desenvolvimento/Hospedagem SITE e Sistema inicial</t>
  </si>
  <si>
    <t>Desenvolvimento novo SITE</t>
  </si>
  <si>
    <t xml:space="preserve">Hospedagem/Manutenção novo SITE </t>
  </si>
  <si>
    <t xml:space="preserve">Desenvolvimento novo Sistema ANIPA </t>
  </si>
  <si>
    <t xml:space="preserve">Hospedagem / Manutenção novo Sistema ANIPA </t>
  </si>
  <si>
    <t>Serviço de E-mail</t>
  </si>
  <si>
    <t>Serviço de Mensagens por celular</t>
  </si>
  <si>
    <t>Desenv/Serviço Sist Assembleia Virtual</t>
  </si>
  <si>
    <t>Desenv/Serviço Sist Eleição Virtual</t>
  </si>
  <si>
    <t>Desenv/Serviço Fórum Site ANIPA</t>
  </si>
  <si>
    <t>Registro Domínio ANIPA</t>
  </si>
  <si>
    <t>Certificado Segurança SITE / Certificado Digital</t>
  </si>
  <si>
    <t>Bancos/Impostos/Juros</t>
  </si>
  <si>
    <t>Tarifas Bancárias CAIXA</t>
  </si>
  <si>
    <t>Impostos recolhidos à terceiros (INSS, IR, CONTR. FEDER. ...)</t>
  </si>
  <si>
    <t>IRRF/IOF operações financeiras (sobre os investimentos)</t>
  </si>
  <si>
    <t>Despesas com Juros/Outras despesas financeiras</t>
  </si>
  <si>
    <t xml:space="preserve">Escritório ANIPA </t>
  </si>
  <si>
    <t>Móveis/Utensílios</t>
  </si>
  <si>
    <t>Computadores 3, impressoras 1, celular 1</t>
  </si>
  <si>
    <t>Softwares (Office, Antivírus, Adobe mensal)</t>
  </si>
  <si>
    <t>Material Escritório</t>
  </si>
  <si>
    <t xml:space="preserve">Aluguel/Condomínio/IPTU/Taxas </t>
  </si>
  <si>
    <t xml:space="preserve">Luz/Telefone/Internet </t>
  </si>
  <si>
    <t>Diversos (café, água, copos, chaves, etc.)</t>
  </si>
  <si>
    <t>Manutenção (de computadores, impressora)</t>
  </si>
  <si>
    <t>Higiene e Limpeza (material e serviço)</t>
  </si>
  <si>
    <t>Serviço de Seleção e Recrutamento</t>
  </si>
  <si>
    <t>Salários (mês, 13°, férias, rescisão)</t>
  </si>
  <si>
    <t xml:space="preserve">Encargos trabalhistas (INSS, FGTS, PIS, Transp, Alim, Sind) </t>
  </si>
  <si>
    <t>Outros Serviços</t>
  </si>
  <si>
    <t>Serv. Gráficos/Digitalizações/Cópias</t>
  </si>
  <si>
    <t>Serviços MSN/Telefonia</t>
  </si>
  <si>
    <t>Motoboy</t>
  </si>
  <si>
    <t>Correios</t>
  </si>
  <si>
    <t>Deslocamento (para serviços externos)</t>
  </si>
  <si>
    <t>Outros</t>
  </si>
  <si>
    <t>Locação sala Eventos/Assembleia/Equipamentos</t>
  </si>
  <si>
    <t>Apoio a mobilizações</t>
  </si>
  <si>
    <t>Devoluções/Recebimentos indevidos</t>
  </si>
  <si>
    <t>Participações em outras associações</t>
  </si>
  <si>
    <t>Despesas Viagens</t>
  </si>
  <si>
    <t>Presidência</t>
  </si>
  <si>
    <t>Jurídico</t>
  </si>
  <si>
    <t>Financeiro</t>
  </si>
  <si>
    <t>Técnico</t>
  </si>
  <si>
    <t>Comunicação</t>
  </si>
  <si>
    <t>Conselho Fiscal</t>
  </si>
  <si>
    <t>Associados / Prestador de serviço / Funcionários (1)</t>
  </si>
  <si>
    <t>Total Despesas</t>
  </si>
  <si>
    <t>Resultado / Saldo em Conta</t>
  </si>
  <si>
    <t>Despesas Acumuladas até 2018</t>
  </si>
  <si>
    <t>Investimentos</t>
  </si>
  <si>
    <t>Acumulado até 2018</t>
  </si>
  <si>
    <t>Caixa FIC GIRO EMPRESAS</t>
  </si>
  <si>
    <t>Caixa FIC PREMIUM</t>
  </si>
  <si>
    <t>CDB Flex Empresarial</t>
  </si>
  <si>
    <r>
      <t xml:space="preserve">Caixa FIC GIRO </t>
    </r>
    <r>
      <rPr>
        <sz val="11"/>
        <color rgb="FFFF0000"/>
        <rFont val="Calibri"/>
        <family val="2"/>
        <scheme val="minor"/>
      </rPr>
      <t>- encerrado em 09/10</t>
    </r>
  </si>
  <si>
    <r>
      <t>Caixa FI RENDA FIXA Simples</t>
    </r>
    <r>
      <rPr>
        <sz val="11"/>
        <color rgb="FFFF0000"/>
        <rFont val="Calibri"/>
        <family val="2"/>
        <scheme val="minor"/>
      </rPr>
      <t xml:space="preserve"> - encerrado em 09/10</t>
    </r>
  </si>
  <si>
    <t>Saldos totais</t>
  </si>
  <si>
    <t>Evolução histórica desde a fundação - MAR/2015</t>
  </si>
  <si>
    <r>
      <t xml:space="preserve">Q - </t>
    </r>
    <r>
      <rPr>
        <sz val="10"/>
        <color theme="1"/>
        <rFont val="Calibri"/>
        <family val="2"/>
        <scheme val="minor"/>
      </rPr>
      <t>Quantidade acumulada</t>
    </r>
  </si>
  <si>
    <r>
      <t xml:space="preserve">E - </t>
    </r>
    <r>
      <rPr>
        <sz val="10"/>
        <color theme="1"/>
        <rFont val="Calibri"/>
        <family val="2"/>
        <scheme val="minor"/>
      </rPr>
      <t>Entraram na ANIPA</t>
    </r>
  </si>
  <si>
    <t>(1) A serviço ou representação da ANIPA.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</si>
</sst>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_ ;[Red]\-#,##0.00\ "/>
    <numFmt numFmtId="165" formatCode="#,##0_ ;\-#,##0\ "/>
    <numFmt numFmtId="166" formatCode="#,##0_ ;[Red]\-#,##0\ 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rgb="FFFF0000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B0B0B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4A7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BC9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AEB"/>
        <bgColor indexed="64"/>
      </patternFill>
    </fill>
    <fill>
      <patternFill patternType="solid">
        <fgColor rgb="FFC2D1EC"/>
        <bgColor indexed="64"/>
      </patternFill>
    </fill>
    <fill>
      <patternFill patternType="solid">
        <fgColor rgb="FFF2E5FF"/>
        <bgColor indexed="64"/>
      </patternFill>
    </fill>
    <fill>
      <patternFill patternType="solid">
        <fgColor rgb="FF9ECA8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51">
    <xf numFmtId="0" fontId="0" fillId="0" borderId="0" xfId="0"/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/>
    </xf>
    <xf numFmtId="0" fontId="9" fillId="5" borderId="4" xfId="0" applyFont="1" applyFill="1" applyBorder="1" applyAlignment="1">
      <alignment horizontal="center"/>
    </xf>
    <xf numFmtId="0" fontId="9" fillId="5" borderId="5" xfId="0" applyFont="1" applyFill="1" applyBorder="1" applyAlignment="1">
      <alignment horizontal="center"/>
    </xf>
    <xf numFmtId="0" fontId="9" fillId="5" borderId="6" xfId="0" applyFont="1" applyFill="1" applyBorder="1" applyAlignment="1">
      <alignment horizontal="center"/>
    </xf>
    <xf numFmtId="0" fontId="9" fillId="6" borderId="4" xfId="0" applyFont="1" applyFill="1" applyBorder="1" applyAlignment="1">
      <alignment horizontal="center"/>
    </xf>
    <xf numFmtId="0" fontId="9" fillId="6" borderId="5" xfId="0" applyFont="1" applyFill="1" applyBorder="1" applyAlignment="1">
      <alignment horizontal="center"/>
    </xf>
    <xf numFmtId="0" fontId="9" fillId="6" borderId="6" xfId="0" applyFont="1" applyFill="1" applyBorder="1" applyAlignment="1">
      <alignment horizontal="center"/>
    </xf>
    <xf numFmtId="0" fontId="10" fillId="7" borderId="7" xfId="0" applyFont="1" applyFill="1" applyBorder="1" applyAlignment="1">
      <alignment vertical="center"/>
    </xf>
    <xf numFmtId="4" fontId="9" fillId="7" borderId="4" xfId="0" applyNumberFormat="1" applyFont="1" applyFill="1" applyBorder="1" applyAlignment="1">
      <alignment horizontal="right"/>
    </xf>
    <xf numFmtId="4" fontId="9" fillId="7" borderId="5" xfId="0" applyNumberFormat="1" applyFont="1" applyFill="1" applyBorder="1" applyAlignment="1">
      <alignment horizontal="right"/>
    </xf>
    <xf numFmtId="4" fontId="9" fillId="7" borderId="6" xfId="0" applyNumberFormat="1" applyFont="1" applyFill="1" applyBorder="1" applyAlignment="1">
      <alignment horizontal="right"/>
    </xf>
    <xf numFmtId="0" fontId="9" fillId="8" borderId="4" xfId="0" applyFont="1" applyFill="1" applyBorder="1" applyAlignment="1">
      <alignment horizontal="right"/>
    </xf>
    <xf numFmtId="0" fontId="9" fillId="8" borderId="5" xfId="0" applyFont="1" applyFill="1" applyBorder="1" applyAlignment="1">
      <alignment horizontal="right"/>
    </xf>
    <xf numFmtId="0" fontId="9" fillId="8" borderId="6" xfId="0" applyFont="1" applyFill="1" applyBorder="1" applyAlignment="1">
      <alignment horizontal="right"/>
    </xf>
    <xf numFmtId="0" fontId="9" fillId="8" borderId="5" xfId="0" applyFont="1" applyFill="1" applyBorder="1" applyAlignment="1">
      <alignment horizontal="right"/>
    </xf>
    <xf numFmtId="0" fontId="9" fillId="8" borderId="4" xfId="0" applyFont="1" applyFill="1" applyBorder="1" applyAlignment="1">
      <alignment horizontal="center"/>
    </xf>
    <xf numFmtId="0" fontId="9" fillId="8" borderId="5" xfId="0" applyFont="1" applyFill="1" applyBorder="1" applyAlignment="1">
      <alignment horizontal="center"/>
    </xf>
    <xf numFmtId="0" fontId="9" fillId="8" borderId="6" xfId="0" applyFont="1" applyFill="1" applyBorder="1" applyAlignment="1">
      <alignment horizontal="center"/>
    </xf>
    <xf numFmtId="0" fontId="9" fillId="8" borderId="5" xfId="0" applyFont="1" applyFill="1" applyBorder="1" applyAlignment="1">
      <alignment horizontal="center"/>
    </xf>
    <xf numFmtId="4" fontId="10" fillId="9" borderId="4" xfId="0" applyNumberFormat="1" applyFont="1" applyFill="1" applyBorder="1" applyAlignment="1">
      <alignment horizontal="right"/>
    </xf>
    <xf numFmtId="4" fontId="10" fillId="9" borderId="5" xfId="0" applyNumberFormat="1" applyFont="1" applyFill="1" applyBorder="1" applyAlignment="1">
      <alignment horizontal="right"/>
    </xf>
    <xf numFmtId="4" fontId="10" fillId="9" borderId="6" xfId="0" applyNumberFormat="1" applyFont="1" applyFill="1" applyBorder="1" applyAlignment="1">
      <alignment horizontal="right"/>
    </xf>
    <xf numFmtId="0" fontId="7" fillId="8" borderId="1" xfId="0" applyFont="1" applyFill="1" applyBorder="1" applyAlignment="1"/>
    <xf numFmtId="4" fontId="11" fillId="7" borderId="4" xfId="0" applyNumberFormat="1" applyFont="1" applyFill="1" applyBorder="1" applyAlignment="1">
      <alignment horizontal="right"/>
    </xf>
    <xf numFmtId="4" fontId="11" fillId="7" borderId="5" xfId="0" applyNumberFormat="1" applyFont="1" applyFill="1" applyBorder="1" applyAlignment="1">
      <alignment horizontal="right"/>
    </xf>
    <xf numFmtId="4" fontId="11" fillId="7" borderId="6" xfId="0" applyNumberFormat="1" applyFont="1" applyFill="1" applyBorder="1" applyAlignment="1">
      <alignment horizontal="right"/>
    </xf>
    <xf numFmtId="3" fontId="11" fillId="8" borderId="4" xfId="0" applyNumberFormat="1" applyFont="1" applyFill="1" applyBorder="1" applyAlignment="1">
      <alignment horizontal="right"/>
    </xf>
    <xf numFmtId="3" fontId="11" fillId="8" borderId="5" xfId="0" applyNumberFormat="1" applyFont="1" applyFill="1" applyBorder="1" applyAlignment="1">
      <alignment horizontal="right"/>
    </xf>
    <xf numFmtId="3" fontId="11" fillId="8" borderId="6" xfId="0" applyNumberFormat="1" applyFont="1" applyFill="1" applyBorder="1" applyAlignment="1">
      <alignment horizontal="right"/>
    </xf>
    <xf numFmtId="3" fontId="11" fillId="8" borderId="5" xfId="0" applyNumberFormat="1" applyFont="1" applyFill="1" applyBorder="1" applyAlignment="1">
      <alignment horizontal="right"/>
    </xf>
    <xf numFmtId="3" fontId="11" fillId="8" borderId="4" xfId="0" applyNumberFormat="1" applyFont="1" applyFill="1" applyBorder="1" applyAlignment="1">
      <alignment horizontal="center"/>
    </xf>
    <xf numFmtId="3" fontId="11" fillId="8" borderId="5" xfId="0" applyNumberFormat="1" applyFont="1" applyFill="1" applyBorder="1" applyAlignment="1">
      <alignment horizontal="center"/>
    </xf>
    <xf numFmtId="3" fontId="11" fillId="8" borderId="6" xfId="0" applyNumberFormat="1" applyFont="1" applyFill="1" applyBorder="1" applyAlignment="1">
      <alignment horizontal="center"/>
    </xf>
    <xf numFmtId="3" fontId="11" fillId="8" borderId="5" xfId="0" applyNumberFormat="1" applyFont="1" applyFill="1" applyBorder="1" applyAlignment="1">
      <alignment horizontal="center"/>
    </xf>
    <xf numFmtId="4" fontId="7" fillId="8" borderId="4" xfId="0" applyNumberFormat="1" applyFont="1" applyFill="1" applyBorder="1" applyAlignment="1">
      <alignment horizontal="right"/>
    </xf>
    <xf numFmtId="4" fontId="7" fillId="8" borderId="5" xfId="0" applyNumberFormat="1" applyFont="1" applyFill="1" applyBorder="1" applyAlignment="1">
      <alignment horizontal="right"/>
    </xf>
    <xf numFmtId="4" fontId="7" fillId="8" borderId="6" xfId="0" applyNumberFormat="1" applyFont="1" applyFill="1" applyBorder="1" applyAlignment="1">
      <alignment horizontal="right"/>
    </xf>
    <xf numFmtId="0" fontId="7" fillId="8" borderId="1" xfId="0" applyFont="1" applyFill="1" applyBorder="1"/>
    <xf numFmtId="4" fontId="7" fillId="0" borderId="4" xfId="0" applyNumberFormat="1" applyFont="1" applyBorder="1" applyAlignment="1">
      <alignment horizontal="right" vertical="center" wrapText="1"/>
    </xf>
    <xf numFmtId="4" fontId="7" fillId="0" borderId="5" xfId="0" applyNumberFormat="1" applyFont="1" applyBorder="1" applyAlignment="1">
      <alignment horizontal="right" vertical="center" wrapText="1"/>
    </xf>
    <xf numFmtId="4" fontId="7" fillId="0" borderId="6" xfId="0" applyNumberFormat="1" applyFont="1" applyBorder="1" applyAlignment="1">
      <alignment horizontal="right" vertical="center" wrapText="1"/>
    </xf>
    <xf numFmtId="0" fontId="10" fillId="10" borderId="1" xfId="0" applyFont="1" applyFill="1" applyBorder="1" applyAlignment="1">
      <alignment horizontal="center"/>
    </xf>
    <xf numFmtId="4" fontId="11" fillId="10" borderId="4" xfId="0" applyNumberFormat="1" applyFont="1" applyFill="1" applyBorder="1" applyAlignment="1">
      <alignment horizontal="right"/>
    </xf>
    <xf numFmtId="4" fontId="11" fillId="10" borderId="5" xfId="0" applyNumberFormat="1" applyFont="1" applyFill="1" applyBorder="1" applyAlignment="1">
      <alignment horizontal="right"/>
    </xf>
    <xf numFmtId="4" fontId="11" fillId="10" borderId="6" xfId="0" applyNumberFormat="1" applyFont="1" applyFill="1" applyBorder="1" applyAlignment="1">
      <alignment horizontal="right"/>
    </xf>
    <xf numFmtId="3" fontId="11" fillId="10" borderId="4" xfId="0" applyNumberFormat="1" applyFont="1" applyFill="1" applyBorder="1" applyAlignment="1">
      <alignment horizontal="right"/>
    </xf>
    <xf numFmtId="3" fontId="11" fillId="10" borderId="5" xfId="0" applyNumberFormat="1" applyFont="1" applyFill="1" applyBorder="1" applyAlignment="1">
      <alignment horizontal="right"/>
    </xf>
    <xf numFmtId="3" fontId="11" fillId="10" borderId="6" xfId="0" applyNumberFormat="1" applyFont="1" applyFill="1" applyBorder="1" applyAlignment="1">
      <alignment horizontal="right"/>
    </xf>
    <xf numFmtId="3" fontId="11" fillId="10" borderId="5" xfId="0" applyNumberFormat="1" applyFont="1" applyFill="1" applyBorder="1" applyAlignment="1">
      <alignment horizontal="right"/>
    </xf>
    <xf numFmtId="3" fontId="11" fillId="10" borderId="4" xfId="0" applyNumberFormat="1" applyFont="1" applyFill="1" applyBorder="1" applyAlignment="1">
      <alignment horizontal="center"/>
    </xf>
    <xf numFmtId="3" fontId="11" fillId="10" borderId="5" xfId="0" applyNumberFormat="1" applyFont="1" applyFill="1" applyBorder="1" applyAlignment="1">
      <alignment horizontal="center"/>
    </xf>
    <xf numFmtId="3" fontId="11" fillId="10" borderId="6" xfId="0" applyNumberFormat="1" applyFont="1" applyFill="1" applyBorder="1" applyAlignment="1">
      <alignment horizontal="center"/>
    </xf>
    <xf numFmtId="3" fontId="11" fillId="10" borderId="5" xfId="0" applyNumberFormat="1" applyFont="1" applyFill="1" applyBorder="1" applyAlignment="1">
      <alignment horizontal="center"/>
    </xf>
    <xf numFmtId="4" fontId="7" fillId="10" borderId="4" xfId="0" applyNumberFormat="1" applyFont="1" applyFill="1" applyBorder="1" applyAlignment="1">
      <alignment horizontal="right" vertical="center" wrapText="1"/>
    </xf>
    <xf numFmtId="4" fontId="7" fillId="10" borderId="5" xfId="0" applyNumberFormat="1" applyFont="1" applyFill="1" applyBorder="1" applyAlignment="1">
      <alignment horizontal="right" vertical="center" wrapText="1"/>
    </xf>
    <xf numFmtId="4" fontId="7" fillId="10" borderId="6" xfId="0" applyNumberFormat="1" applyFont="1" applyFill="1" applyBorder="1" applyAlignment="1">
      <alignment horizontal="right" vertical="center" wrapText="1"/>
    </xf>
    <xf numFmtId="0" fontId="10" fillId="11" borderId="1" xfId="0" applyFont="1" applyFill="1" applyBorder="1" applyAlignment="1">
      <alignment horizontal="center"/>
    </xf>
    <xf numFmtId="4" fontId="11" fillId="11" borderId="4" xfId="0" applyNumberFormat="1" applyFont="1" applyFill="1" applyBorder="1" applyAlignment="1">
      <alignment horizontal="right"/>
    </xf>
    <xf numFmtId="4" fontId="11" fillId="11" borderId="5" xfId="0" applyNumberFormat="1" applyFont="1" applyFill="1" applyBorder="1" applyAlignment="1">
      <alignment horizontal="right"/>
    </xf>
    <xf numFmtId="4" fontId="11" fillId="11" borderId="6" xfId="0" applyNumberFormat="1" applyFont="1" applyFill="1" applyBorder="1" applyAlignment="1">
      <alignment horizontal="right"/>
    </xf>
    <xf numFmtId="3" fontId="9" fillId="11" borderId="4" xfId="0" applyNumberFormat="1" applyFont="1" applyFill="1" applyBorder="1" applyAlignment="1">
      <alignment horizontal="right"/>
    </xf>
    <xf numFmtId="3" fontId="9" fillId="11" borderId="5" xfId="0" applyNumberFormat="1" applyFont="1" applyFill="1" applyBorder="1" applyAlignment="1">
      <alignment horizontal="right"/>
    </xf>
    <xf numFmtId="3" fontId="9" fillId="11" borderId="6" xfId="0" applyNumberFormat="1" applyFont="1" applyFill="1" applyBorder="1" applyAlignment="1">
      <alignment horizontal="right"/>
    </xf>
    <xf numFmtId="3" fontId="9" fillId="11" borderId="5" xfId="0" applyNumberFormat="1" applyFont="1" applyFill="1" applyBorder="1" applyAlignment="1">
      <alignment horizontal="right"/>
    </xf>
    <xf numFmtId="3" fontId="9" fillId="11" borderId="4" xfId="0" applyNumberFormat="1" applyFont="1" applyFill="1" applyBorder="1" applyAlignment="1">
      <alignment horizontal="center"/>
    </xf>
    <xf numFmtId="3" fontId="9" fillId="11" borderId="5" xfId="0" applyNumberFormat="1" applyFont="1" applyFill="1" applyBorder="1" applyAlignment="1">
      <alignment horizontal="center"/>
    </xf>
    <xf numFmtId="3" fontId="9" fillId="11" borderId="6" xfId="0" applyNumberFormat="1" applyFont="1" applyFill="1" applyBorder="1" applyAlignment="1">
      <alignment horizontal="center"/>
    </xf>
    <xf numFmtId="3" fontId="9" fillId="11" borderId="5" xfId="0" applyNumberFormat="1" applyFont="1" applyFill="1" applyBorder="1" applyAlignment="1">
      <alignment horizontal="center"/>
    </xf>
    <xf numFmtId="4" fontId="7" fillId="11" borderId="4" xfId="0" applyNumberFormat="1" applyFont="1" applyFill="1" applyBorder="1" applyAlignment="1">
      <alignment horizontal="right"/>
    </xf>
    <xf numFmtId="4" fontId="7" fillId="11" borderId="5" xfId="0" applyNumberFormat="1" applyFont="1" applyFill="1" applyBorder="1" applyAlignment="1">
      <alignment horizontal="right"/>
    </xf>
    <xf numFmtId="4" fontId="7" fillId="11" borderId="6" xfId="0" applyNumberFormat="1" applyFont="1" applyFill="1" applyBorder="1" applyAlignment="1">
      <alignment horizontal="right"/>
    </xf>
    <xf numFmtId="4" fontId="10" fillId="10" borderId="4" xfId="0" applyNumberFormat="1" applyFont="1" applyFill="1" applyBorder="1" applyAlignment="1">
      <alignment horizontal="right" vertical="center" wrapText="1"/>
    </xf>
    <xf numFmtId="4" fontId="10" fillId="10" borderId="5" xfId="0" applyNumberFormat="1" applyFont="1" applyFill="1" applyBorder="1" applyAlignment="1">
      <alignment horizontal="right" vertical="center" wrapText="1"/>
    </xf>
    <xf numFmtId="4" fontId="10" fillId="10" borderId="6" xfId="0" applyNumberFormat="1" applyFont="1" applyFill="1" applyBorder="1" applyAlignment="1">
      <alignment horizontal="right" vertical="center" wrapText="1"/>
    </xf>
    <xf numFmtId="0" fontId="10" fillId="10" borderId="4" xfId="0" applyFont="1" applyFill="1" applyBorder="1" applyAlignment="1">
      <alignment horizontal="right" vertical="center" wrapText="1"/>
    </xf>
    <xf numFmtId="0" fontId="10" fillId="10" borderId="5" xfId="0" applyFont="1" applyFill="1" applyBorder="1" applyAlignment="1">
      <alignment horizontal="right" vertical="center" wrapText="1"/>
    </xf>
    <xf numFmtId="0" fontId="10" fillId="10" borderId="6" xfId="0" applyFont="1" applyFill="1" applyBorder="1" applyAlignment="1">
      <alignment horizontal="right" vertical="center" wrapText="1"/>
    </xf>
    <xf numFmtId="0" fontId="9" fillId="10" borderId="5" xfId="0" applyFont="1" applyFill="1" applyBorder="1" applyAlignment="1">
      <alignment horizontal="right" vertical="center" wrapText="1"/>
    </xf>
    <xf numFmtId="0" fontId="10" fillId="10" borderId="5" xfId="0" applyFont="1" applyFill="1" applyBorder="1" applyAlignment="1">
      <alignment horizontal="right" vertical="center" wrapText="1"/>
    </xf>
    <xf numFmtId="0" fontId="10" fillId="10" borderId="4" xfId="0" applyFont="1" applyFill="1" applyBorder="1" applyAlignment="1">
      <alignment horizontal="center" vertical="center" wrapText="1"/>
    </xf>
    <xf numFmtId="0" fontId="10" fillId="10" borderId="5" xfId="0" applyFont="1" applyFill="1" applyBorder="1" applyAlignment="1">
      <alignment horizontal="center" vertical="center" wrapText="1"/>
    </xf>
    <xf numFmtId="0" fontId="10" fillId="10" borderId="6" xfId="0" applyFont="1" applyFill="1" applyBorder="1" applyAlignment="1">
      <alignment horizontal="center" vertical="center" wrapText="1"/>
    </xf>
    <xf numFmtId="0" fontId="10" fillId="10" borderId="5" xfId="0" applyFont="1" applyFill="1" applyBorder="1" applyAlignment="1">
      <alignment horizontal="center" vertical="center" wrapText="1"/>
    </xf>
    <xf numFmtId="4" fontId="10" fillId="10" borderId="1" xfId="0" applyNumberFormat="1" applyFont="1" applyFill="1" applyBorder="1" applyAlignment="1">
      <alignment horizontal="right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/>
    </xf>
    <xf numFmtId="0" fontId="3" fillId="4" borderId="7" xfId="0" applyFont="1" applyFill="1" applyBorder="1" applyAlignment="1">
      <alignment horizontal="center" vertical="center" wrapText="1"/>
    </xf>
    <xf numFmtId="0" fontId="9" fillId="12" borderId="4" xfId="0" applyFont="1" applyFill="1" applyBorder="1" applyAlignment="1">
      <alignment horizontal="center"/>
    </xf>
    <xf numFmtId="0" fontId="9" fillId="12" borderId="6" xfId="0" applyFont="1" applyFill="1" applyBorder="1" applyAlignment="1">
      <alignment horizontal="center"/>
    </xf>
    <xf numFmtId="0" fontId="9" fillId="12" borderId="1" xfId="0" applyFont="1" applyFill="1" applyBorder="1" applyAlignment="1">
      <alignment horizontal="center"/>
    </xf>
    <xf numFmtId="0" fontId="9" fillId="12" borderId="4" xfId="0" applyFont="1" applyFill="1" applyBorder="1" applyAlignment="1">
      <alignment horizontal="center"/>
    </xf>
    <xf numFmtId="0" fontId="9" fillId="12" borderId="1" xfId="0" applyFont="1" applyFill="1" applyBorder="1" applyAlignment="1"/>
    <xf numFmtId="0" fontId="10" fillId="9" borderId="1" xfId="0" applyFont="1" applyFill="1" applyBorder="1" applyAlignment="1">
      <alignment horizontal="center"/>
    </xf>
    <xf numFmtId="0" fontId="7" fillId="7" borderId="1" xfId="0" applyFont="1" applyFill="1" applyBorder="1" applyAlignment="1">
      <alignment horizontal="left" vertical="center" wrapText="1"/>
    </xf>
    <xf numFmtId="3" fontId="11" fillId="7" borderId="4" xfId="0" applyNumberFormat="1" applyFont="1" applyFill="1" applyBorder="1" applyAlignment="1">
      <alignment horizontal="center"/>
    </xf>
    <xf numFmtId="3" fontId="11" fillId="7" borderId="6" xfId="0" applyNumberFormat="1" applyFont="1" applyFill="1" applyBorder="1" applyAlignment="1">
      <alignment horizontal="center"/>
    </xf>
    <xf numFmtId="164" fontId="11" fillId="7" borderId="1" xfId="0" applyNumberFormat="1" applyFont="1" applyFill="1" applyBorder="1" applyAlignment="1">
      <alignment horizontal="right"/>
    </xf>
    <xf numFmtId="3" fontId="11" fillId="7" borderId="1" xfId="0" applyNumberFormat="1" applyFont="1" applyFill="1" applyBorder="1"/>
    <xf numFmtId="164" fontId="11" fillId="7" borderId="4" xfId="0" applyNumberFormat="1" applyFont="1" applyFill="1" applyBorder="1" applyAlignment="1">
      <alignment horizontal="right"/>
    </xf>
    <xf numFmtId="164" fontId="11" fillId="7" borderId="1" xfId="0" applyNumberFormat="1" applyFont="1" applyFill="1" applyBorder="1" applyAlignment="1"/>
    <xf numFmtId="0" fontId="7" fillId="7" borderId="1" xfId="0" applyFont="1" applyFill="1" applyBorder="1"/>
    <xf numFmtId="164" fontId="11" fillId="7" borderId="1" xfId="0" applyNumberFormat="1" applyFont="1" applyFill="1" applyBorder="1"/>
    <xf numFmtId="10" fontId="12" fillId="7" borderId="1" xfId="0" applyNumberFormat="1" applyFont="1" applyFill="1" applyBorder="1"/>
    <xf numFmtId="0" fontId="7" fillId="13" borderId="1" xfId="0" applyFont="1" applyFill="1" applyBorder="1"/>
    <xf numFmtId="164" fontId="7" fillId="13" borderId="1" xfId="0" applyNumberFormat="1" applyFont="1" applyFill="1" applyBorder="1"/>
    <xf numFmtId="164" fontId="11" fillId="8" borderId="1" xfId="0" applyNumberFormat="1" applyFont="1" applyFill="1" applyBorder="1" applyAlignment="1">
      <alignment horizontal="right"/>
    </xf>
    <xf numFmtId="165" fontId="7" fillId="7" borderId="1" xfId="0" applyNumberFormat="1" applyFont="1" applyFill="1" applyBorder="1" applyAlignment="1">
      <alignment horizontal="right"/>
    </xf>
    <xf numFmtId="166" fontId="11" fillId="7" borderId="1" xfId="0" applyNumberFormat="1" applyFont="1" applyFill="1" applyBorder="1" applyAlignment="1">
      <alignment horizontal="right"/>
    </xf>
    <xf numFmtId="164" fontId="11" fillId="8" borderId="4" xfId="0" applyNumberFormat="1" applyFont="1" applyFill="1" applyBorder="1" applyAlignment="1">
      <alignment horizontal="right"/>
    </xf>
    <xf numFmtId="165" fontId="11" fillId="8" borderId="1" xfId="0" applyNumberFormat="1" applyFont="1" applyFill="1" applyBorder="1" applyAlignment="1"/>
    <xf numFmtId="166" fontId="11" fillId="8" borderId="1" xfId="0" applyNumberFormat="1" applyFont="1" applyFill="1" applyBorder="1" applyAlignment="1"/>
    <xf numFmtId="164" fontId="11" fillId="8" borderId="1" xfId="0" applyNumberFormat="1" applyFont="1" applyFill="1" applyBorder="1" applyAlignment="1"/>
    <xf numFmtId="0" fontId="11" fillId="7" borderId="1" xfId="0" applyFont="1" applyFill="1" applyBorder="1"/>
    <xf numFmtId="10" fontId="12" fillId="8" borderId="1" xfId="0" applyNumberFormat="1" applyFont="1" applyFill="1" applyBorder="1"/>
    <xf numFmtId="3" fontId="7" fillId="8" borderId="1" xfId="0" applyNumberFormat="1" applyFont="1" applyFill="1" applyBorder="1"/>
    <xf numFmtId="164" fontId="7" fillId="8" borderId="1" xfId="0" applyNumberFormat="1" applyFont="1" applyFill="1" applyBorder="1"/>
    <xf numFmtId="0" fontId="11" fillId="8" borderId="1" xfId="0" applyFont="1" applyFill="1" applyBorder="1"/>
    <xf numFmtId="0" fontId="10" fillId="14" borderId="1" xfId="0" applyFont="1" applyFill="1" applyBorder="1"/>
    <xf numFmtId="3" fontId="9" fillId="14" borderId="4" xfId="0" applyNumberFormat="1" applyFont="1" applyFill="1" applyBorder="1" applyAlignment="1">
      <alignment horizontal="center"/>
    </xf>
    <xf numFmtId="3" fontId="9" fillId="14" borderId="6" xfId="0" applyNumberFormat="1" applyFont="1" applyFill="1" applyBorder="1" applyAlignment="1">
      <alignment horizontal="center"/>
    </xf>
    <xf numFmtId="40" fontId="9" fillId="14" borderId="1" xfId="0" applyNumberFormat="1" applyFont="1" applyFill="1" applyBorder="1"/>
    <xf numFmtId="38" fontId="9" fillId="14" borderId="4" xfId="0" applyNumberFormat="1" applyFont="1" applyFill="1" applyBorder="1" applyAlignment="1">
      <alignment horizontal="center"/>
    </xf>
    <xf numFmtId="38" fontId="9" fillId="14" borderId="6" xfId="0" applyNumberFormat="1" applyFont="1" applyFill="1" applyBorder="1" applyAlignment="1">
      <alignment horizontal="center"/>
    </xf>
    <xf numFmtId="40" fontId="9" fillId="14" borderId="4" xfId="0" applyNumberFormat="1" applyFont="1" applyFill="1" applyBorder="1"/>
    <xf numFmtId="38" fontId="9" fillId="14" borderId="1" xfId="0" applyNumberFormat="1" applyFont="1" applyFill="1" applyBorder="1" applyAlignment="1">
      <alignment horizontal="center"/>
    </xf>
    <xf numFmtId="40" fontId="9" fillId="14" borderId="6" xfId="0" applyNumberFormat="1" applyFont="1" applyFill="1" applyBorder="1" applyAlignment="1"/>
    <xf numFmtId="40" fontId="9" fillId="14" borderId="5" xfId="0" applyNumberFormat="1" applyFont="1" applyFill="1" applyBorder="1" applyAlignment="1"/>
    <xf numFmtId="10" fontId="13" fillId="14" borderId="1" xfId="0" applyNumberFormat="1" applyFont="1" applyFill="1" applyBorder="1"/>
    <xf numFmtId="166" fontId="10" fillId="6" borderId="1" xfId="0" applyNumberFormat="1" applyFont="1" applyFill="1" applyBorder="1" applyAlignment="1">
      <alignment horizontal="right"/>
    </xf>
    <xf numFmtId="40" fontId="10" fillId="6" borderId="1" xfId="0" applyNumberFormat="1" applyFont="1" applyFill="1" applyBorder="1"/>
    <xf numFmtId="0" fontId="11" fillId="0" borderId="0" xfId="0" applyFont="1" applyBorder="1" applyAlignment="1">
      <alignment horizontal="left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4" fillId="4" borderId="1" xfId="0" applyFont="1" applyFill="1" applyBorder="1" applyAlignment="1" applyProtection="1">
      <alignment horizontal="center"/>
      <protection locked="0"/>
    </xf>
    <xf numFmtId="0" fontId="3" fillId="5" borderId="4" xfId="0" applyFont="1" applyFill="1" applyBorder="1" applyAlignment="1">
      <alignment horizontal="center"/>
    </xf>
    <xf numFmtId="0" fontId="3" fillId="5" borderId="5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3" fillId="5" borderId="6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 vertical="center"/>
    </xf>
    <xf numFmtId="0" fontId="9" fillId="12" borderId="1" xfId="0" applyFont="1" applyFill="1" applyBorder="1" applyAlignment="1" applyProtection="1">
      <alignment horizontal="center"/>
      <protection locked="0"/>
    </xf>
    <xf numFmtId="4" fontId="9" fillId="12" borderId="1" xfId="0" applyNumberFormat="1" applyFont="1" applyFill="1" applyBorder="1" applyAlignment="1">
      <alignment horizontal="right"/>
    </xf>
    <xf numFmtId="4" fontId="3" fillId="12" borderId="4" xfId="0" applyNumberFormat="1" applyFont="1" applyFill="1" applyBorder="1" applyAlignment="1">
      <alignment horizontal="right"/>
    </xf>
    <xf numFmtId="4" fontId="3" fillId="12" borderId="5" xfId="0" applyNumberFormat="1" applyFont="1" applyFill="1" applyBorder="1" applyAlignment="1">
      <alignment horizontal="right"/>
    </xf>
    <xf numFmtId="4" fontId="3" fillId="12" borderId="6" xfId="0" applyNumberFormat="1" applyFont="1" applyFill="1" applyBorder="1" applyAlignment="1">
      <alignment horizontal="right"/>
    </xf>
    <xf numFmtId="4" fontId="3" fillId="12" borderId="1" xfId="0" applyNumberFormat="1" applyFont="1" applyFill="1" applyBorder="1" applyAlignment="1">
      <alignment horizontal="right"/>
    </xf>
    <xf numFmtId="4" fontId="9" fillId="12" borderId="4" xfId="0" applyNumberFormat="1" applyFont="1" applyFill="1" applyBorder="1" applyAlignment="1">
      <alignment horizontal="right"/>
    </xf>
    <xf numFmtId="4" fontId="9" fillId="12" borderId="5" xfId="0" applyNumberFormat="1" applyFont="1" applyFill="1" applyBorder="1" applyAlignment="1">
      <alignment horizontal="right"/>
    </xf>
    <xf numFmtId="10" fontId="15" fillId="12" borderId="1" xfId="0" applyNumberFormat="1" applyFont="1" applyFill="1" applyBorder="1" applyAlignment="1">
      <alignment horizontal="right"/>
    </xf>
    <xf numFmtId="4" fontId="9" fillId="9" borderId="1" xfId="0" applyNumberFormat="1" applyFont="1" applyFill="1" applyBorder="1" applyAlignment="1">
      <alignment horizontal="right"/>
    </xf>
    <xf numFmtId="0" fontId="11" fillId="8" borderId="1" xfId="0" applyFont="1" applyFill="1" applyBorder="1" applyProtection="1">
      <protection locked="0"/>
    </xf>
    <xf numFmtId="4" fontId="11" fillId="7" borderId="1" xfId="0" applyNumberFormat="1" applyFont="1" applyFill="1" applyBorder="1" applyAlignment="1">
      <alignment horizontal="right"/>
    </xf>
    <xf numFmtId="4" fontId="0" fillId="0" borderId="4" xfId="0" applyNumberFormat="1" applyBorder="1" applyAlignment="1">
      <alignment horizontal="right"/>
    </xf>
    <xf numFmtId="4" fontId="0" fillId="0" borderId="5" xfId="0" applyNumberFormat="1" applyBorder="1" applyAlignment="1">
      <alignment horizontal="right"/>
    </xf>
    <xf numFmtId="4" fontId="0" fillId="0" borderId="6" xfId="0" applyNumberFormat="1" applyBorder="1" applyAlignment="1">
      <alignment horizontal="right"/>
    </xf>
    <xf numFmtId="4" fontId="0" fillId="0" borderId="1" xfId="0" applyNumberFormat="1" applyBorder="1" applyAlignment="1">
      <alignment horizontal="right"/>
    </xf>
    <xf numFmtId="4" fontId="11" fillId="8" borderId="4" xfId="0" applyNumberFormat="1" applyFont="1" applyFill="1" applyBorder="1" applyAlignment="1">
      <alignment horizontal="right"/>
    </xf>
    <xf numFmtId="4" fontId="11" fillId="8" borderId="5" xfId="0" applyNumberFormat="1" applyFont="1" applyFill="1" applyBorder="1" applyAlignment="1">
      <alignment horizontal="right"/>
    </xf>
    <xf numFmtId="4" fontId="11" fillId="8" borderId="6" xfId="0" applyNumberFormat="1" applyFont="1" applyFill="1" applyBorder="1" applyAlignment="1">
      <alignment horizontal="right"/>
    </xf>
    <xf numFmtId="4" fontId="11" fillId="8" borderId="1" xfId="0" applyNumberFormat="1" applyFont="1" applyFill="1" applyBorder="1" applyAlignment="1">
      <alignment horizontal="right"/>
    </xf>
    <xf numFmtId="10" fontId="16" fillId="8" borderId="1" xfId="0" applyNumberFormat="1" applyFont="1" applyFill="1" applyBorder="1" applyAlignment="1">
      <alignment horizontal="right"/>
    </xf>
    <xf numFmtId="0" fontId="7" fillId="0" borderId="1" xfId="0" applyFont="1" applyBorder="1" applyProtection="1">
      <protection locked="0"/>
    </xf>
    <xf numFmtId="10" fontId="15" fillId="12" borderId="7" xfId="0" applyNumberFormat="1" applyFont="1" applyFill="1" applyBorder="1" applyAlignment="1">
      <alignment horizontal="right"/>
    </xf>
    <xf numFmtId="4" fontId="9" fillId="9" borderId="7" xfId="0" applyNumberFormat="1" applyFont="1" applyFill="1" applyBorder="1" applyAlignment="1">
      <alignment horizontal="right"/>
    </xf>
    <xf numFmtId="2" fontId="0" fillId="7" borderId="1" xfId="0" applyNumberFormat="1" applyFill="1" applyBorder="1" applyAlignment="1">
      <alignment horizontal="right"/>
    </xf>
    <xf numFmtId="2" fontId="0" fillId="0" borderId="4" xfId="0" applyNumberFormat="1" applyBorder="1" applyAlignment="1">
      <alignment horizontal="right"/>
    </xf>
    <xf numFmtId="2" fontId="0" fillId="0" borderId="5" xfId="0" applyNumberFormat="1" applyBorder="1" applyAlignment="1">
      <alignment horizontal="right"/>
    </xf>
    <xf numFmtId="0" fontId="11" fillId="8" borderId="1" xfId="0" applyFont="1" applyFill="1" applyBorder="1" applyAlignment="1" applyProtection="1">
      <alignment horizontal="left"/>
      <protection locked="0"/>
    </xf>
    <xf numFmtId="4" fontId="11" fillId="0" borderId="4" xfId="0" applyNumberFormat="1" applyFont="1" applyBorder="1" applyAlignment="1">
      <alignment horizontal="right"/>
    </xf>
    <xf numFmtId="4" fontId="11" fillId="0" borderId="6" xfId="0" applyNumberFormat="1" applyFont="1" applyBorder="1" applyAlignment="1">
      <alignment horizontal="right"/>
    </xf>
    <xf numFmtId="4" fontId="11" fillId="0" borderId="1" xfId="0" applyNumberFormat="1" applyFont="1" applyBorder="1" applyAlignment="1">
      <alignment horizontal="right"/>
    </xf>
    <xf numFmtId="4" fontId="9" fillId="12" borderId="6" xfId="0" applyNumberFormat="1" applyFont="1" applyFill="1" applyBorder="1" applyAlignment="1">
      <alignment horizontal="right"/>
    </xf>
    <xf numFmtId="4" fontId="10" fillId="12" borderId="4" xfId="0" applyNumberFormat="1" applyFont="1" applyFill="1" applyBorder="1" applyAlignment="1">
      <alignment horizontal="right"/>
    </xf>
    <xf numFmtId="4" fontId="10" fillId="12" borderId="5" xfId="0" applyNumberFormat="1" applyFont="1" applyFill="1" applyBorder="1" applyAlignment="1">
      <alignment horizontal="right"/>
    </xf>
    <xf numFmtId="4" fontId="10" fillId="12" borderId="6" xfId="0" applyNumberFormat="1" applyFont="1" applyFill="1" applyBorder="1" applyAlignment="1">
      <alignment horizontal="right"/>
    </xf>
    <xf numFmtId="10" fontId="16" fillId="8" borderId="1" xfId="1" applyNumberFormat="1" applyFont="1" applyFill="1" applyBorder="1" applyAlignment="1">
      <alignment horizontal="right"/>
    </xf>
    <xf numFmtId="0" fontId="10" fillId="3" borderId="1" xfId="0" applyFont="1" applyFill="1" applyBorder="1" applyAlignment="1" applyProtection="1">
      <alignment horizontal="center"/>
      <protection locked="0"/>
    </xf>
    <xf numFmtId="4" fontId="10" fillId="3" borderId="4" xfId="0" applyNumberFormat="1" applyFont="1" applyFill="1" applyBorder="1" applyAlignment="1">
      <alignment horizontal="right"/>
    </xf>
    <xf numFmtId="4" fontId="10" fillId="3" borderId="5" xfId="0" applyNumberFormat="1" applyFont="1" applyFill="1" applyBorder="1" applyAlignment="1">
      <alignment horizontal="right"/>
    </xf>
    <xf numFmtId="4" fontId="10" fillId="3" borderId="6" xfId="0" applyNumberFormat="1" applyFont="1" applyFill="1" applyBorder="1" applyAlignment="1">
      <alignment horizontal="right"/>
    </xf>
    <xf numFmtId="4" fontId="10" fillId="3" borderId="1" xfId="0" applyNumberFormat="1" applyFont="1" applyFill="1" applyBorder="1" applyAlignment="1">
      <alignment horizontal="right"/>
    </xf>
    <xf numFmtId="10" fontId="10" fillId="3" borderId="1" xfId="0" applyNumberFormat="1" applyFont="1" applyFill="1" applyBorder="1" applyAlignment="1">
      <alignment horizontal="right"/>
    </xf>
    <xf numFmtId="4" fontId="10" fillId="6" borderId="1" xfId="0" applyNumberFormat="1" applyFont="1" applyFill="1" applyBorder="1" applyAlignment="1">
      <alignment horizontal="right"/>
    </xf>
    <xf numFmtId="0" fontId="9" fillId="14" borderId="1" xfId="0" applyFont="1" applyFill="1" applyBorder="1" applyAlignment="1" applyProtection="1">
      <alignment horizontal="center"/>
      <protection locked="0"/>
    </xf>
    <xf numFmtId="4" fontId="9" fillId="14" borderId="4" xfId="0" applyNumberFormat="1" applyFont="1" applyFill="1" applyBorder="1" applyAlignment="1">
      <alignment horizontal="right"/>
    </xf>
    <xf numFmtId="4" fontId="9" fillId="14" borderId="5" xfId="0" applyNumberFormat="1" applyFont="1" applyFill="1" applyBorder="1" applyAlignment="1">
      <alignment horizontal="right"/>
    </xf>
    <xf numFmtId="4" fontId="9" fillId="14" borderId="6" xfId="0" applyNumberFormat="1" applyFont="1" applyFill="1" applyBorder="1" applyAlignment="1">
      <alignment horizontal="right"/>
    </xf>
    <xf numFmtId="4" fontId="10" fillId="14" borderId="1" xfId="0" applyNumberFormat="1" applyFont="1" applyFill="1" applyBorder="1" applyAlignment="1">
      <alignment horizontal="right"/>
    </xf>
    <xf numFmtId="4" fontId="9" fillId="14" borderId="1" xfId="0" applyNumberFormat="1" applyFont="1" applyFill="1" applyBorder="1" applyAlignment="1">
      <alignment horizontal="right"/>
    </xf>
    <xf numFmtId="4" fontId="10" fillId="14" borderId="4" xfId="0" applyNumberFormat="1" applyFont="1" applyFill="1" applyBorder="1" applyAlignment="1">
      <alignment horizontal="right"/>
    </xf>
    <xf numFmtId="164" fontId="10" fillId="14" borderId="1" xfId="0" applyNumberFormat="1" applyFont="1" applyFill="1" applyBorder="1" applyAlignment="1">
      <alignment horizontal="right"/>
    </xf>
    <xf numFmtId="164" fontId="10" fillId="14" borderId="4" xfId="0" applyNumberFormat="1" applyFont="1" applyFill="1" applyBorder="1" applyAlignment="1">
      <alignment horizontal="right"/>
    </xf>
    <xf numFmtId="4" fontId="9" fillId="2" borderId="1" xfId="0" applyNumberFormat="1" applyFont="1" applyFill="1" applyBorder="1" applyAlignment="1">
      <alignment horizontal="center"/>
    </xf>
    <xf numFmtId="0" fontId="9" fillId="3" borderId="1" xfId="0" applyFont="1" applyFill="1" applyBorder="1" applyAlignment="1" applyProtection="1">
      <alignment horizontal="center"/>
      <protection locked="0"/>
    </xf>
    <xf numFmtId="4" fontId="9" fillId="3" borderId="1" xfId="0" applyNumberFormat="1" applyFont="1" applyFill="1" applyBorder="1" applyAlignment="1">
      <alignment horizontal="right"/>
    </xf>
    <xf numFmtId="4" fontId="10" fillId="8" borderId="0" xfId="0" applyNumberFormat="1" applyFont="1" applyFill="1" applyBorder="1" applyAlignment="1">
      <alignment horizontal="right"/>
    </xf>
    <xf numFmtId="4" fontId="9" fillId="8" borderId="0" xfId="0" applyNumberFormat="1" applyFont="1" applyFill="1" applyBorder="1" applyAlignment="1">
      <alignment horizontal="right"/>
    </xf>
    <xf numFmtId="4" fontId="17" fillId="8" borderId="0" xfId="0" applyNumberFormat="1" applyFont="1" applyFill="1" applyBorder="1" applyAlignment="1">
      <alignment horizontal="right"/>
    </xf>
    <xf numFmtId="4" fontId="9" fillId="8" borderId="0" xfId="0" applyNumberFormat="1" applyFont="1" applyFill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3" fillId="10" borderId="7" xfId="0" applyFont="1" applyFill="1" applyBorder="1" applyAlignment="1">
      <alignment horizontal="center" vertical="center"/>
    </xf>
    <xf numFmtId="4" fontId="14" fillId="10" borderId="4" xfId="0" applyNumberFormat="1" applyFont="1" applyFill="1" applyBorder="1" applyAlignment="1">
      <alignment horizontal="center"/>
    </xf>
    <xf numFmtId="4" fontId="14" fillId="10" borderId="5" xfId="0" applyNumberFormat="1" applyFont="1" applyFill="1" applyBorder="1" applyAlignment="1">
      <alignment horizontal="center"/>
    </xf>
    <xf numFmtId="0" fontId="14" fillId="10" borderId="4" xfId="0" applyFont="1" applyFill="1" applyBorder="1" applyAlignment="1">
      <alignment horizontal="center"/>
    </xf>
    <xf numFmtId="0" fontId="14" fillId="10" borderId="5" xfId="0" applyFont="1" applyFill="1" applyBorder="1" applyAlignment="1">
      <alignment horizontal="center"/>
    </xf>
    <xf numFmtId="0" fontId="14" fillId="10" borderId="6" xfId="0" applyFont="1" applyFill="1" applyBorder="1" applyAlignment="1">
      <alignment horizontal="center"/>
    </xf>
    <xf numFmtId="0" fontId="14" fillId="10" borderId="1" xfId="0" applyFont="1" applyFill="1" applyBorder="1" applyAlignment="1">
      <alignment horizontal="center"/>
    </xf>
    <xf numFmtId="4" fontId="18" fillId="8" borderId="0" xfId="0" applyNumberFormat="1" applyFont="1" applyFill="1" applyBorder="1" applyAlignment="1">
      <alignment horizontal="center" vertical="center" wrapText="1"/>
    </xf>
    <xf numFmtId="0" fontId="0" fillId="0" borderId="1" xfId="0" applyBorder="1"/>
    <xf numFmtId="2" fontId="0" fillId="7" borderId="4" xfId="0" applyNumberFormat="1" applyFill="1" applyBorder="1" applyAlignment="1">
      <alignment horizontal="right"/>
    </xf>
    <xf numFmtId="2" fontId="0" fillId="7" borderId="5" xfId="0" applyNumberFormat="1" applyFill="1" applyBorder="1" applyAlignment="1">
      <alignment horizontal="right"/>
    </xf>
    <xf numFmtId="2" fontId="0" fillId="7" borderId="6" xfId="0" applyNumberFormat="1" applyFill="1" applyBorder="1" applyAlignment="1">
      <alignment horizontal="right"/>
    </xf>
    <xf numFmtId="0" fontId="0" fillId="0" borderId="1" xfId="0" applyFont="1" applyBorder="1"/>
    <xf numFmtId="4" fontId="0" fillId="7" borderId="4" xfId="0" applyNumberFormat="1" applyFont="1" applyFill="1" applyBorder="1" applyAlignment="1">
      <alignment horizontal="right"/>
    </xf>
    <xf numFmtId="4" fontId="0" fillId="7" borderId="5" xfId="0" applyNumberFormat="1" applyFont="1" applyFill="1" applyBorder="1" applyAlignment="1">
      <alignment horizontal="right"/>
    </xf>
    <xf numFmtId="4" fontId="0" fillId="7" borderId="6" xfId="0" applyNumberFormat="1" applyFont="1" applyFill="1" applyBorder="1" applyAlignment="1">
      <alignment horizontal="right"/>
    </xf>
    <xf numFmtId="4" fontId="19" fillId="0" borderId="4" xfId="0" applyNumberFormat="1" applyFont="1" applyBorder="1" applyAlignment="1">
      <alignment horizontal="right"/>
    </xf>
    <xf numFmtId="4" fontId="19" fillId="0" borderId="5" xfId="0" applyNumberFormat="1" applyFont="1" applyBorder="1" applyAlignment="1">
      <alignment horizontal="right"/>
    </xf>
    <xf numFmtId="4" fontId="19" fillId="0" borderId="6" xfId="0" applyNumberFormat="1" applyFont="1" applyBorder="1" applyAlignment="1">
      <alignment horizontal="right"/>
    </xf>
    <xf numFmtId="4" fontId="19" fillId="8" borderId="1" xfId="0" applyNumberFormat="1" applyFont="1" applyFill="1" applyBorder="1" applyAlignment="1">
      <alignment horizontal="right"/>
    </xf>
    <xf numFmtId="4" fontId="19" fillId="8" borderId="4" xfId="0" applyNumberFormat="1" applyFont="1" applyFill="1" applyBorder="1" applyAlignment="1">
      <alignment horizontal="right"/>
    </xf>
    <xf numFmtId="4" fontId="19" fillId="8" borderId="5" xfId="0" applyNumberFormat="1" applyFont="1" applyFill="1" applyBorder="1" applyAlignment="1">
      <alignment horizontal="right"/>
    </xf>
    <xf numFmtId="4" fontId="19" fillId="8" borderId="6" xfId="0" applyNumberFormat="1" applyFont="1" applyFill="1" applyBorder="1" applyAlignment="1">
      <alignment horizontal="right"/>
    </xf>
    <xf numFmtId="4" fontId="19" fillId="0" borderId="1" xfId="0" applyNumberFormat="1" applyFont="1" applyBorder="1" applyAlignment="1">
      <alignment horizontal="right"/>
    </xf>
    <xf numFmtId="0" fontId="11" fillId="8" borderId="5" xfId="0" applyFont="1" applyFill="1" applyBorder="1" applyAlignment="1">
      <alignment horizontal="right"/>
    </xf>
    <xf numFmtId="0" fontId="11" fillId="8" borderId="6" xfId="0" applyFont="1" applyFill="1" applyBorder="1" applyAlignment="1">
      <alignment horizontal="right"/>
    </xf>
    <xf numFmtId="0" fontId="11" fillId="8" borderId="1" xfId="0" applyFont="1" applyFill="1" applyBorder="1" applyAlignment="1">
      <alignment horizontal="right"/>
    </xf>
    <xf numFmtId="4" fontId="19" fillId="8" borderId="1" xfId="0" applyNumberFormat="1" applyFont="1" applyFill="1" applyBorder="1" applyAlignment="1">
      <alignment horizontal="right" vertical="center" wrapText="1"/>
    </xf>
    <xf numFmtId="0" fontId="3" fillId="5" borderId="1" xfId="0" applyFont="1" applyFill="1" applyBorder="1" applyAlignment="1">
      <alignment horizontal="center"/>
    </xf>
    <xf numFmtId="4" fontId="14" fillId="5" borderId="4" xfId="0" applyNumberFormat="1" applyFont="1" applyFill="1" applyBorder="1" applyAlignment="1">
      <alignment horizontal="right"/>
    </xf>
    <xf numFmtId="4" fontId="14" fillId="5" borderId="5" xfId="0" applyNumberFormat="1" applyFont="1" applyFill="1" applyBorder="1" applyAlignment="1">
      <alignment horizontal="right"/>
    </xf>
    <xf numFmtId="4" fontId="14" fillId="5" borderId="6" xfId="0" applyNumberFormat="1" applyFont="1" applyFill="1" applyBorder="1" applyAlignment="1">
      <alignment horizontal="right"/>
    </xf>
    <xf numFmtId="4" fontId="14" fillId="5" borderId="1" xfId="0" applyNumberFormat="1" applyFont="1" applyFill="1" applyBorder="1" applyAlignment="1">
      <alignment horizontal="right"/>
    </xf>
    <xf numFmtId="4" fontId="14" fillId="5" borderId="1" xfId="0" applyNumberFormat="1" applyFont="1" applyFill="1" applyBorder="1" applyAlignment="1">
      <alignment horizontal="right" vertical="center" wrapText="1"/>
    </xf>
    <xf numFmtId="0" fontId="20" fillId="0" borderId="0" xfId="0" applyFont="1" applyBorder="1"/>
    <xf numFmtId="40" fontId="10" fillId="8" borderId="0" xfId="0" applyNumberFormat="1" applyFont="1" applyFill="1" applyBorder="1"/>
    <xf numFmtId="40" fontId="9" fillId="8" borderId="0" xfId="0" applyNumberFormat="1" applyFont="1" applyFill="1" applyBorder="1"/>
    <xf numFmtId="4" fontId="2" fillId="8" borderId="0" xfId="0" applyNumberFormat="1" applyFont="1" applyFill="1" applyBorder="1" applyAlignment="1">
      <alignment vertical="center" wrapText="1"/>
    </xf>
    <xf numFmtId="0" fontId="10" fillId="0" borderId="0" xfId="0" applyFont="1" applyBorder="1"/>
    <xf numFmtId="0" fontId="7" fillId="0" borderId="0" xfId="0" applyFont="1" applyBorder="1" applyAlignment="1">
      <alignment horizontal="left"/>
    </xf>
  </cellXfs>
  <cellStyles count="2">
    <cellStyle name="Normal" xfId="0" builtinId="0"/>
    <cellStyle name="Porcentagem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38</xdr:col>
      <xdr:colOff>0</xdr:colOff>
      <xdr:row>20</xdr:row>
      <xdr:rowOff>0</xdr:rowOff>
    </xdr:from>
    <xdr:ext cx="304800" cy="304800"/>
    <xdr:sp macro="" textlink="">
      <xdr:nvSpPr>
        <xdr:cNvPr id="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D2BF932-04B1-4A34-9288-7107F8F53246}"/>
            </a:ext>
          </a:extLst>
        </xdr:cNvPr>
        <xdr:cNvSpPr>
          <a:spLocks noChangeAspect="1" noChangeArrowheads="1"/>
        </xdr:cNvSpPr>
      </xdr:nvSpPr>
      <xdr:spPr bwMode="auto">
        <a:xfrm>
          <a:off x="17983200" y="390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38</xdr:col>
      <xdr:colOff>0</xdr:colOff>
      <xdr:row>20</xdr:row>
      <xdr:rowOff>0</xdr:rowOff>
    </xdr:from>
    <xdr:ext cx="304800" cy="304800"/>
    <xdr:sp macro="" textlink="">
      <xdr:nvSpPr>
        <xdr:cNvPr id="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7115B21-165B-401A-9EC5-E3AA63E892D2}"/>
            </a:ext>
          </a:extLst>
        </xdr:cNvPr>
        <xdr:cNvSpPr>
          <a:spLocks noChangeAspect="1" noChangeArrowheads="1"/>
        </xdr:cNvSpPr>
      </xdr:nvSpPr>
      <xdr:spPr bwMode="auto">
        <a:xfrm>
          <a:off x="17983200" y="390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38</xdr:col>
      <xdr:colOff>0</xdr:colOff>
      <xdr:row>20</xdr:row>
      <xdr:rowOff>0</xdr:rowOff>
    </xdr:from>
    <xdr:ext cx="304800" cy="304800"/>
    <xdr:sp macro="" textlink="">
      <xdr:nvSpPr>
        <xdr:cNvPr id="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00F486F-A7C6-4A21-B9CB-924BA4E9159D}"/>
            </a:ext>
          </a:extLst>
        </xdr:cNvPr>
        <xdr:cNvSpPr>
          <a:spLocks noChangeAspect="1" noChangeArrowheads="1"/>
        </xdr:cNvSpPr>
      </xdr:nvSpPr>
      <xdr:spPr bwMode="auto">
        <a:xfrm>
          <a:off x="17983200" y="390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38</xdr:col>
      <xdr:colOff>0</xdr:colOff>
      <xdr:row>20</xdr:row>
      <xdr:rowOff>0</xdr:rowOff>
    </xdr:from>
    <xdr:ext cx="304800" cy="304800"/>
    <xdr:sp macro="" textlink="">
      <xdr:nvSpPr>
        <xdr:cNvPr id="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E92A43A-E6A6-4769-BC48-9B6A57AD598A}"/>
            </a:ext>
          </a:extLst>
        </xdr:cNvPr>
        <xdr:cNvSpPr>
          <a:spLocks noChangeAspect="1" noChangeArrowheads="1"/>
        </xdr:cNvSpPr>
      </xdr:nvSpPr>
      <xdr:spPr bwMode="auto">
        <a:xfrm>
          <a:off x="17983200" y="390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38</xdr:col>
      <xdr:colOff>0</xdr:colOff>
      <xdr:row>20</xdr:row>
      <xdr:rowOff>0</xdr:rowOff>
    </xdr:from>
    <xdr:ext cx="304800" cy="304800"/>
    <xdr:sp macro="" textlink="">
      <xdr:nvSpPr>
        <xdr:cNvPr id="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BAEB23C-3743-44CE-96B5-9DF757897D2A}"/>
            </a:ext>
          </a:extLst>
        </xdr:cNvPr>
        <xdr:cNvSpPr>
          <a:spLocks noChangeAspect="1" noChangeArrowheads="1"/>
        </xdr:cNvSpPr>
      </xdr:nvSpPr>
      <xdr:spPr bwMode="auto">
        <a:xfrm>
          <a:off x="17983200" y="390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38</xdr:col>
      <xdr:colOff>0</xdr:colOff>
      <xdr:row>20</xdr:row>
      <xdr:rowOff>0</xdr:rowOff>
    </xdr:from>
    <xdr:ext cx="304800" cy="304800"/>
    <xdr:sp macro="" textlink="">
      <xdr:nvSpPr>
        <xdr:cNvPr id="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F9BE5E2-98B4-4EFA-B998-95177B3AD13D}"/>
            </a:ext>
          </a:extLst>
        </xdr:cNvPr>
        <xdr:cNvSpPr>
          <a:spLocks noChangeAspect="1" noChangeArrowheads="1"/>
        </xdr:cNvSpPr>
      </xdr:nvSpPr>
      <xdr:spPr bwMode="auto">
        <a:xfrm>
          <a:off x="17983200" y="390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38</xdr:col>
      <xdr:colOff>0</xdr:colOff>
      <xdr:row>20</xdr:row>
      <xdr:rowOff>0</xdr:rowOff>
    </xdr:from>
    <xdr:ext cx="304800" cy="304800"/>
    <xdr:sp macro="" textlink="">
      <xdr:nvSpPr>
        <xdr:cNvPr id="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8BF7B59-589B-4CA9-B1AF-8AC5231EB259}"/>
            </a:ext>
          </a:extLst>
        </xdr:cNvPr>
        <xdr:cNvSpPr>
          <a:spLocks noChangeAspect="1" noChangeArrowheads="1"/>
        </xdr:cNvSpPr>
      </xdr:nvSpPr>
      <xdr:spPr bwMode="auto">
        <a:xfrm>
          <a:off x="17983200" y="390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38</xdr:col>
      <xdr:colOff>0</xdr:colOff>
      <xdr:row>20</xdr:row>
      <xdr:rowOff>0</xdr:rowOff>
    </xdr:from>
    <xdr:ext cx="304800" cy="304800"/>
    <xdr:sp macro="" textlink="">
      <xdr:nvSpPr>
        <xdr:cNvPr id="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2A14C30-AF80-4FFB-B233-96238D0EB19E}"/>
            </a:ext>
          </a:extLst>
        </xdr:cNvPr>
        <xdr:cNvSpPr>
          <a:spLocks noChangeAspect="1" noChangeArrowheads="1"/>
        </xdr:cNvSpPr>
      </xdr:nvSpPr>
      <xdr:spPr bwMode="auto">
        <a:xfrm>
          <a:off x="17983200" y="390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38</xdr:col>
      <xdr:colOff>0</xdr:colOff>
      <xdr:row>20</xdr:row>
      <xdr:rowOff>0</xdr:rowOff>
    </xdr:from>
    <xdr:ext cx="304800" cy="304800"/>
    <xdr:sp macro="" textlink="">
      <xdr:nvSpPr>
        <xdr:cNvPr id="1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BFBE8E8-41EC-4245-BBA4-37A32B47C47B}"/>
            </a:ext>
          </a:extLst>
        </xdr:cNvPr>
        <xdr:cNvSpPr>
          <a:spLocks noChangeAspect="1" noChangeArrowheads="1"/>
        </xdr:cNvSpPr>
      </xdr:nvSpPr>
      <xdr:spPr bwMode="auto">
        <a:xfrm>
          <a:off x="17983200" y="390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38</xdr:col>
      <xdr:colOff>0</xdr:colOff>
      <xdr:row>20</xdr:row>
      <xdr:rowOff>0</xdr:rowOff>
    </xdr:from>
    <xdr:ext cx="304800" cy="304800"/>
    <xdr:sp macro="" textlink="">
      <xdr:nvSpPr>
        <xdr:cNvPr id="1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2A4286B-8BF8-4BB2-8EF3-D9DF4FF1CE3B}"/>
            </a:ext>
          </a:extLst>
        </xdr:cNvPr>
        <xdr:cNvSpPr>
          <a:spLocks noChangeAspect="1" noChangeArrowheads="1"/>
        </xdr:cNvSpPr>
      </xdr:nvSpPr>
      <xdr:spPr bwMode="auto">
        <a:xfrm>
          <a:off x="17983200" y="390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38</xdr:col>
      <xdr:colOff>0</xdr:colOff>
      <xdr:row>20</xdr:row>
      <xdr:rowOff>0</xdr:rowOff>
    </xdr:from>
    <xdr:ext cx="304800" cy="304800"/>
    <xdr:sp macro="" textlink="">
      <xdr:nvSpPr>
        <xdr:cNvPr id="1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1C3E42F-76B7-4652-90A1-9C2DE9193365}"/>
            </a:ext>
          </a:extLst>
        </xdr:cNvPr>
        <xdr:cNvSpPr>
          <a:spLocks noChangeAspect="1" noChangeArrowheads="1"/>
        </xdr:cNvSpPr>
      </xdr:nvSpPr>
      <xdr:spPr bwMode="auto">
        <a:xfrm>
          <a:off x="17983200" y="390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38</xdr:col>
      <xdr:colOff>0</xdr:colOff>
      <xdr:row>20</xdr:row>
      <xdr:rowOff>0</xdr:rowOff>
    </xdr:from>
    <xdr:ext cx="304800" cy="304800"/>
    <xdr:sp macro="" textlink="">
      <xdr:nvSpPr>
        <xdr:cNvPr id="1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D24BE58-377C-4998-B1A1-D74EEC4EF5AD}"/>
            </a:ext>
          </a:extLst>
        </xdr:cNvPr>
        <xdr:cNvSpPr>
          <a:spLocks noChangeAspect="1" noChangeArrowheads="1"/>
        </xdr:cNvSpPr>
      </xdr:nvSpPr>
      <xdr:spPr bwMode="auto">
        <a:xfrm>
          <a:off x="17983200" y="390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38</xdr:col>
      <xdr:colOff>0</xdr:colOff>
      <xdr:row>20</xdr:row>
      <xdr:rowOff>0</xdr:rowOff>
    </xdr:from>
    <xdr:ext cx="304800" cy="304800"/>
    <xdr:sp macro="" textlink="">
      <xdr:nvSpPr>
        <xdr:cNvPr id="1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0D3D2D7-8B2B-47EB-B7A7-90D50A09990E}"/>
            </a:ext>
          </a:extLst>
        </xdr:cNvPr>
        <xdr:cNvSpPr>
          <a:spLocks noChangeAspect="1" noChangeArrowheads="1"/>
        </xdr:cNvSpPr>
      </xdr:nvSpPr>
      <xdr:spPr bwMode="auto">
        <a:xfrm>
          <a:off x="17983200" y="390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38</xdr:col>
      <xdr:colOff>0</xdr:colOff>
      <xdr:row>20</xdr:row>
      <xdr:rowOff>0</xdr:rowOff>
    </xdr:from>
    <xdr:ext cx="304800" cy="304800"/>
    <xdr:sp macro="" textlink="">
      <xdr:nvSpPr>
        <xdr:cNvPr id="1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C18919B-CA0B-4951-8327-19874221A491}"/>
            </a:ext>
          </a:extLst>
        </xdr:cNvPr>
        <xdr:cNvSpPr>
          <a:spLocks noChangeAspect="1" noChangeArrowheads="1"/>
        </xdr:cNvSpPr>
      </xdr:nvSpPr>
      <xdr:spPr bwMode="auto">
        <a:xfrm>
          <a:off x="17983200" y="390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38</xdr:col>
      <xdr:colOff>0</xdr:colOff>
      <xdr:row>20</xdr:row>
      <xdr:rowOff>0</xdr:rowOff>
    </xdr:from>
    <xdr:ext cx="304800" cy="304800"/>
    <xdr:sp macro="" textlink="">
      <xdr:nvSpPr>
        <xdr:cNvPr id="1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551237E-CAC1-4074-A094-319D564440FB}"/>
            </a:ext>
          </a:extLst>
        </xdr:cNvPr>
        <xdr:cNvSpPr>
          <a:spLocks noChangeAspect="1" noChangeArrowheads="1"/>
        </xdr:cNvSpPr>
      </xdr:nvSpPr>
      <xdr:spPr bwMode="auto">
        <a:xfrm>
          <a:off x="17983200" y="390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38</xdr:col>
      <xdr:colOff>0</xdr:colOff>
      <xdr:row>20</xdr:row>
      <xdr:rowOff>0</xdr:rowOff>
    </xdr:from>
    <xdr:ext cx="304800" cy="304800"/>
    <xdr:sp macro="" textlink="">
      <xdr:nvSpPr>
        <xdr:cNvPr id="1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2664B73-A31A-4C7C-9425-F864BD4D8C6C}"/>
            </a:ext>
          </a:extLst>
        </xdr:cNvPr>
        <xdr:cNvSpPr>
          <a:spLocks noChangeAspect="1" noChangeArrowheads="1"/>
        </xdr:cNvSpPr>
      </xdr:nvSpPr>
      <xdr:spPr bwMode="auto">
        <a:xfrm>
          <a:off x="17983200" y="390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38</xdr:col>
      <xdr:colOff>0</xdr:colOff>
      <xdr:row>20</xdr:row>
      <xdr:rowOff>0</xdr:rowOff>
    </xdr:from>
    <xdr:ext cx="304800" cy="304800"/>
    <xdr:sp macro="" textlink="">
      <xdr:nvSpPr>
        <xdr:cNvPr id="1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E209B04-A61A-4E7C-91DA-43E240463CF6}"/>
            </a:ext>
          </a:extLst>
        </xdr:cNvPr>
        <xdr:cNvSpPr>
          <a:spLocks noChangeAspect="1" noChangeArrowheads="1"/>
        </xdr:cNvSpPr>
      </xdr:nvSpPr>
      <xdr:spPr bwMode="auto">
        <a:xfrm>
          <a:off x="17983200" y="390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38</xdr:col>
      <xdr:colOff>0</xdr:colOff>
      <xdr:row>20</xdr:row>
      <xdr:rowOff>0</xdr:rowOff>
    </xdr:from>
    <xdr:ext cx="304800" cy="304800"/>
    <xdr:sp macro="" textlink="">
      <xdr:nvSpPr>
        <xdr:cNvPr id="1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49637D8-3B30-4CE9-85E0-4FAFB9C610EE}"/>
            </a:ext>
          </a:extLst>
        </xdr:cNvPr>
        <xdr:cNvSpPr>
          <a:spLocks noChangeAspect="1" noChangeArrowheads="1"/>
        </xdr:cNvSpPr>
      </xdr:nvSpPr>
      <xdr:spPr bwMode="auto">
        <a:xfrm>
          <a:off x="17983200" y="390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38</xdr:col>
      <xdr:colOff>0</xdr:colOff>
      <xdr:row>20</xdr:row>
      <xdr:rowOff>0</xdr:rowOff>
    </xdr:from>
    <xdr:ext cx="304800" cy="304800"/>
    <xdr:sp macro="" textlink="">
      <xdr:nvSpPr>
        <xdr:cNvPr id="2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E29F464-6EC7-447A-A586-A0BDA3998862}"/>
            </a:ext>
          </a:extLst>
        </xdr:cNvPr>
        <xdr:cNvSpPr>
          <a:spLocks noChangeAspect="1" noChangeArrowheads="1"/>
        </xdr:cNvSpPr>
      </xdr:nvSpPr>
      <xdr:spPr bwMode="auto">
        <a:xfrm>
          <a:off x="17983200" y="390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38</xdr:col>
      <xdr:colOff>0</xdr:colOff>
      <xdr:row>20</xdr:row>
      <xdr:rowOff>0</xdr:rowOff>
    </xdr:from>
    <xdr:ext cx="304800" cy="304800"/>
    <xdr:sp macro="" textlink="">
      <xdr:nvSpPr>
        <xdr:cNvPr id="2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3EB962A-6C18-4637-B470-1B739B06A592}"/>
            </a:ext>
          </a:extLst>
        </xdr:cNvPr>
        <xdr:cNvSpPr>
          <a:spLocks noChangeAspect="1" noChangeArrowheads="1"/>
        </xdr:cNvSpPr>
      </xdr:nvSpPr>
      <xdr:spPr bwMode="auto">
        <a:xfrm>
          <a:off x="17983200" y="390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38</xdr:col>
      <xdr:colOff>0</xdr:colOff>
      <xdr:row>20</xdr:row>
      <xdr:rowOff>0</xdr:rowOff>
    </xdr:from>
    <xdr:ext cx="304800" cy="304800"/>
    <xdr:sp macro="" textlink="">
      <xdr:nvSpPr>
        <xdr:cNvPr id="2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5ECFED2-6FB0-4923-85E6-52445608F577}"/>
            </a:ext>
          </a:extLst>
        </xdr:cNvPr>
        <xdr:cNvSpPr>
          <a:spLocks noChangeAspect="1" noChangeArrowheads="1"/>
        </xdr:cNvSpPr>
      </xdr:nvSpPr>
      <xdr:spPr bwMode="auto">
        <a:xfrm>
          <a:off x="17983200" y="390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38</xdr:col>
      <xdr:colOff>0</xdr:colOff>
      <xdr:row>20</xdr:row>
      <xdr:rowOff>0</xdr:rowOff>
    </xdr:from>
    <xdr:ext cx="304800" cy="304800"/>
    <xdr:sp macro="" textlink="">
      <xdr:nvSpPr>
        <xdr:cNvPr id="2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D9D2E41-117A-421D-A0C6-1288A18380CB}"/>
            </a:ext>
          </a:extLst>
        </xdr:cNvPr>
        <xdr:cNvSpPr>
          <a:spLocks noChangeAspect="1" noChangeArrowheads="1"/>
        </xdr:cNvSpPr>
      </xdr:nvSpPr>
      <xdr:spPr bwMode="auto">
        <a:xfrm>
          <a:off x="17983200" y="390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38</xdr:col>
      <xdr:colOff>0</xdr:colOff>
      <xdr:row>20</xdr:row>
      <xdr:rowOff>0</xdr:rowOff>
    </xdr:from>
    <xdr:ext cx="304800" cy="304800"/>
    <xdr:sp macro="" textlink="">
      <xdr:nvSpPr>
        <xdr:cNvPr id="2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389E4E3-1857-4D4F-9286-FE704DDD47C5}"/>
            </a:ext>
          </a:extLst>
        </xdr:cNvPr>
        <xdr:cNvSpPr>
          <a:spLocks noChangeAspect="1" noChangeArrowheads="1"/>
        </xdr:cNvSpPr>
      </xdr:nvSpPr>
      <xdr:spPr bwMode="auto">
        <a:xfrm>
          <a:off x="17983200" y="390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38</xdr:col>
      <xdr:colOff>0</xdr:colOff>
      <xdr:row>20</xdr:row>
      <xdr:rowOff>0</xdr:rowOff>
    </xdr:from>
    <xdr:ext cx="304800" cy="304800"/>
    <xdr:sp macro="" textlink="">
      <xdr:nvSpPr>
        <xdr:cNvPr id="2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A55D178-3E9C-4402-AF25-215A31FF6121}"/>
            </a:ext>
          </a:extLst>
        </xdr:cNvPr>
        <xdr:cNvSpPr>
          <a:spLocks noChangeAspect="1" noChangeArrowheads="1"/>
        </xdr:cNvSpPr>
      </xdr:nvSpPr>
      <xdr:spPr bwMode="auto">
        <a:xfrm>
          <a:off x="17983200" y="390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38</xdr:col>
      <xdr:colOff>0</xdr:colOff>
      <xdr:row>20</xdr:row>
      <xdr:rowOff>0</xdr:rowOff>
    </xdr:from>
    <xdr:ext cx="304800" cy="304800"/>
    <xdr:sp macro="" textlink="">
      <xdr:nvSpPr>
        <xdr:cNvPr id="2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C81D216-DA6E-4826-9D5B-FC464ED2A12D}"/>
            </a:ext>
          </a:extLst>
        </xdr:cNvPr>
        <xdr:cNvSpPr>
          <a:spLocks noChangeAspect="1" noChangeArrowheads="1"/>
        </xdr:cNvSpPr>
      </xdr:nvSpPr>
      <xdr:spPr bwMode="auto">
        <a:xfrm>
          <a:off x="17983200" y="390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38</xdr:col>
      <xdr:colOff>0</xdr:colOff>
      <xdr:row>20</xdr:row>
      <xdr:rowOff>0</xdr:rowOff>
    </xdr:from>
    <xdr:ext cx="304800" cy="304800"/>
    <xdr:sp macro="" textlink="">
      <xdr:nvSpPr>
        <xdr:cNvPr id="2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429B6A9-36C5-4219-A4E5-9957180E4FE7}"/>
            </a:ext>
          </a:extLst>
        </xdr:cNvPr>
        <xdr:cNvSpPr>
          <a:spLocks noChangeAspect="1" noChangeArrowheads="1"/>
        </xdr:cNvSpPr>
      </xdr:nvSpPr>
      <xdr:spPr bwMode="auto">
        <a:xfrm>
          <a:off x="17983200" y="390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38</xdr:col>
      <xdr:colOff>0</xdr:colOff>
      <xdr:row>20</xdr:row>
      <xdr:rowOff>0</xdr:rowOff>
    </xdr:from>
    <xdr:ext cx="304800" cy="304800"/>
    <xdr:sp macro="" textlink="">
      <xdr:nvSpPr>
        <xdr:cNvPr id="2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6FE7C33-DADA-4F41-BF97-2018BB057FC8}"/>
            </a:ext>
          </a:extLst>
        </xdr:cNvPr>
        <xdr:cNvSpPr>
          <a:spLocks noChangeAspect="1" noChangeArrowheads="1"/>
        </xdr:cNvSpPr>
      </xdr:nvSpPr>
      <xdr:spPr bwMode="auto">
        <a:xfrm>
          <a:off x="17983200" y="390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38</xdr:col>
      <xdr:colOff>0</xdr:colOff>
      <xdr:row>20</xdr:row>
      <xdr:rowOff>0</xdr:rowOff>
    </xdr:from>
    <xdr:ext cx="304800" cy="304800"/>
    <xdr:sp macro="" textlink="">
      <xdr:nvSpPr>
        <xdr:cNvPr id="2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83147C0-F847-464B-BD28-13E5042BE5AB}"/>
            </a:ext>
          </a:extLst>
        </xdr:cNvPr>
        <xdr:cNvSpPr>
          <a:spLocks noChangeAspect="1" noChangeArrowheads="1"/>
        </xdr:cNvSpPr>
      </xdr:nvSpPr>
      <xdr:spPr bwMode="auto">
        <a:xfrm>
          <a:off x="17983200" y="390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38</xdr:col>
      <xdr:colOff>0</xdr:colOff>
      <xdr:row>28</xdr:row>
      <xdr:rowOff>0</xdr:rowOff>
    </xdr:from>
    <xdr:ext cx="304800" cy="304800"/>
    <xdr:sp macro="" textlink="">
      <xdr:nvSpPr>
        <xdr:cNvPr id="3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CDBB385-B3F0-4598-8120-D624AB2ADD70}"/>
            </a:ext>
          </a:extLst>
        </xdr:cNvPr>
        <xdr:cNvSpPr>
          <a:spLocks noChangeAspect="1" noChangeArrowheads="1"/>
        </xdr:cNvSpPr>
      </xdr:nvSpPr>
      <xdr:spPr bwMode="auto">
        <a:xfrm>
          <a:off x="17983200" y="5429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38</xdr:col>
      <xdr:colOff>0</xdr:colOff>
      <xdr:row>28</xdr:row>
      <xdr:rowOff>0</xdr:rowOff>
    </xdr:from>
    <xdr:ext cx="304800" cy="304800"/>
    <xdr:sp macro="" textlink="">
      <xdr:nvSpPr>
        <xdr:cNvPr id="3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C77D7A8-85E0-4B93-9DBB-28E37C0CFC5B}"/>
            </a:ext>
          </a:extLst>
        </xdr:cNvPr>
        <xdr:cNvSpPr>
          <a:spLocks noChangeAspect="1" noChangeArrowheads="1"/>
        </xdr:cNvSpPr>
      </xdr:nvSpPr>
      <xdr:spPr bwMode="auto">
        <a:xfrm>
          <a:off x="17983200" y="5429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38</xdr:col>
      <xdr:colOff>0</xdr:colOff>
      <xdr:row>28</xdr:row>
      <xdr:rowOff>0</xdr:rowOff>
    </xdr:from>
    <xdr:ext cx="304800" cy="304800"/>
    <xdr:sp macro="" textlink="">
      <xdr:nvSpPr>
        <xdr:cNvPr id="3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BF4BC12-BD64-40D8-B98B-E3A56678AB78}"/>
            </a:ext>
          </a:extLst>
        </xdr:cNvPr>
        <xdr:cNvSpPr>
          <a:spLocks noChangeAspect="1" noChangeArrowheads="1"/>
        </xdr:cNvSpPr>
      </xdr:nvSpPr>
      <xdr:spPr bwMode="auto">
        <a:xfrm>
          <a:off x="17983200" y="5429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38</xdr:col>
      <xdr:colOff>0</xdr:colOff>
      <xdr:row>28</xdr:row>
      <xdr:rowOff>0</xdr:rowOff>
    </xdr:from>
    <xdr:ext cx="304800" cy="304800"/>
    <xdr:sp macro="" textlink="">
      <xdr:nvSpPr>
        <xdr:cNvPr id="3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98CD033-EDA2-4B87-9DB1-908411555AFD}"/>
            </a:ext>
          </a:extLst>
        </xdr:cNvPr>
        <xdr:cNvSpPr>
          <a:spLocks noChangeAspect="1" noChangeArrowheads="1"/>
        </xdr:cNvSpPr>
      </xdr:nvSpPr>
      <xdr:spPr bwMode="auto">
        <a:xfrm>
          <a:off x="17983200" y="5429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38</xdr:col>
      <xdr:colOff>0</xdr:colOff>
      <xdr:row>28</xdr:row>
      <xdr:rowOff>0</xdr:rowOff>
    </xdr:from>
    <xdr:ext cx="304800" cy="304800"/>
    <xdr:sp macro="" textlink="">
      <xdr:nvSpPr>
        <xdr:cNvPr id="3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42C2FB2-926E-4B87-8B9B-FB751E5F5110}"/>
            </a:ext>
          </a:extLst>
        </xdr:cNvPr>
        <xdr:cNvSpPr>
          <a:spLocks noChangeAspect="1" noChangeArrowheads="1"/>
        </xdr:cNvSpPr>
      </xdr:nvSpPr>
      <xdr:spPr bwMode="auto">
        <a:xfrm>
          <a:off x="17983200" y="5429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38</xdr:col>
      <xdr:colOff>0</xdr:colOff>
      <xdr:row>28</xdr:row>
      <xdr:rowOff>0</xdr:rowOff>
    </xdr:from>
    <xdr:ext cx="304800" cy="304800"/>
    <xdr:sp macro="" textlink="">
      <xdr:nvSpPr>
        <xdr:cNvPr id="3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9558461-6AFC-423C-8ACA-422C5A374CBE}"/>
            </a:ext>
          </a:extLst>
        </xdr:cNvPr>
        <xdr:cNvSpPr>
          <a:spLocks noChangeAspect="1" noChangeArrowheads="1"/>
        </xdr:cNvSpPr>
      </xdr:nvSpPr>
      <xdr:spPr bwMode="auto">
        <a:xfrm>
          <a:off x="17983200" y="5429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38</xdr:col>
      <xdr:colOff>0</xdr:colOff>
      <xdr:row>28</xdr:row>
      <xdr:rowOff>0</xdr:rowOff>
    </xdr:from>
    <xdr:ext cx="304800" cy="304800"/>
    <xdr:sp macro="" textlink="">
      <xdr:nvSpPr>
        <xdr:cNvPr id="3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BB1DE94-8926-4847-9E0C-343DF07B1766}"/>
            </a:ext>
          </a:extLst>
        </xdr:cNvPr>
        <xdr:cNvSpPr>
          <a:spLocks noChangeAspect="1" noChangeArrowheads="1"/>
        </xdr:cNvSpPr>
      </xdr:nvSpPr>
      <xdr:spPr bwMode="auto">
        <a:xfrm>
          <a:off x="17983200" y="5429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38</xdr:col>
      <xdr:colOff>0</xdr:colOff>
      <xdr:row>28</xdr:row>
      <xdr:rowOff>0</xdr:rowOff>
    </xdr:from>
    <xdr:ext cx="304800" cy="304800"/>
    <xdr:sp macro="" textlink="">
      <xdr:nvSpPr>
        <xdr:cNvPr id="3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2D7243A-0948-4BAC-93AD-4B9D678786B0}"/>
            </a:ext>
          </a:extLst>
        </xdr:cNvPr>
        <xdr:cNvSpPr>
          <a:spLocks noChangeAspect="1" noChangeArrowheads="1"/>
        </xdr:cNvSpPr>
      </xdr:nvSpPr>
      <xdr:spPr bwMode="auto">
        <a:xfrm>
          <a:off x="17983200" y="5429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38</xdr:col>
      <xdr:colOff>0</xdr:colOff>
      <xdr:row>28</xdr:row>
      <xdr:rowOff>0</xdr:rowOff>
    </xdr:from>
    <xdr:ext cx="304800" cy="304800"/>
    <xdr:sp macro="" textlink="">
      <xdr:nvSpPr>
        <xdr:cNvPr id="3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F116DCF-7C1D-4F06-BB4B-2E8A9C44D2C7}"/>
            </a:ext>
          </a:extLst>
        </xdr:cNvPr>
        <xdr:cNvSpPr>
          <a:spLocks noChangeAspect="1" noChangeArrowheads="1"/>
        </xdr:cNvSpPr>
      </xdr:nvSpPr>
      <xdr:spPr bwMode="auto">
        <a:xfrm>
          <a:off x="17983200" y="5429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38</xdr:col>
      <xdr:colOff>0</xdr:colOff>
      <xdr:row>28</xdr:row>
      <xdr:rowOff>0</xdr:rowOff>
    </xdr:from>
    <xdr:ext cx="304800" cy="304800"/>
    <xdr:sp macro="" textlink="">
      <xdr:nvSpPr>
        <xdr:cNvPr id="3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85DB0A6-64BA-4EFD-9539-0CF0F26E41E9}"/>
            </a:ext>
          </a:extLst>
        </xdr:cNvPr>
        <xdr:cNvSpPr>
          <a:spLocks noChangeAspect="1" noChangeArrowheads="1"/>
        </xdr:cNvSpPr>
      </xdr:nvSpPr>
      <xdr:spPr bwMode="auto">
        <a:xfrm>
          <a:off x="17983200" y="5429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38</xdr:col>
      <xdr:colOff>0</xdr:colOff>
      <xdr:row>28</xdr:row>
      <xdr:rowOff>0</xdr:rowOff>
    </xdr:from>
    <xdr:ext cx="304800" cy="304800"/>
    <xdr:sp macro="" textlink="">
      <xdr:nvSpPr>
        <xdr:cNvPr id="4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C239B06-56DD-4A2E-A7E0-50157B109351}"/>
            </a:ext>
          </a:extLst>
        </xdr:cNvPr>
        <xdr:cNvSpPr>
          <a:spLocks noChangeAspect="1" noChangeArrowheads="1"/>
        </xdr:cNvSpPr>
      </xdr:nvSpPr>
      <xdr:spPr bwMode="auto">
        <a:xfrm>
          <a:off x="17983200" y="5429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38</xdr:col>
      <xdr:colOff>0</xdr:colOff>
      <xdr:row>28</xdr:row>
      <xdr:rowOff>0</xdr:rowOff>
    </xdr:from>
    <xdr:ext cx="304800" cy="304800"/>
    <xdr:sp macro="" textlink="">
      <xdr:nvSpPr>
        <xdr:cNvPr id="4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BE87210-EC59-45F2-8724-D2E97FEC7FA6}"/>
            </a:ext>
          </a:extLst>
        </xdr:cNvPr>
        <xdr:cNvSpPr>
          <a:spLocks noChangeAspect="1" noChangeArrowheads="1"/>
        </xdr:cNvSpPr>
      </xdr:nvSpPr>
      <xdr:spPr bwMode="auto">
        <a:xfrm>
          <a:off x="17983200" y="5429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38</xdr:col>
      <xdr:colOff>0</xdr:colOff>
      <xdr:row>28</xdr:row>
      <xdr:rowOff>0</xdr:rowOff>
    </xdr:from>
    <xdr:ext cx="304800" cy="304800"/>
    <xdr:sp macro="" textlink="">
      <xdr:nvSpPr>
        <xdr:cNvPr id="4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4C4D23E-0C42-4013-877E-F06BBA233388}"/>
            </a:ext>
          </a:extLst>
        </xdr:cNvPr>
        <xdr:cNvSpPr>
          <a:spLocks noChangeAspect="1" noChangeArrowheads="1"/>
        </xdr:cNvSpPr>
      </xdr:nvSpPr>
      <xdr:spPr bwMode="auto">
        <a:xfrm>
          <a:off x="17983200" y="5429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38</xdr:col>
      <xdr:colOff>0</xdr:colOff>
      <xdr:row>28</xdr:row>
      <xdr:rowOff>0</xdr:rowOff>
    </xdr:from>
    <xdr:ext cx="304800" cy="304800"/>
    <xdr:sp macro="" textlink="">
      <xdr:nvSpPr>
        <xdr:cNvPr id="4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48001B2-9AB9-40AA-9A49-3825293787C2}"/>
            </a:ext>
          </a:extLst>
        </xdr:cNvPr>
        <xdr:cNvSpPr>
          <a:spLocks noChangeAspect="1" noChangeArrowheads="1"/>
        </xdr:cNvSpPr>
      </xdr:nvSpPr>
      <xdr:spPr bwMode="auto">
        <a:xfrm>
          <a:off x="17983200" y="5429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38</xdr:col>
      <xdr:colOff>0</xdr:colOff>
      <xdr:row>28</xdr:row>
      <xdr:rowOff>0</xdr:rowOff>
    </xdr:from>
    <xdr:ext cx="304800" cy="304800"/>
    <xdr:sp macro="" textlink="">
      <xdr:nvSpPr>
        <xdr:cNvPr id="4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A30E13A-38B0-432B-AFE9-57584E456AC5}"/>
            </a:ext>
          </a:extLst>
        </xdr:cNvPr>
        <xdr:cNvSpPr>
          <a:spLocks noChangeAspect="1" noChangeArrowheads="1"/>
        </xdr:cNvSpPr>
      </xdr:nvSpPr>
      <xdr:spPr bwMode="auto">
        <a:xfrm>
          <a:off x="17983200" y="5429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38</xdr:col>
      <xdr:colOff>0</xdr:colOff>
      <xdr:row>28</xdr:row>
      <xdr:rowOff>0</xdr:rowOff>
    </xdr:from>
    <xdr:ext cx="304800" cy="304800"/>
    <xdr:sp macro="" textlink="">
      <xdr:nvSpPr>
        <xdr:cNvPr id="4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2C08871-4603-4AF0-B8F3-A67F3A7D99D3}"/>
            </a:ext>
          </a:extLst>
        </xdr:cNvPr>
        <xdr:cNvSpPr>
          <a:spLocks noChangeAspect="1" noChangeArrowheads="1"/>
        </xdr:cNvSpPr>
      </xdr:nvSpPr>
      <xdr:spPr bwMode="auto">
        <a:xfrm>
          <a:off x="17983200" y="5429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38</xdr:col>
      <xdr:colOff>0</xdr:colOff>
      <xdr:row>28</xdr:row>
      <xdr:rowOff>0</xdr:rowOff>
    </xdr:from>
    <xdr:ext cx="304800" cy="304800"/>
    <xdr:sp macro="" textlink="">
      <xdr:nvSpPr>
        <xdr:cNvPr id="4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F6AEA5A-84A8-4DCA-8A33-DB5D5470B238}"/>
            </a:ext>
          </a:extLst>
        </xdr:cNvPr>
        <xdr:cNvSpPr>
          <a:spLocks noChangeAspect="1" noChangeArrowheads="1"/>
        </xdr:cNvSpPr>
      </xdr:nvSpPr>
      <xdr:spPr bwMode="auto">
        <a:xfrm>
          <a:off x="17983200" y="5429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38</xdr:col>
      <xdr:colOff>0</xdr:colOff>
      <xdr:row>28</xdr:row>
      <xdr:rowOff>0</xdr:rowOff>
    </xdr:from>
    <xdr:ext cx="304800" cy="304800"/>
    <xdr:sp macro="" textlink="">
      <xdr:nvSpPr>
        <xdr:cNvPr id="4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52A7298-4479-460D-9D73-0A418AB57B7B}"/>
            </a:ext>
          </a:extLst>
        </xdr:cNvPr>
        <xdr:cNvSpPr>
          <a:spLocks noChangeAspect="1" noChangeArrowheads="1"/>
        </xdr:cNvSpPr>
      </xdr:nvSpPr>
      <xdr:spPr bwMode="auto">
        <a:xfrm>
          <a:off x="17983200" y="5429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38</xdr:col>
      <xdr:colOff>0</xdr:colOff>
      <xdr:row>28</xdr:row>
      <xdr:rowOff>0</xdr:rowOff>
    </xdr:from>
    <xdr:ext cx="304800" cy="304800"/>
    <xdr:sp macro="" textlink="">
      <xdr:nvSpPr>
        <xdr:cNvPr id="4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D71A281-646E-481A-ACE3-CD93C561AA8F}"/>
            </a:ext>
          </a:extLst>
        </xdr:cNvPr>
        <xdr:cNvSpPr>
          <a:spLocks noChangeAspect="1" noChangeArrowheads="1"/>
        </xdr:cNvSpPr>
      </xdr:nvSpPr>
      <xdr:spPr bwMode="auto">
        <a:xfrm>
          <a:off x="17983200" y="5429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38</xdr:col>
      <xdr:colOff>0</xdr:colOff>
      <xdr:row>28</xdr:row>
      <xdr:rowOff>0</xdr:rowOff>
    </xdr:from>
    <xdr:ext cx="304800" cy="304800"/>
    <xdr:sp macro="" textlink="">
      <xdr:nvSpPr>
        <xdr:cNvPr id="4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22CA7C5-A70F-4CA0-9EF3-3DD733C74295}"/>
            </a:ext>
          </a:extLst>
        </xdr:cNvPr>
        <xdr:cNvSpPr>
          <a:spLocks noChangeAspect="1" noChangeArrowheads="1"/>
        </xdr:cNvSpPr>
      </xdr:nvSpPr>
      <xdr:spPr bwMode="auto">
        <a:xfrm>
          <a:off x="17983200" y="5429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38</xdr:col>
      <xdr:colOff>0</xdr:colOff>
      <xdr:row>28</xdr:row>
      <xdr:rowOff>0</xdr:rowOff>
    </xdr:from>
    <xdr:ext cx="304800" cy="304800"/>
    <xdr:sp macro="" textlink="">
      <xdr:nvSpPr>
        <xdr:cNvPr id="5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7001AB9-9E13-4A48-9572-1164CE2DB992}"/>
            </a:ext>
          </a:extLst>
        </xdr:cNvPr>
        <xdr:cNvSpPr>
          <a:spLocks noChangeAspect="1" noChangeArrowheads="1"/>
        </xdr:cNvSpPr>
      </xdr:nvSpPr>
      <xdr:spPr bwMode="auto">
        <a:xfrm>
          <a:off x="17983200" y="5429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38</xdr:col>
      <xdr:colOff>0</xdr:colOff>
      <xdr:row>28</xdr:row>
      <xdr:rowOff>0</xdr:rowOff>
    </xdr:from>
    <xdr:ext cx="304800" cy="304800"/>
    <xdr:sp macro="" textlink="">
      <xdr:nvSpPr>
        <xdr:cNvPr id="5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264010D-1DC0-4106-B25B-51940A94BAF6}"/>
            </a:ext>
          </a:extLst>
        </xdr:cNvPr>
        <xdr:cNvSpPr>
          <a:spLocks noChangeAspect="1" noChangeArrowheads="1"/>
        </xdr:cNvSpPr>
      </xdr:nvSpPr>
      <xdr:spPr bwMode="auto">
        <a:xfrm>
          <a:off x="17983200" y="5429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38</xdr:col>
      <xdr:colOff>0</xdr:colOff>
      <xdr:row>28</xdr:row>
      <xdr:rowOff>0</xdr:rowOff>
    </xdr:from>
    <xdr:ext cx="304800" cy="304800"/>
    <xdr:sp macro="" textlink="">
      <xdr:nvSpPr>
        <xdr:cNvPr id="5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1B513C3-C7D1-4D09-BBB7-97F824C7D834}"/>
            </a:ext>
          </a:extLst>
        </xdr:cNvPr>
        <xdr:cNvSpPr>
          <a:spLocks noChangeAspect="1" noChangeArrowheads="1"/>
        </xdr:cNvSpPr>
      </xdr:nvSpPr>
      <xdr:spPr bwMode="auto">
        <a:xfrm>
          <a:off x="17983200" y="5429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38</xdr:col>
      <xdr:colOff>0</xdr:colOff>
      <xdr:row>28</xdr:row>
      <xdr:rowOff>0</xdr:rowOff>
    </xdr:from>
    <xdr:ext cx="304800" cy="304800"/>
    <xdr:sp macro="" textlink="">
      <xdr:nvSpPr>
        <xdr:cNvPr id="5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84DD9C7-40D1-4F64-A0CA-0F978110C026}"/>
            </a:ext>
          </a:extLst>
        </xdr:cNvPr>
        <xdr:cNvSpPr>
          <a:spLocks noChangeAspect="1" noChangeArrowheads="1"/>
        </xdr:cNvSpPr>
      </xdr:nvSpPr>
      <xdr:spPr bwMode="auto">
        <a:xfrm>
          <a:off x="17983200" y="5429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38</xdr:col>
      <xdr:colOff>0</xdr:colOff>
      <xdr:row>28</xdr:row>
      <xdr:rowOff>0</xdr:rowOff>
    </xdr:from>
    <xdr:ext cx="304800" cy="304800"/>
    <xdr:sp macro="" textlink="">
      <xdr:nvSpPr>
        <xdr:cNvPr id="5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A206D1D-E024-4F6B-850F-88B74CFE019C}"/>
            </a:ext>
          </a:extLst>
        </xdr:cNvPr>
        <xdr:cNvSpPr>
          <a:spLocks noChangeAspect="1" noChangeArrowheads="1"/>
        </xdr:cNvSpPr>
      </xdr:nvSpPr>
      <xdr:spPr bwMode="auto">
        <a:xfrm>
          <a:off x="17983200" y="5429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38</xdr:col>
      <xdr:colOff>0</xdr:colOff>
      <xdr:row>28</xdr:row>
      <xdr:rowOff>0</xdr:rowOff>
    </xdr:from>
    <xdr:ext cx="304800" cy="304800"/>
    <xdr:sp macro="" textlink="">
      <xdr:nvSpPr>
        <xdr:cNvPr id="5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75D37DE-CBD8-480A-A27E-A1046D24A652}"/>
            </a:ext>
          </a:extLst>
        </xdr:cNvPr>
        <xdr:cNvSpPr>
          <a:spLocks noChangeAspect="1" noChangeArrowheads="1"/>
        </xdr:cNvSpPr>
      </xdr:nvSpPr>
      <xdr:spPr bwMode="auto">
        <a:xfrm>
          <a:off x="17983200" y="5429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38</xdr:col>
      <xdr:colOff>0</xdr:colOff>
      <xdr:row>28</xdr:row>
      <xdr:rowOff>0</xdr:rowOff>
    </xdr:from>
    <xdr:ext cx="304800" cy="304800"/>
    <xdr:sp macro="" textlink="">
      <xdr:nvSpPr>
        <xdr:cNvPr id="5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4007996-DE21-4DE4-9124-6A731EE785E2}"/>
            </a:ext>
          </a:extLst>
        </xdr:cNvPr>
        <xdr:cNvSpPr>
          <a:spLocks noChangeAspect="1" noChangeArrowheads="1"/>
        </xdr:cNvSpPr>
      </xdr:nvSpPr>
      <xdr:spPr bwMode="auto">
        <a:xfrm>
          <a:off x="17983200" y="5429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38</xdr:col>
      <xdr:colOff>0</xdr:colOff>
      <xdr:row>28</xdr:row>
      <xdr:rowOff>0</xdr:rowOff>
    </xdr:from>
    <xdr:ext cx="304800" cy="304800"/>
    <xdr:sp macro="" textlink="">
      <xdr:nvSpPr>
        <xdr:cNvPr id="5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23C3025-0E17-4530-ABDD-39314F960D4C}"/>
            </a:ext>
          </a:extLst>
        </xdr:cNvPr>
        <xdr:cNvSpPr>
          <a:spLocks noChangeAspect="1" noChangeArrowheads="1"/>
        </xdr:cNvSpPr>
      </xdr:nvSpPr>
      <xdr:spPr bwMode="auto">
        <a:xfrm>
          <a:off x="17983200" y="5429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38</xdr:col>
      <xdr:colOff>0</xdr:colOff>
      <xdr:row>5</xdr:row>
      <xdr:rowOff>0</xdr:rowOff>
    </xdr:from>
    <xdr:ext cx="304800" cy="304800"/>
    <xdr:sp macro="" textlink="">
      <xdr:nvSpPr>
        <xdr:cNvPr id="5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D79C6D1-7DD6-41E2-9A01-3023B84F1816}"/>
            </a:ext>
          </a:extLst>
        </xdr:cNvPr>
        <xdr:cNvSpPr>
          <a:spLocks noChangeAspect="1" noChangeArrowheads="1"/>
        </xdr:cNvSpPr>
      </xdr:nvSpPr>
      <xdr:spPr bwMode="auto">
        <a:xfrm>
          <a:off x="17983200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38</xdr:col>
      <xdr:colOff>0</xdr:colOff>
      <xdr:row>5</xdr:row>
      <xdr:rowOff>0</xdr:rowOff>
    </xdr:from>
    <xdr:ext cx="304800" cy="304800"/>
    <xdr:sp macro="" textlink="">
      <xdr:nvSpPr>
        <xdr:cNvPr id="5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F9715BA-8E06-4FFC-8A6A-3CDAFB4385C5}"/>
            </a:ext>
          </a:extLst>
        </xdr:cNvPr>
        <xdr:cNvSpPr>
          <a:spLocks noChangeAspect="1" noChangeArrowheads="1"/>
        </xdr:cNvSpPr>
      </xdr:nvSpPr>
      <xdr:spPr bwMode="auto">
        <a:xfrm>
          <a:off x="17983200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38</xdr:col>
      <xdr:colOff>0</xdr:colOff>
      <xdr:row>5</xdr:row>
      <xdr:rowOff>0</xdr:rowOff>
    </xdr:from>
    <xdr:ext cx="304800" cy="304800"/>
    <xdr:sp macro="" textlink="">
      <xdr:nvSpPr>
        <xdr:cNvPr id="6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82F0C44-EF12-4237-8B10-474C1A52BFF0}"/>
            </a:ext>
          </a:extLst>
        </xdr:cNvPr>
        <xdr:cNvSpPr>
          <a:spLocks noChangeAspect="1" noChangeArrowheads="1"/>
        </xdr:cNvSpPr>
      </xdr:nvSpPr>
      <xdr:spPr bwMode="auto">
        <a:xfrm>
          <a:off x="17983200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38</xdr:col>
      <xdr:colOff>0</xdr:colOff>
      <xdr:row>5</xdr:row>
      <xdr:rowOff>0</xdr:rowOff>
    </xdr:from>
    <xdr:ext cx="304800" cy="304800"/>
    <xdr:sp macro="" textlink="">
      <xdr:nvSpPr>
        <xdr:cNvPr id="6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13C63B6-B580-4019-BAB7-887F1CEA260A}"/>
            </a:ext>
          </a:extLst>
        </xdr:cNvPr>
        <xdr:cNvSpPr>
          <a:spLocks noChangeAspect="1" noChangeArrowheads="1"/>
        </xdr:cNvSpPr>
      </xdr:nvSpPr>
      <xdr:spPr bwMode="auto">
        <a:xfrm>
          <a:off x="17983200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38</xdr:col>
      <xdr:colOff>0</xdr:colOff>
      <xdr:row>5</xdr:row>
      <xdr:rowOff>0</xdr:rowOff>
    </xdr:from>
    <xdr:ext cx="304800" cy="304800"/>
    <xdr:sp macro="" textlink="">
      <xdr:nvSpPr>
        <xdr:cNvPr id="6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AAA9044-A96A-4BF4-9CD9-437C6F1E18C7}"/>
            </a:ext>
          </a:extLst>
        </xdr:cNvPr>
        <xdr:cNvSpPr>
          <a:spLocks noChangeAspect="1" noChangeArrowheads="1"/>
        </xdr:cNvSpPr>
      </xdr:nvSpPr>
      <xdr:spPr bwMode="auto">
        <a:xfrm>
          <a:off x="17983200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38</xdr:col>
      <xdr:colOff>0</xdr:colOff>
      <xdr:row>5</xdr:row>
      <xdr:rowOff>0</xdr:rowOff>
    </xdr:from>
    <xdr:ext cx="304800" cy="304800"/>
    <xdr:sp macro="" textlink="">
      <xdr:nvSpPr>
        <xdr:cNvPr id="6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084779E-61CB-4202-AF20-2E7A6C777424}"/>
            </a:ext>
          </a:extLst>
        </xdr:cNvPr>
        <xdr:cNvSpPr>
          <a:spLocks noChangeAspect="1" noChangeArrowheads="1"/>
        </xdr:cNvSpPr>
      </xdr:nvSpPr>
      <xdr:spPr bwMode="auto">
        <a:xfrm>
          <a:off x="17983200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38</xdr:col>
      <xdr:colOff>0</xdr:colOff>
      <xdr:row>5</xdr:row>
      <xdr:rowOff>0</xdr:rowOff>
    </xdr:from>
    <xdr:ext cx="304800" cy="304800"/>
    <xdr:sp macro="" textlink="">
      <xdr:nvSpPr>
        <xdr:cNvPr id="6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B3ADB00-C164-459D-8210-F0693B1C5C79}"/>
            </a:ext>
          </a:extLst>
        </xdr:cNvPr>
        <xdr:cNvSpPr>
          <a:spLocks noChangeAspect="1" noChangeArrowheads="1"/>
        </xdr:cNvSpPr>
      </xdr:nvSpPr>
      <xdr:spPr bwMode="auto">
        <a:xfrm>
          <a:off x="17983200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38</xdr:col>
      <xdr:colOff>0</xdr:colOff>
      <xdr:row>5</xdr:row>
      <xdr:rowOff>0</xdr:rowOff>
    </xdr:from>
    <xdr:ext cx="304800" cy="304800"/>
    <xdr:sp macro="" textlink="">
      <xdr:nvSpPr>
        <xdr:cNvPr id="6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49D27B1-FDFF-4CFF-A2D3-5C88EF9212C3}"/>
            </a:ext>
          </a:extLst>
        </xdr:cNvPr>
        <xdr:cNvSpPr>
          <a:spLocks noChangeAspect="1" noChangeArrowheads="1"/>
        </xdr:cNvSpPr>
      </xdr:nvSpPr>
      <xdr:spPr bwMode="auto">
        <a:xfrm>
          <a:off x="17983200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35</xdr:col>
      <xdr:colOff>0</xdr:colOff>
      <xdr:row>5</xdr:row>
      <xdr:rowOff>0</xdr:rowOff>
    </xdr:from>
    <xdr:ext cx="714375" cy="304800"/>
    <xdr:sp macro="" textlink="">
      <xdr:nvSpPr>
        <xdr:cNvPr id="6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EAE265F-3A06-4601-B609-F7A3E278B99F}"/>
            </a:ext>
          </a:extLst>
        </xdr:cNvPr>
        <xdr:cNvSpPr>
          <a:spLocks noChangeAspect="1" noChangeArrowheads="1"/>
        </xdr:cNvSpPr>
      </xdr:nvSpPr>
      <xdr:spPr bwMode="auto">
        <a:xfrm>
          <a:off x="16335375" y="952500"/>
          <a:ext cx="714375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35</xdr:col>
      <xdr:colOff>0</xdr:colOff>
      <xdr:row>5</xdr:row>
      <xdr:rowOff>0</xdr:rowOff>
    </xdr:from>
    <xdr:ext cx="304800" cy="304800"/>
    <xdr:sp macro="" textlink="">
      <xdr:nvSpPr>
        <xdr:cNvPr id="6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2CF4B1C-3686-474E-A8E8-3A600C12D5F9}"/>
            </a:ext>
          </a:extLst>
        </xdr:cNvPr>
        <xdr:cNvSpPr>
          <a:spLocks noChangeAspect="1" noChangeArrowheads="1"/>
        </xdr:cNvSpPr>
      </xdr:nvSpPr>
      <xdr:spPr bwMode="auto">
        <a:xfrm>
          <a:off x="16335375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35</xdr:col>
      <xdr:colOff>0</xdr:colOff>
      <xdr:row>5</xdr:row>
      <xdr:rowOff>0</xdr:rowOff>
    </xdr:from>
    <xdr:ext cx="304800" cy="304800"/>
    <xdr:sp macro="" textlink="">
      <xdr:nvSpPr>
        <xdr:cNvPr id="6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E065636-E45D-4CDA-A6B8-60CD866002D6}"/>
            </a:ext>
          </a:extLst>
        </xdr:cNvPr>
        <xdr:cNvSpPr>
          <a:spLocks noChangeAspect="1" noChangeArrowheads="1"/>
        </xdr:cNvSpPr>
      </xdr:nvSpPr>
      <xdr:spPr bwMode="auto">
        <a:xfrm>
          <a:off x="16335375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35</xdr:col>
      <xdr:colOff>0</xdr:colOff>
      <xdr:row>5</xdr:row>
      <xdr:rowOff>0</xdr:rowOff>
    </xdr:from>
    <xdr:ext cx="304800" cy="304800"/>
    <xdr:sp macro="" textlink="">
      <xdr:nvSpPr>
        <xdr:cNvPr id="6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A81E5A7-30C1-47F2-8988-D9CD70423B53}"/>
            </a:ext>
          </a:extLst>
        </xdr:cNvPr>
        <xdr:cNvSpPr>
          <a:spLocks noChangeAspect="1" noChangeArrowheads="1"/>
        </xdr:cNvSpPr>
      </xdr:nvSpPr>
      <xdr:spPr bwMode="auto">
        <a:xfrm>
          <a:off x="16335375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35</xdr:col>
      <xdr:colOff>0</xdr:colOff>
      <xdr:row>5</xdr:row>
      <xdr:rowOff>0</xdr:rowOff>
    </xdr:from>
    <xdr:ext cx="304800" cy="304800"/>
    <xdr:sp macro="" textlink="">
      <xdr:nvSpPr>
        <xdr:cNvPr id="7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151056E-ADE4-4E66-8811-0B43A1B7D966}"/>
            </a:ext>
          </a:extLst>
        </xdr:cNvPr>
        <xdr:cNvSpPr>
          <a:spLocks noChangeAspect="1" noChangeArrowheads="1"/>
        </xdr:cNvSpPr>
      </xdr:nvSpPr>
      <xdr:spPr bwMode="auto">
        <a:xfrm>
          <a:off x="16335375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35</xdr:col>
      <xdr:colOff>0</xdr:colOff>
      <xdr:row>5</xdr:row>
      <xdr:rowOff>0</xdr:rowOff>
    </xdr:from>
    <xdr:ext cx="304800" cy="304800"/>
    <xdr:sp macro="" textlink="">
      <xdr:nvSpPr>
        <xdr:cNvPr id="7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B0CD128-61AD-46B9-AEA9-D70EBD191E8B}"/>
            </a:ext>
          </a:extLst>
        </xdr:cNvPr>
        <xdr:cNvSpPr>
          <a:spLocks noChangeAspect="1" noChangeArrowheads="1"/>
        </xdr:cNvSpPr>
      </xdr:nvSpPr>
      <xdr:spPr bwMode="auto">
        <a:xfrm>
          <a:off x="16335375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35</xdr:col>
      <xdr:colOff>0</xdr:colOff>
      <xdr:row>5</xdr:row>
      <xdr:rowOff>0</xdr:rowOff>
    </xdr:from>
    <xdr:ext cx="714375" cy="304800"/>
    <xdr:sp macro="" textlink="">
      <xdr:nvSpPr>
        <xdr:cNvPr id="7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922691B-763E-4FC7-A396-89705AA811F4}"/>
            </a:ext>
          </a:extLst>
        </xdr:cNvPr>
        <xdr:cNvSpPr>
          <a:spLocks noChangeAspect="1" noChangeArrowheads="1"/>
        </xdr:cNvSpPr>
      </xdr:nvSpPr>
      <xdr:spPr bwMode="auto">
        <a:xfrm>
          <a:off x="16335375" y="952500"/>
          <a:ext cx="714375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35</xdr:col>
      <xdr:colOff>0</xdr:colOff>
      <xdr:row>5</xdr:row>
      <xdr:rowOff>0</xdr:rowOff>
    </xdr:from>
    <xdr:ext cx="304800" cy="304800"/>
    <xdr:sp macro="" textlink="">
      <xdr:nvSpPr>
        <xdr:cNvPr id="7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E009E11-3C52-4752-A75A-C452CB2C6B61}"/>
            </a:ext>
          </a:extLst>
        </xdr:cNvPr>
        <xdr:cNvSpPr>
          <a:spLocks noChangeAspect="1" noChangeArrowheads="1"/>
        </xdr:cNvSpPr>
      </xdr:nvSpPr>
      <xdr:spPr bwMode="auto">
        <a:xfrm>
          <a:off x="16335375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35</xdr:col>
      <xdr:colOff>0</xdr:colOff>
      <xdr:row>5</xdr:row>
      <xdr:rowOff>0</xdr:rowOff>
    </xdr:from>
    <xdr:ext cx="304800" cy="304800"/>
    <xdr:sp macro="" textlink="">
      <xdr:nvSpPr>
        <xdr:cNvPr id="7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13E01F9-70E7-4F38-A897-5B0A65797EBC}"/>
            </a:ext>
          </a:extLst>
        </xdr:cNvPr>
        <xdr:cNvSpPr>
          <a:spLocks noChangeAspect="1" noChangeArrowheads="1"/>
        </xdr:cNvSpPr>
      </xdr:nvSpPr>
      <xdr:spPr bwMode="auto">
        <a:xfrm>
          <a:off x="16335375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35</xdr:col>
      <xdr:colOff>0</xdr:colOff>
      <xdr:row>5</xdr:row>
      <xdr:rowOff>0</xdr:rowOff>
    </xdr:from>
    <xdr:ext cx="304800" cy="304800"/>
    <xdr:sp macro="" textlink="">
      <xdr:nvSpPr>
        <xdr:cNvPr id="7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0A85106-F846-41E6-AAB3-5DD4390C3ED5}"/>
            </a:ext>
          </a:extLst>
        </xdr:cNvPr>
        <xdr:cNvSpPr>
          <a:spLocks noChangeAspect="1" noChangeArrowheads="1"/>
        </xdr:cNvSpPr>
      </xdr:nvSpPr>
      <xdr:spPr bwMode="auto">
        <a:xfrm>
          <a:off x="16335375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35</xdr:col>
      <xdr:colOff>0</xdr:colOff>
      <xdr:row>5</xdr:row>
      <xdr:rowOff>0</xdr:rowOff>
    </xdr:from>
    <xdr:ext cx="304800" cy="304800"/>
    <xdr:sp macro="" textlink="">
      <xdr:nvSpPr>
        <xdr:cNvPr id="7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BD8E4DF-752C-46FD-94F9-37C3F899086F}"/>
            </a:ext>
          </a:extLst>
        </xdr:cNvPr>
        <xdr:cNvSpPr>
          <a:spLocks noChangeAspect="1" noChangeArrowheads="1"/>
        </xdr:cNvSpPr>
      </xdr:nvSpPr>
      <xdr:spPr bwMode="auto">
        <a:xfrm>
          <a:off x="16335375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35</xdr:col>
      <xdr:colOff>0</xdr:colOff>
      <xdr:row>5</xdr:row>
      <xdr:rowOff>0</xdr:rowOff>
    </xdr:from>
    <xdr:ext cx="304800" cy="304800"/>
    <xdr:sp macro="" textlink="">
      <xdr:nvSpPr>
        <xdr:cNvPr id="7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B729E39-97D6-4B65-B1DD-609689BD8008}"/>
            </a:ext>
          </a:extLst>
        </xdr:cNvPr>
        <xdr:cNvSpPr>
          <a:spLocks noChangeAspect="1" noChangeArrowheads="1"/>
        </xdr:cNvSpPr>
      </xdr:nvSpPr>
      <xdr:spPr bwMode="auto">
        <a:xfrm>
          <a:off x="16335375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35</xdr:col>
      <xdr:colOff>0</xdr:colOff>
      <xdr:row>5</xdr:row>
      <xdr:rowOff>0</xdr:rowOff>
    </xdr:from>
    <xdr:ext cx="304800" cy="304800"/>
    <xdr:sp macro="" textlink="">
      <xdr:nvSpPr>
        <xdr:cNvPr id="7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546B00D-5C2A-40FD-BE59-47299C323157}"/>
            </a:ext>
          </a:extLst>
        </xdr:cNvPr>
        <xdr:cNvSpPr>
          <a:spLocks noChangeAspect="1" noChangeArrowheads="1"/>
        </xdr:cNvSpPr>
      </xdr:nvSpPr>
      <xdr:spPr bwMode="auto">
        <a:xfrm>
          <a:off x="16335375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35</xdr:col>
      <xdr:colOff>0</xdr:colOff>
      <xdr:row>5</xdr:row>
      <xdr:rowOff>0</xdr:rowOff>
    </xdr:from>
    <xdr:ext cx="304800" cy="304800"/>
    <xdr:sp macro="" textlink="">
      <xdr:nvSpPr>
        <xdr:cNvPr id="7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6D7AA4E-FBA2-4D3A-A41D-D36A2F4016E9}"/>
            </a:ext>
          </a:extLst>
        </xdr:cNvPr>
        <xdr:cNvSpPr>
          <a:spLocks noChangeAspect="1" noChangeArrowheads="1"/>
        </xdr:cNvSpPr>
      </xdr:nvSpPr>
      <xdr:spPr bwMode="auto">
        <a:xfrm>
          <a:off x="16335375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35</xdr:col>
      <xdr:colOff>0</xdr:colOff>
      <xdr:row>5</xdr:row>
      <xdr:rowOff>0</xdr:rowOff>
    </xdr:from>
    <xdr:ext cx="304800" cy="304800"/>
    <xdr:sp macro="" textlink="">
      <xdr:nvSpPr>
        <xdr:cNvPr id="8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7423E92-8E6F-4CD9-A131-462BCF2C1AB2}"/>
            </a:ext>
          </a:extLst>
        </xdr:cNvPr>
        <xdr:cNvSpPr>
          <a:spLocks noChangeAspect="1" noChangeArrowheads="1"/>
        </xdr:cNvSpPr>
      </xdr:nvSpPr>
      <xdr:spPr bwMode="auto">
        <a:xfrm>
          <a:off x="16335375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35</xdr:col>
      <xdr:colOff>0</xdr:colOff>
      <xdr:row>5</xdr:row>
      <xdr:rowOff>0</xdr:rowOff>
    </xdr:from>
    <xdr:ext cx="304800" cy="304800"/>
    <xdr:sp macro="" textlink="">
      <xdr:nvSpPr>
        <xdr:cNvPr id="8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9A3F3DA-B803-4DA1-B1CA-9DED5D739B7A}"/>
            </a:ext>
          </a:extLst>
        </xdr:cNvPr>
        <xdr:cNvSpPr>
          <a:spLocks noChangeAspect="1" noChangeArrowheads="1"/>
        </xdr:cNvSpPr>
      </xdr:nvSpPr>
      <xdr:spPr bwMode="auto">
        <a:xfrm>
          <a:off x="16335375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35</xdr:col>
      <xdr:colOff>0</xdr:colOff>
      <xdr:row>5</xdr:row>
      <xdr:rowOff>0</xdr:rowOff>
    </xdr:from>
    <xdr:ext cx="304800" cy="304800"/>
    <xdr:sp macro="" textlink="">
      <xdr:nvSpPr>
        <xdr:cNvPr id="8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9282533-882E-4BE3-A454-D57433A6B53B}"/>
            </a:ext>
          </a:extLst>
        </xdr:cNvPr>
        <xdr:cNvSpPr>
          <a:spLocks noChangeAspect="1" noChangeArrowheads="1"/>
        </xdr:cNvSpPr>
      </xdr:nvSpPr>
      <xdr:spPr bwMode="auto">
        <a:xfrm>
          <a:off x="16335375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35</xdr:col>
      <xdr:colOff>0</xdr:colOff>
      <xdr:row>5</xdr:row>
      <xdr:rowOff>0</xdr:rowOff>
    </xdr:from>
    <xdr:ext cx="304800" cy="304800"/>
    <xdr:sp macro="" textlink="">
      <xdr:nvSpPr>
        <xdr:cNvPr id="8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16C1E9A-A4B6-46DA-A881-904F6E671AD3}"/>
            </a:ext>
          </a:extLst>
        </xdr:cNvPr>
        <xdr:cNvSpPr>
          <a:spLocks noChangeAspect="1" noChangeArrowheads="1"/>
        </xdr:cNvSpPr>
      </xdr:nvSpPr>
      <xdr:spPr bwMode="auto">
        <a:xfrm>
          <a:off x="16335375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35</xdr:col>
      <xdr:colOff>0</xdr:colOff>
      <xdr:row>5</xdr:row>
      <xdr:rowOff>0</xdr:rowOff>
    </xdr:from>
    <xdr:ext cx="304800" cy="304800"/>
    <xdr:sp macro="" textlink="">
      <xdr:nvSpPr>
        <xdr:cNvPr id="8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F6F9642-CE13-44FB-AA97-EB2BDE7E98E7}"/>
            </a:ext>
          </a:extLst>
        </xdr:cNvPr>
        <xdr:cNvSpPr>
          <a:spLocks noChangeAspect="1" noChangeArrowheads="1"/>
        </xdr:cNvSpPr>
      </xdr:nvSpPr>
      <xdr:spPr bwMode="auto">
        <a:xfrm>
          <a:off x="16335375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35</xdr:col>
      <xdr:colOff>0</xdr:colOff>
      <xdr:row>5</xdr:row>
      <xdr:rowOff>0</xdr:rowOff>
    </xdr:from>
    <xdr:ext cx="304800" cy="304800"/>
    <xdr:sp macro="" textlink="">
      <xdr:nvSpPr>
        <xdr:cNvPr id="8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B82EE0C-F4E8-4663-A653-7B2E3E801778}"/>
            </a:ext>
          </a:extLst>
        </xdr:cNvPr>
        <xdr:cNvSpPr>
          <a:spLocks noChangeAspect="1" noChangeArrowheads="1"/>
        </xdr:cNvSpPr>
      </xdr:nvSpPr>
      <xdr:spPr bwMode="auto">
        <a:xfrm>
          <a:off x="16335375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35</xdr:col>
      <xdr:colOff>0</xdr:colOff>
      <xdr:row>5</xdr:row>
      <xdr:rowOff>0</xdr:rowOff>
    </xdr:from>
    <xdr:ext cx="304800" cy="304800"/>
    <xdr:sp macro="" textlink="">
      <xdr:nvSpPr>
        <xdr:cNvPr id="8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27B9441-8FDA-49D0-B614-BB44E5C36929}"/>
            </a:ext>
          </a:extLst>
        </xdr:cNvPr>
        <xdr:cNvSpPr>
          <a:spLocks noChangeAspect="1" noChangeArrowheads="1"/>
        </xdr:cNvSpPr>
      </xdr:nvSpPr>
      <xdr:spPr bwMode="auto">
        <a:xfrm>
          <a:off x="16335375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35</xdr:col>
      <xdr:colOff>0</xdr:colOff>
      <xdr:row>5</xdr:row>
      <xdr:rowOff>0</xdr:rowOff>
    </xdr:from>
    <xdr:ext cx="304800" cy="304800"/>
    <xdr:sp macro="" textlink="">
      <xdr:nvSpPr>
        <xdr:cNvPr id="8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E5FCF0E-D30F-4608-91C0-9AA5B9878B38}"/>
            </a:ext>
          </a:extLst>
        </xdr:cNvPr>
        <xdr:cNvSpPr>
          <a:spLocks noChangeAspect="1" noChangeArrowheads="1"/>
        </xdr:cNvSpPr>
      </xdr:nvSpPr>
      <xdr:spPr bwMode="auto">
        <a:xfrm>
          <a:off x="16335375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35</xdr:col>
      <xdr:colOff>0</xdr:colOff>
      <xdr:row>5</xdr:row>
      <xdr:rowOff>0</xdr:rowOff>
    </xdr:from>
    <xdr:ext cx="304800" cy="304800"/>
    <xdr:sp macro="" textlink="">
      <xdr:nvSpPr>
        <xdr:cNvPr id="8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84E59DD-97C4-4474-861D-FBBB346DC12A}"/>
            </a:ext>
          </a:extLst>
        </xdr:cNvPr>
        <xdr:cNvSpPr>
          <a:spLocks noChangeAspect="1" noChangeArrowheads="1"/>
        </xdr:cNvSpPr>
      </xdr:nvSpPr>
      <xdr:spPr bwMode="auto">
        <a:xfrm>
          <a:off x="16335375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35</xdr:col>
      <xdr:colOff>0</xdr:colOff>
      <xdr:row>5</xdr:row>
      <xdr:rowOff>0</xdr:rowOff>
    </xdr:from>
    <xdr:ext cx="304800" cy="304800"/>
    <xdr:sp macro="" textlink="">
      <xdr:nvSpPr>
        <xdr:cNvPr id="8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8BC9339-17B4-4A5B-89A0-F1F43F3CDB54}"/>
            </a:ext>
          </a:extLst>
        </xdr:cNvPr>
        <xdr:cNvSpPr>
          <a:spLocks noChangeAspect="1" noChangeArrowheads="1"/>
        </xdr:cNvSpPr>
      </xdr:nvSpPr>
      <xdr:spPr bwMode="auto">
        <a:xfrm>
          <a:off x="16335375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35</xdr:col>
      <xdr:colOff>0</xdr:colOff>
      <xdr:row>5</xdr:row>
      <xdr:rowOff>0</xdr:rowOff>
    </xdr:from>
    <xdr:ext cx="304800" cy="304800"/>
    <xdr:sp macro="" textlink="">
      <xdr:nvSpPr>
        <xdr:cNvPr id="9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7CA200F-6F49-4EE8-9CF6-8E29194A53FD}"/>
            </a:ext>
          </a:extLst>
        </xdr:cNvPr>
        <xdr:cNvSpPr>
          <a:spLocks noChangeAspect="1" noChangeArrowheads="1"/>
        </xdr:cNvSpPr>
      </xdr:nvSpPr>
      <xdr:spPr bwMode="auto">
        <a:xfrm>
          <a:off x="16335375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35</xdr:col>
      <xdr:colOff>0</xdr:colOff>
      <xdr:row>5</xdr:row>
      <xdr:rowOff>0</xdr:rowOff>
    </xdr:from>
    <xdr:ext cx="304800" cy="304800"/>
    <xdr:sp macro="" textlink="">
      <xdr:nvSpPr>
        <xdr:cNvPr id="9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5B3901C-2714-44F9-B171-2F12E78FEEF1}"/>
            </a:ext>
          </a:extLst>
        </xdr:cNvPr>
        <xdr:cNvSpPr>
          <a:spLocks noChangeAspect="1" noChangeArrowheads="1"/>
        </xdr:cNvSpPr>
      </xdr:nvSpPr>
      <xdr:spPr bwMode="auto">
        <a:xfrm>
          <a:off x="16335375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35</xdr:col>
      <xdr:colOff>0</xdr:colOff>
      <xdr:row>5</xdr:row>
      <xdr:rowOff>0</xdr:rowOff>
    </xdr:from>
    <xdr:ext cx="304800" cy="304800"/>
    <xdr:sp macro="" textlink="">
      <xdr:nvSpPr>
        <xdr:cNvPr id="9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8AC5CBA-CCF1-4FFA-AA8F-8D7BB9EF846F}"/>
            </a:ext>
          </a:extLst>
        </xdr:cNvPr>
        <xdr:cNvSpPr>
          <a:spLocks noChangeAspect="1" noChangeArrowheads="1"/>
        </xdr:cNvSpPr>
      </xdr:nvSpPr>
      <xdr:spPr bwMode="auto">
        <a:xfrm>
          <a:off x="16335375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5</xdr:row>
      <xdr:rowOff>0</xdr:rowOff>
    </xdr:from>
    <xdr:ext cx="714375" cy="304800"/>
    <xdr:sp macro="" textlink="">
      <xdr:nvSpPr>
        <xdr:cNvPr id="9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4DD4899-46B3-485D-9EE1-91845DD33BC0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952500"/>
          <a:ext cx="714375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5</xdr:row>
      <xdr:rowOff>0</xdr:rowOff>
    </xdr:from>
    <xdr:ext cx="304800" cy="304800"/>
    <xdr:sp macro="" textlink="">
      <xdr:nvSpPr>
        <xdr:cNvPr id="9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BD9E5BA-6912-4EE2-B772-18A2295320CD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5</xdr:row>
      <xdr:rowOff>0</xdr:rowOff>
    </xdr:from>
    <xdr:ext cx="304800" cy="304800"/>
    <xdr:sp macro="" textlink="">
      <xdr:nvSpPr>
        <xdr:cNvPr id="9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A41279C-DB27-46D1-B2E7-75FB71A7511A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5</xdr:row>
      <xdr:rowOff>0</xdr:rowOff>
    </xdr:from>
    <xdr:ext cx="304800" cy="304800"/>
    <xdr:sp macro="" textlink="">
      <xdr:nvSpPr>
        <xdr:cNvPr id="9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BFDA7E0-2EBA-48CD-AB7E-DE764E981F21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5</xdr:row>
      <xdr:rowOff>0</xdr:rowOff>
    </xdr:from>
    <xdr:ext cx="304800" cy="304800"/>
    <xdr:sp macro="" textlink="">
      <xdr:nvSpPr>
        <xdr:cNvPr id="9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516779A-1511-4A72-A424-5AF71B2FE4EB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5</xdr:row>
      <xdr:rowOff>0</xdr:rowOff>
    </xdr:from>
    <xdr:ext cx="304800" cy="304800"/>
    <xdr:sp macro="" textlink="">
      <xdr:nvSpPr>
        <xdr:cNvPr id="9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0103CF1-60C5-441C-8A92-7BBE21596CF7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5</xdr:row>
      <xdr:rowOff>0</xdr:rowOff>
    </xdr:from>
    <xdr:ext cx="714375" cy="304800"/>
    <xdr:sp macro="" textlink="">
      <xdr:nvSpPr>
        <xdr:cNvPr id="9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EC45F37-5953-4825-87EA-4C5ADF6470E6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952500"/>
          <a:ext cx="714375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5</xdr:row>
      <xdr:rowOff>0</xdr:rowOff>
    </xdr:from>
    <xdr:ext cx="304800" cy="304800"/>
    <xdr:sp macro="" textlink="">
      <xdr:nvSpPr>
        <xdr:cNvPr id="10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685B7A1-BF6F-4F48-BE33-29F4DB63777D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5</xdr:row>
      <xdr:rowOff>0</xdr:rowOff>
    </xdr:from>
    <xdr:ext cx="304800" cy="304800"/>
    <xdr:sp macro="" textlink="">
      <xdr:nvSpPr>
        <xdr:cNvPr id="10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4BE1961-2BBF-479C-A658-361206456264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5</xdr:row>
      <xdr:rowOff>0</xdr:rowOff>
    </xdr:from>
    <xdr:ext cx="304800" cy="304800"/>
    <xdr:sp macro="" textlink="">
      <xdr:nvSpPr>
        <xdr:cNvPr id="10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3D3A5BF-7721-47D7-9606-32C5387C32ED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5</xdr:row>
      <xdr:rowOff>0</xdr:rowOff>
    </xdr:from>
    <xdr:ext cx="304800" cy="304800"/>
    <xdr:sp macro="" textlink="">
      <xdr:nvSpPr>
        <xdr:cNvPr id="10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3D9AA02-0FCE-43CD-88D6-3D9BEB02AD6B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5</xdr:row>
      <xdr:rowOff>0</xdr:rowOff>
    </xdr:from>
    <xdr:ext cx="304800" cy="304800"/>
    <xdr:sp macro="" textlink="">
      <xdr:nvSpPr>
        <xdr:cNvPr id="10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C6011C8-A3A0-4877-B467-68A846D55DDF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5</xdr:row>
      <xdr:rowOff>0</xdr:rowOff>
    </xdr:from>
    <xdr:ext cx="304800" cy="304800"/>
    <xdr:sp macro="" textlink="">
      <xdr:nvSpPr>
        <xdr:cNvPr id="10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6F575D8-2302-4F2E-AD07-FFF5E2849926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5</xdr:row>
      <xdr:rowOff>0</xdr:rowOff>
    </xdr:from>
    <xdr:ext cx="304800" cy="304800"/>
    <xdr:sp macro="" textlink="">
      <xdr:nvSpPr>
        <xdr:cNvPr id="10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01915BE-AE8D-4311-8548-E0A79153D8A6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5</xdr:row>
      <xdr:rowOff>0</xdr:rowOff>
    </xdr:from>
    <xdr:ext cx="304800" cy="304800"/>
    <xdr:sp macro="" textlink="">
      <xdr:nvSpPr>
        <xdr:cNvPr id="10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0648D68-CC1E-4547-A854-0B94E2253CC4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5</xdr:row>
      <xdr:rowOff>0</xdr:rowOff>
    </xdr:from>
    <xdr:ext cx="304800" cy="304800"/>
    <xdr:sp macro="" textlink="">
      <xdr:nvSpPr>
        <xdr:cNvPr id="10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C0E48F2-298E-47CE-AACB-8F7EFB3AF0D3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5</xdr:row>
      <xdr:rowOff>0</xdr:rowOff>
    </xdr:from>
    <xdr:ext cx="304800" cy="304800"/>
    <xdr:sp macro="" textlink="">
      <xdr:nvSpPr>
        <xdr:cNvPr id="10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A192FF6-4FFF-42BE-9E87-6C1ADDC3F953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5</xdr:row>
      <xdr:rowOff>0</xdr:rowOff>
    </xdr:from>
    <xdr:ext cx="714375" cy="304800"/>
    <xdr:sp macro="" textlink="">
      <xdr:nvSpPr>
        <xdr:cNvPr id="11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AB5B186-FE7C-4BD7-87CF-CC96CD2F1D37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952500"/>
          <a:ext cx="714375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5</xdr:row>
      <xdr:rowOff>0</xdr:rowOff>
    </xdr:from>
    <xdr:ext cx="304800" cy="304800"/>
    <xdr:sp macro="" textlink="">
      <xdr:nvSpPr>
        <xdr:cNvPr id="11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84040E6-4FF5-40D2-BE1A-026EF51DC111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5</xdr:row>
      <xdr:rowOff>0</xdr:rowOff>
    </xdr:from>
    <xdr:ext cx="304800" cy="304800"/>
    <xdr:sp macro="" textlink="">
      <xdr:nvSpPr>
        <xdr:cNvPr id="11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4677B66-2226-4E8E-BD0F-88BD5A5DBB0D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5</xdr:row>
      <xdr:rowOff>0</xdr:rowOff>
    </xdr:from>
    <xdr:ext cx="304800" cy="304800"/>
    <xdr:sp macro="" textlink="">
      <xdr:nvSpPr>
        <xdr:cNvPr id="11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60EC92C-3966-4F7E-88A2-5E7F9065290D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5</xdr:row>
      <xdr:rowOff>0</xdr:rowOff>
    </xdr:from>
    <xdr:ext cx="304800" cy="304800"/>
    <xdr:sp macro="" textlink="">
      <xdr:nvSpPr>
        <xdr:cNvPr id="11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5E30D97-E62D-4DCC-8D48-EC4A560D94F5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5</xdr:row>
      <xdr:rowOff>0</xdr:rowOff>
    </xdr:from>
    <xdr:ext cx="304800" cy="304800"/>
    <xdr:sp macro="" textlink="">
      <xdr:nvSpPr>
        <xdr:cNvPr id="11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3BA8F2F-EEC0-4408-9EB6-868C106A7DFA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5</xdr:row>
      <xdr:rowOff>0</xdr:rowOff>
    </xdr:from>
    <xdr:ext cx="304800" cy="304800"/>
    <xdr:sp macro="" textlink="">
      <xdr:nvSpPr>
        <xdr:cNvPr id="11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1D803D8-FEE2-46F1-9AEC-660CBDA90E8E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5</xdr:row>
      <xdr:rowOff>0</xdr:rowOff>
    </xdr:from>
    <xdr:ext cx="304800" cy="304800"/>
    <xdr:sp macro="" textlink="">
      <xdr:nvSpPr>
        <xdr:cNvPr id="11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AA51A48-B5D2-448E-BF19-4AA3F73D1F54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5</xdr:row>
      <xdr:rowOff>0</xdr:rowOff>
    </xdr:from>
    <xdr:ext cx="304800" cy="304800"/>
    <xdr:sp macro="" textlink="">
      <xdr:nvSpPr>
        <xdr:cNvPr id="11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415EA8A-DF72-4BA5-9929-00339040148D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5</xdr:row>
      <xdr:rowOff>0</xdr:rowOff>
    </xdr:from>
    <xdr:ext cx="304800" cy="304800"/>
    <xdr:sp macro="" textlink="">
      <xdr:nvSpPr>
        <xdr:cNvPr id="11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C1A54AA-EF4E-4D25-A5C5-C2CDA2E97E0A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5</xdr:row>
      <xdr:rowOff>0</xdr:rowOff>
    </xdr:from>
    <xdr:ext cx="304800" cy="304800"/>
    <xdr:sp macro="" textlink="">
      <xdr:nvSpPr>
        <xdr:cNvPr id="12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86DE62F-9458-483F-A3C3-2C5204434416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38</xdr:col>
      <xdr:colOff>0</xdr:colOff>
      <xdr:row>5</xdr:row>
      <xdr:rowOff>0</xdr:rowOff>
    </xdr:from>
    <xdr:ext cx="304800" cy="304800"/>
    <xdr:sp macro="" textlink="">
      <xdr:nvSpPr>
        <xdr:cNvPr id="12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AAE7A78-65EE-427E-81AF-B5716607D6C7}"/>
            </a:ext>
          </a:extLst>
        </xdr:cNvPr>
        <xdr:cNvSpPr>
          <a:spLocks noChangeAspect="1" noChangeArrowheads="1"/>
        </xdr:cNvSpPr>
      </xdr:nvSpPr>
      <xdr:spPr bwMode="auto">
        <a:xfrm>
          <a:off x="17983200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38</xdr:col>
      <xdr:colOff>0</xdr:colOff>
      <xdr:row>5</xdr:row>
      <xdr:rowOff>0</xdr:rowOff>
    </xdr:from>
    <xdr:ext cx="304800" cy="304800"/>
    <xdr:sp macro="" textlink="">
      <xdr:nvSpPr>
        <xdr:cNvPr id="12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7CB3D8A-14FC-49B8-8940-3CA44C8294C5}"/>
            </a:ext>
          </a:extLst>
        </xdr:cNvPr>
        <xdr:cNvSpPr>
          <a:spLocks noChangeAspect="1" noChangeArrowheads="1"/>
        </xdr:cNvSpPr>
      </xdr:nvSpPr>
      <xdr:spPr bwMode="auto">
        <a:xfrm>
          <a:off x="17983200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38</xdr:col>
      <xdr:colOff>0</xdr:colOff>
      <xdr:row>5</xdr:row>
      <xdr:rowOff>0</xdr:rowOff>
    </xdr:from>
    <xdr:ext cx="304800" cy="304800"/>
    <xdr:sp macro="" textlink="">
      <xdr:nvSpPr>
        <xdr:cNvPr id="12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D530F2E-8E48-453C-9564-FCD36845AAE5}"/>
            </a:ext>
          </a:extLst>
        </xdr:cNvPr>
        <xdr:cNvSpPr>
          <a:spLocks noChangeAspect="1" noChangeArrowheads="1"/>
        </xdr:cNvSpPr>
      </xdr:nvSpPr>
      <xdr:spPr bwMode="auto">
        <a:xfrm>
          <a:off x="17983200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38</xdr:col>
      <xdr:colOff>0</xdr:colOff>
      <xdr:row>5</xdr:row>
      <xdr:rowOff>0</xdr:rowOff>
    </xdr:from>
    <xdr:ext cx="304800" cy="304800"/>
    <xdr:sp macro="" textlink="">
      <xdr:nvSpPr>
        <xdr:cNvPr id="12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2A95C27-8156-47AD-8C39-E3A4BD0C61BF}"/>
            </a:ext>
          </a:extLst>
        </xdr:cNvPr>
        <xdr:cNvSpPr>
          <a:spLocks noChangeAspect="1" noChangeArrowheads="1"/>
        </xdr:cNvSpPr>
      </xdr:nvSpPr>
      <xdr:spPr bwMode="auto">
        <a:xfrm>
          <a:off x="17983200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38</xdr:col>
      <xdr:colOff>0</xdr:colOff>
      <xdr:row>5</xdr:row>
      <xdr:rowOff>0</xdr:rowOff>
    </xdr:from>
    <xdr:ext cx="304800" cy="304800"/>
    <xdr:sp macro="" textlink="">
      <xdr:nvSpPr>
        <xdr:cNvPr id="12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4E0E305-21D9-4E9E-B9D7-B7372FA62709}"/>
            </a:ext>
          </a:extLst>
        </xdr:cNvPr>
        <xdr:cNvSpPr>
          <a:spLocks noChangeAspect="1" noChangeArrowheads="1"/>
        </xdr:cNvSpPr>
      </xdr:nvSpPr>
      <xdr:spPr bwMode="auto">
        <a:xfrm>
          <a:off x="17983200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38</xdr:col>
      <xdr:colOff>0</xdr:colOff>
      <xdr:row>5</xdr:row>
      <xdr:rowOff>0</xdr:rowOff>
    </xdr:from>
    <xdr:ext cx="304800" cy="304800"/>
    <xdr:sp macro="" textlink="">
      <xdr:nvSpPr>
        <xdr:cNvPr id="12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64F17E9-4E82-4908-889A-DCC6FA4BC175}"/>
            </a:ext>
          </a:extLst>
        </xdr:cNvPr>
        <xdr:cNvSpPr>
          <a:spLocks noChangeAspect="1" noChangeArrowheads="1"/>
        </xdr:cNvSpPr>
      </xdr:nvSpPr>
      <xdr:spPr bwMode="auto">
        <a:xfrm>
          <a:off x="17983200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38</xdr:col>
      <xdr:colOff>0</xdr:colOff>
      <xdr:row>5</xdr:row>
      <xdr:rowOff>0</xdr:rowOff>
    </xdr:from>
    <xdr:ext cx="304800" cy="304800"/>
    <xdr:sp macro="" textlink="">
      <xdr:nvSpPr>
        <xdr:cNvPr id="12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907FB82-D839-4A66-8664-4240F1CF796E}"/>
            </a:ext>
          </a:extLst>
        </xdr:cNvPr>
        <xdr:cNvSpPr>
          <a:spLocks noChangeAspect="1" noChangeArrowheads="1"/>
        </xdr:cNvSpPr>
      </xdr:nvSpPr>
      <xdr:spPr bwMode="auto">
        <a:xfrm>
          <a:off x="17983200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38</xdr:col>
      <xdr:colOff>0</xdr:colOff>
      <xdr:row>5</xdr:row>
      <xdr:rowOff>0</xdr:rowOff>
    </xdr:from>
    <xdr:ext cx="304800" cy="304800"/>
    <xdr:sp macro="" textlink="">
      <xdr:nvSpPr>
        <xdr:cNvPr id="12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2699AAB-9D4E-416A-A6D3-71DB780F28AB}"/>
            </a:ext>
          </a:extLst>
        </xdr:cNvPr>
        <xdr:cNvSpPr>
          <a:spLocks noChangeAspect="1" noChangeArrowheads="1"/>
        </xdr:cNvSpPr>
      </xdr:nvSpPr>
      <xdr:spPr bwMode="auto">
        <a:xfrm>
          <a:off x="17983200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35</xdr:col>
      <xdr:colOff>0</xdr:colOff>
      <xdr:row>5</xdr:row>
      <xdr:rowOff>0</xdr:rowOff>
    </xdr:from>
    <xdr:ext cx="714375" cy="304800"/>
    <xdr:sp macro="" textlink="">
      <xdr:nvSpPr>
        <xdr:cNvPr id="12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1C659D5-869B-44E8-B2E8-739FCC665B22}"/>
            </a:ext>
          </a:extLst>
        </xdr:cNvPr>
        <xdr:cNvSpPr>
          <a:spLocks noChangeAspect="1" noChangeArrowheads="1"/>
        </xdr:cNvSpPr>
      </xdr:nvSpPr>
      <xdr:spPr bwMode="auto">
        <a:xfrm>
          <a:off x="16335375" y="952500"/>
          <a:ext cx="714375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35</xdr:col>
      <xdr:colOff>0</xdr:colOff>
      <xdr:row>5</xdr:row>
      <xdr:rowOff>0</xdr:rowOff>
    </xdr:from>
    <xdr:ext cx="304800" cy="304800"/>
    <xdr:sp macro="" textlink="">
      <xdr:nvSpPr>
        <xdr:cNvPr id="13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B927F1B-A145-4588-82CA-BBB7FDF87C79}"/>
            </a:ext>
          </a:extLst>
        </xdr:cNvPr>
        <xdr:cNvSpPr>
          <a:spLocks noChangeAspect="1" noChangeArrowheads="1"/>
        </xdr:cNvSpPr>
      </xdr:nvSpPr>
      <xdr:spPr bwMode="auto">
        <a:xfrm>
          <a:off x="16335375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35</xdr:col>
      <xdr:colOff>0</xdr:colOff>
      <xdr:row>5</xdr:row>
      <xdr:rowOff>0</xdr:rowOff>
    </xdr:from>
    <xdr:ext cx="304800" cy="304800"/>
    <xdr:sp macro="" textlink="">
      <xdr:nvSpPr>
        <xdr:cNvPr id="13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C2B0011-7895-4803-8A76-A4E6FEF16310}"/>
            </a:ext>
          </a:extLst>
        </xdr:cNvPr>
        <xdr:cNvSpPr>
          <a:spLocks noChangeAspect="1" noChangeArrowheads="1"/>
        </xdr:cNvSpPr>
      </xdr:nvSpPr>
      <xdr:spPr bwMode="auto">
        <a:xfrm>
          <a:off x="16335375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35</xdr:col>
      <xdr:colOff>0</xdr:colOff>
      <xdr:row>5</xdr:row>
      <xdr:rowOff>0</xdr:rowOff>
    </xdr:from>
    <xdr:ext cx="304800" cy="304800"/>
    <xdr:sp macro="" textlink="">
      <xdr:nvSpPr>
        <xdr:cNvPr id="13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AE6996A-2BD7-4925-871C-991F6F23DB33}"/>
            </a:ext>
          </a:extLst>
        </xdr:cNvPr>
        <xdr:cNvSpPr>
          <a:spLocks noChangeAspect="1" noChangeArrowheads="1"/>
        </xdr:cNvSpPr>
      </xdr:nvSpPr>
      <xdr:spPr bwMode="auto">
        <a:xfrm>
          <a:off x="16335375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35</xdr:col>
      <xdr:colOff>0</xdr:colOff>
      <xdr:row>5</xdr:row>
      <xdr:rowOff>0</xdr:rowOff>
    </xdr:from>
    <xdr:ext cx="304800" cy="304800"/>
    <xdr:sp macro="" textlink="">
      <xdr:nvSpPr>
        <xdr:cNvPr id="13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D615C7A-6563-4AF2-844D-5ABB0D5190AD}"/>
            </a:ext>
          </a:extLst>
        </xdr:cNvPr>
        <xdr:cNvSpPr>
          <a:spLocks noChangeAspect="1" noChangeArrowheads="1"/>
        </xdr:cNvSpPr>
      </xdr:nvSpPr>
      <xdr:spPr bwMode="auto">
        <a:xfrm>
          <a:off x="16335375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35</xdr:col>
      <xdr:colOff>0</xdr:colOff>
      <xdr:row>5</xdr:row>
      <xdr:rowOff>0</xdr:rowOff>
    </xdr:from>
    <xdr:ext cx="304800" cy="304800"/>
    <xdr:sp macro="" textlink="">
      <xdr:nvSpPr>
        <xdr:cNvPr id="13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AF5C035-C380-4771-89EB-9B8E5F66E4A6}"/>
            </a:ext>
          </a:extLst>
        </xdr:cNvPr>
        <xdr:cNvSpPr>
          <a:spLocks noChangeAspect="1" noChangeArrowheads="1"/>
        </xdr:cNvSpPr>
      </xdr:nvSpPr>
      <xdr:spPr bwMode="auto">
        <a:xfrm>
          <a:off x="16335375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35</xdr:col>
      <xdr:colOff>0</xdr:colOff>
      <xdr:row>5</xdr:row>
      <xdr:rowOff>0</xdr:rowOff>
    </xdr:from>
    <xdr:ext cx="714375" cy="304800"/>
    <xdr:sp macro="" textlink="">
      <xdr:nvSpPr>
        <xdr:cNvPr id="13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183B3EC-0E81-4E95-8CFD-BAB1F9094FBF}"/>
            </a:ext>
          </a:extLst>
        </xdr:cNvPr>
        <xdr:cNvSpPr>
          <a:spLocks noChangeAspect="1" noChangeArrowheads="1"/>
        </xdr:cNvSpPr>
      </xdr:nvSpPr>
      <xdr:spPr bwMode="auto">
        <a:xfrm>
          <a:off x="16335375" y="952500"/>
          <a:ext cx="714375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35</xdr:col>
      <xdr:colOff>0</xdr:colOff>
      <xdr:row>5</xdr:row>
      <xdr:rowOff>0</xdr:rowOff>
    </xdr:from>
    <xdr:ext cx="304800" cy="304800"/>
    <xdr:sp macro="" textlink="">
      <xdr:nvSpPr>
        <xdr:cNvPr id="13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248C392-B66B-4A58-88A4-2D5349122ED6}"/>
            </a:ext>
          </a:extLst>
        </xdr:cNvPr>
        <xdr:cNvSpPr>
          <a:spLocks noChangeAspect="1" noChangeArrowheads="1"/>
        </xdr:cNvSpPr>
      </xdr:nvSpPr>
      <xdr:spPr bwMode="auto">
        <a:xfrm>
          <a:off x="16335375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35</xdr:col>
      <xdr:colOff>0</xdr:colOff>
      <xdr:row>5</xdr:row>
      <xdr:rowOff>0</xdr:rowOff>
    </xdr:from>
    <xdr:ext cx="304800" cy="304800"/>
    <xdr:sp macro="" textlink="">
      <xdr:nvSpPr>
        <xdr:cNvPr id="13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72C7942-B2BD-45F6-A4DA-84C3368671CE}"/>
            </a:ext>
          </a:extLst>
        </xdr:cNvPr>
        <xdr:cNvSpPr>
          <a:spLocks noChangeAspect="1" noChangeArrowheads="1"/>
        </xdr:cNvSpPr>
      </xdr:nvSpPr>
      <xdr:spPr bwMode="auto">
        <a:xfrm>
          <a:off x="16335375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35</xdr:col>
      <xdr:colOff>0</xdr:colOff>
      <xdr:row>5</xdr:row>
      <xdr:rowOff>0</xdr:rowOff>
    </xdr:from>
    <xdr:ext cx="304800" cy="304800"/>
    <xdr:sp macro="" textlink="">
      <xdr:nvSpPr>
        <xdr:cNvPr id="13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8CD175D-65E8-4379-A80A-DB636916884B}"/>
            </a:ext>
          </a:extLst>
        </xdr:cNvPr>
        <xdr:cNvSpPr>
          <a:spLocks noChangeAspect="1" noChangeArrowheads="1"/>
        </xdr:cNvSpPr>
      </xdr:nvSpPr>
      <xdr:spPr bwMode="auto">
        <a:xfrm>
          <a:off x="16335375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35</xdr:col>
      <xdr:colOff>0</xdr:colOff>
      <xdr:row>5</xdr:row>
      <xdr:rowOff>0</xdr:rowOff>
    </xdr:from>
    <xdr:ext cx="304800" cy="304800"/>
    <xdr:sp macro="" textlink="">
      <xdr:nvSpPr>
        <xdr:cNvPr id="13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530811C-3D15-4D08-B422-F303E1ACB6F5}"/>
            </a:ext>
          </a:extLst>
        </xdr:cNvPr>
        <xdr:cNvSpPr>
          <a:spLocks noChangeAspect="1" noChangeArrowheads="1"/>
        </xdr:cNvSpPr>
      </xdr:nvSpPr>
      <xdr:spPr bwMode="auto">
        <a:xfrm>
          <a:off x="16335375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35</xdr:col>
      <xdr:colOff>0</xdr:colOff>
      <xdr:row>5</xdr:row>
      <xdr:rowOff>0</xdr:rowOff>
    </xdr:from>
    <xdr:ext cx="304800" cy="304800"/>
    <xdr:sp macro="" textlink="">
      <xdr:nvSpPr>
        <xdr:cNvPr id="14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E846E1B-84C9-4EC9-924B-D54745DB2F41}"/>
            </a:ext>
          </a:extLst>
        </xdr:cNvPr>
        <xdr:cNvSpPr>
          <a:spLocks noChangeAspect="1" noChangeArrowheads="1"/>
        </xdr:cNvSpPr>
      </xdr:nvSpPr>
      <xdr:spPr bwMode="auto">
        <a:xfrm>
          <a:off x="16335375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35</xdr:col>
      <xdr:colOff>0</xdr:colOff>
      <xdr:row>5</xdr:row>
      <xdr:rowOff>0</xdr:rowOff>
    </xdr:from>
    <xdr:ext cx="304800" cy="304800"/>
    <xdr:sp macro="" textlink="">
      <xdr:nvSpPr>
        <xdr:cNvPr id="14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0DEFEFB-E946-4378-BF14-618384D7BD36}"/>
            </a:ext>
          </a:extLst>
        </xdr:cNvPr>
        <xdr:cNvSpPr>
          <a:spLocks noChangeAspect="1" noChangeArrowheads="1"/>
        </xdr:cNvSpPr>
      </xdr:nvSpPr>
      <xdr:spPr bwMode="auto">
        <a:xfrm>
          <a:off x="16335375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35</xdr:col>
      <xdr:colOff>0</xdr:colOff>
      <xdr:row>5</xdr:row>
      <xdr:rowOff>0</xdr:rowOff>
    </xdr:from>
    <xdr:ext cx="304800" cy="304800"/>
    <xdr:sp macro="" textlink="">
      <xdr:nvSpPr>
        <xdr:cNvPr id="14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26221E0-6419-4213-9D5D-9220E1601DF3}"/>
            </a:ext>
          </a:extLst>
        </xdr:cNvPr>
        <xdr:cNvSpPr>
          <a:spLocks noChangeAspect="1" noChangeArrowheads="1"/>
        </xdr:cNvSpPr>
      </xdr:nvSpPr>
      <xdr:spPr bwMode="auto">
        <a:xfrm>
          <a:off x="16335375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35</xdr:col>
      <xdr:colOff>0</xdr:colOff>
      <xdr:row>5</xdr:row>
      <xdr:rowOff>0</xdr:rowOff>
    </xdr:from>
    <xdr:ext cx="304800" cy="304800"/>
    <xdr:sp macro="" textlink="">
      <xdr:nvSpPr>
        <xdr:cNvPr id="14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7B89B9E-122B-4564-ADF5-1CAEA72B49BF}"/>
            </a:ext>
          </a:extLst>
        </xdr:cNvPr>
        <xdr:cNvSpPr>
          <a:spLocks noChangeAspect="1" noChangeArrowheads="1"/>
        </xdr:cNvSpPr>
      </xdr:nvSpPr>
      <xdr:spPr bwMode="auto">
        <a:xfrm>
          <a:off x="16335375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35</xdr:col>
      <xdr:colOff>0</xdr:colOff>
      <xdr:row>5</xdr:row>
      <xdr:rowOff>0</xdr:rowOff>
    </xdr:from>
    <xdr:ext cx="304800" cy="304800"/>
    <xdr:sp macro="" textlink="">
      <xdr:nvSpPr>
        <xdr:cNvPr id="14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4A37F03-D925-46A5-A067-43E6C8EAB04A}"/>
            </a:ext>
          </a:extLst>
        </xdr:cNvPr>
        <xdr:cNvSpPr>
          <a:spLocks noChangeAspect="1" noChangeArrowheads="1"/>
        </xdr:cNvSpPr>
      </xdr:nvSpPr>
      <xdr:spPr bwMode="auto">
        <a:xfrm>
          <a:off x="16335375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35</xdr:col>
      <xdr:colOff>0</xdr:colOff>
      <xdr:row>5</xdr:row>
      <xdr:rowOff>0</xdr:rowOff>
    </xdr:from>
    <xdr:ext cx="304800" cy="304800"/>
    <xdr:sp macro="" textlink="">
      <xdr:nvSpPr>
        <xdr:cNvPr id="14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915CC2E-5AB7-4890-B33A-CCC127466D14}"/>
            </a:ext>
          </a:extLst>
        </xdr:cNvPr>
        <xdr:cNvSpPr>
          <a:spLocks noChangeAspect="1" noChangeArrowheads="1"/>
        </xdr:cNvSpPr>
      </xdr:nvSpPr>
      <xdr:spPr bwMode="auto">
        <a:xfrm>
          <a:off x="16335375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35</xdr:col>
      <xdr:colOff>0</xdr:colOff>
      <xdr:row>5</xdr:row>
      <xdr:rowOff>0</xdr:rowOff>
    </xdr:from>
    <xdr:ext cx="304800" cy="304800"/>
    <xdr:sp macro="" textlink="">
      <xdr:nvSpPr>
        <xdr:cNvPr id="14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7E712A0-C9CC-4434-BDB1-5EE98F23B5E4}"/>
            </a:ext>
          </a:extLst>
        </xdr:cNvPr>
        <xdr:cNvSpPr>
          <a:spLocks noChangeAspect="1" noChangeArrowheads="1"/>
        </xdr:cNvSpPr>
      </xdr:nvSpPr>
      <xdr:spPr bwMode="auto">
        <a:xfrm>
          <a:off x="16335375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35</xdr:col>
      <xdr:colOff>0</xdr:colOff>
      <xdr:row>5</xdr:row>
      <xdr:rowOff>0</xdr:rowOff>
    </xdr:from>
    <xdr:ext cx="304800" cy="304800"/>
    <xdr:sp macro="" textlink="">
      <xdr:nvSpPr>
        <xdr:cNvPr id="14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11D9A9D-6B40-40B7-954E-9E6DD3D05BEC}"/>
            </a:ext>
          </a:extLst>
        </xdr:cNvPr>
        <xdr:cNvSpPr>
          <a:spLocks noChangeAspect="1" noChangeArrowheads="1"/>
        </xdr:cNvSpPr>
      </xdr:nvSpPr>
      <xdr:spPr bwMode="auto">
        <a:xfrm>
          <a:off x="16335375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35</xdr:col>
      <xdr:colOff>0</xdr:colOff>
      <xdr:row>5</xdr:row>
      <xdr:rowOff>0</xdr:rowOff>
    </xdr:from>
    <xdr:ext cx="304800" cy="304800"/>
    <xdr:sp macro="" textlink="">
      <xdr:nvSpPr>
        <xdr:cNvPr id="14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C058F0E-4F90-474C-B9A4-E51787D67214}"/>
            </a:ext>
          </a:extLst>
        </xdr:cNvPr>
        <xdr:cNvSpPr>
          <a:spLocks noChangeAspect="1" noChangeArrowheads="1"/>
        </xdr:cNvSpPr>
      </xdr:nvSpPr>
      <xdr:spPr bwMode="auto">
        <a:xfrm>
          <a:off x="16335375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35</xdr:col>
      <xdr:colOff>0</xdr:colOff>
      <xdr:row>5</xdr:row>
      <xdr:rowOff>0</xdr:rowOff>
    </xdr:from>
    <xdr:ext cx="304800" cy="304800"/>
    <xdr:sp macro="" textlink="">
      <xdr:nvSpPr>
        <xdr:cNvPr id="14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6CF0F83-12AC-4172-8277-DFCBF8B8CD98}"/>
            </a:ext>
          </a:extLst>
        </xdr:cNvPr>
        <xdr:cNvSpPr>
          <a:spLocks noChangeAspect="1" noChangeArrowheads="1"/>
        </xdr:cNvSpPr>
      </xdr:nvSpPr>
      <xdr:spPr bwMode="auto">
        <a:xfrm>
          <a:off x="16335375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35</xdr:col>
      <xdr:colOff>0</xdr:colOff>
      <xdr:row>5</xdr:row>
      <xdr:rowOff>0</xdr:rowOff>
    </xdr:from>
    <xdr:ext cx="304800" cy="304800"/>
    <xdr:sp macro="" textlink="">
      <xdr:nvSpPr>
        <xdr:cNvPr id="15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3B43C89-308E-4CE3-ADF1-6081983565BA}"/>
            </a:ext>
          </a:extLst>
        </xdr:cNvPr>
        <xdr:cNvSpPr>
          <a:spLocks noChangeAspect="1" noChangeArrowheads="1"/>
        </xdr:cNvSpPr>
      </xdr:nvSpPr>
      <xdr:spPr bwMode="auto">
        <a:xfrm>
          <a:off x="16335375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35</xdr:col>
      <xdr:colOff>0</xdr:colOff>
      <xdr:row>5</xdr:row>
      <xdr:rowOff>0</xdr:rowOff>
    </xdr:from>
    <xdr:ext cx="304800" cy="304800"/>
    <xdr:sp macro="" textlink="">
      <xdr:nvSpPr>
        <xdr:cNvPr id="15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26920B6-C2B1-4E10-918F-204935298801}"/>
            </a:ext>
          </a:extLst>
        </xdr:cNvPr>
        <xdr:cNvSpPr>
          <a:spLocks noChangeAspect="1" noChangeArrowheads="1"/>
        </xdr:cNvSpPr>
      </xdr:nvSpPr>
      <xdr:spPr bwMode="auto">
        <a:xfrm>
          <a:off x="16335375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35</xdr:col>
      <xdr:colOff>0</xdr:colOff>
      <xdr:row>5</xdr:row>
      <xdr:rowOff>0</xdr:rowOff>
    </xdr:from>
    <xdr:ext cx="304800" cy="304800"/>
    <xdr:sp macro="" textlink="">
      <xdr:nvSpPr>
        <xdr:cNvPr id="15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FF4BFA5-79DE-4C30-BFBD-81B71D54A612}"/>
            </a:ext>
          </a:extLst>
        </xdr:cNvPr>
        <xdr:cNvSpPr>
          <a:spLocks noChangeAspect="1" noChangeArrowheads="1"/>
        </xdr:cNvSpPr>
      </xdr:nvSpPr>
      <xdr:spPr bwMode="auto">
        <a:xfrm>
          <a:off x="16335375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35</xdr:col>
      <xdr:colOff>0</xdr:colOff>
      <xdr:row>5</xdr:row>
      <xdr:rowOff>0</xdr:rowOff>
    </xdr:from>
    <xdr:ext cx="304800" cy="304800"/>
    <xdr:sp macro="" textlink="">
      <xdr:nvSpPr>
        <xdr:cNvPr id="15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F465C11-8E6D-4014-99BA-824F221EF9C5}"/>
            </a:ext>
          </a:extLst>
        </xdr:cNvPr>
        <xdr:cNvSpPr>
          <a:spLocks noChangeAspect="1" noChangeArrowheads="1"/>
        </xdr:cNvSpPr>
      </xdr:nvSpPr>
      <xdr:spPr bwMode="auto">
        <a:xfrm>
          <a:off x="16335375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35</xdr:col>
      <xdr:colOff>0</xdr:colOff>
      <xdr:row>5</xdr:row>
      <xdr:rowOff>0</xdr:rowOff>
    </xdr:from>
    <xdr:ext cx="304800" cy="304800"/>
    <xdr:sp macro="" textlink="">
      <xdr:nvSpPr>
        <xdr:cNvPr id="15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CC3317C-BED3-4344-8F08-A1415CC9EA72}"/>
            </a:ext>
          </a:extLst>
        </xdr:cNvPr>
        <xdr:cNvSpPr>
          <a:spLocks noChangeAspect="1" noChangeArrowheads="1"/>
        </xdr:cNvSpPr>
      </xdr:nvSpPr>
      <xdr:spPr bwMode="auto">
        <a:xfrm>
          <a:off x="16335375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35</xdr:col>
      <xdr:colOff>0</xdr:colOff>
      <xdr:row>5</xdr:row>
      <xdr:rowOff>0</xdr:rowOff>
    </xdr:from>
    <xdr:ext cx="304800" cy="304800"/>
    <xdr:sp macro="" textlink="">
      <xdr:nvSpPr>
        <xdr:cNvPr id="15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60C49C4-EB26-44D1-903F-92FAAE595FA6}"/>
            </a:ext>
          </a:extLst>
        </xdr:cNvPr>
        <xdr:cNvSpPr>
          <a:spLocks noChangeAspect="1" noChangeArrowheads="1"/>
        </xdr:cNvSpPr>
      </xdr:nvSpPr>
      <xdr:spPr bwMode="auto">
        <a:xfrm>
          <a:off x="16335375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5</xdr:row>
      <xdr:rowOff>0</xdr:rowOff>
    </xdr:from>
    <xdr:ext cx="714375" cy="304800"/>
    <xdr:sp macro="" textlink="">
      <xdr:nvSpPr>
        <xdr:cNvPr id="15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C0EC04B-EBD6-413E-8228-09BDC85DCAFC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952500"/>
          <a:ext cx="714375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5</xdr:row>
      <xdr:rowOff>0</xdr:rowOff>
    </xdr:from>
    <xdr:ext cx="304800" cy="304800"/>
    <xdr:sp macro="" textlink="">
      <xdr:nvSpPr>
        <xdr:cNvPr id="15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D0B4FFE-32F4-4987-97EB-71C4340759D5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5</xdr:row>
      <xdr:rowOff>0</xdr:rowOff>
    </xdr:from>
    <xdr:ext cx="304800" cy="304800"/>
    <xdr:sp macro="" textlink="">
      <xdr:nvSpPr>
        <xdr:cNvPr id="15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BBF1818-061A-4781-8307-CB898A6AEB67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5</xdr:row>
      <xdr:rowOff>0</xdr:rowOff>
    </xdr:from>
    <xdr:ext cx="304800" cy="304800"/>
    <xdr:sp macro="" textlink="">
      <xdr:nvSpPr>
        <xdr:cNvPr id="15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2BBB35F-17B2-427F-865D-099B6CD0031E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5</xdr:row>
      <xdr:rowOff>0</xdr:rowOff>
    </xdr:from>
    <xdr:ext cx="304800" cy="304800"/>
    <xdr:sp macro="" textlink="">
      <xdr:nvSpPr>
        <xdr:cNvPr id="16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4F28F24-D4A2-493B-8665-D569051E34F4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5</xdr:row>
      <xdr:rowOff>0</xdr:rowOff>
    </xdr:from>
    <xdr:ext cx="304800" cy="304800"/>
    <xdr:sp macro="" textlink="">
      <xdr:nvSpPr>
        <xdr:cNvPr id="16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0453FF4-7549-4DC6-9DD7-2EA82D147320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5</xdr:row>
      <xdr:rowOff>0</xdr:rowOff>
    </xdr:from>
    <xdr:ext cx="714375" cy="304800"/>
    <xdr:sp macro="" textlink="">
      <xdr:nvSpPr>
        <xdr:cNvPr id="16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C8D056A-094E-4E3F-AC21-EDD2BE03FB0F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952500"/>
          <a:ext cx="714375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5</xdr:row>
      <xdr:rowOff>0</xdr:rowOff>
    </xdr:from>
    <xdr:ext cx="304800" cy="304800"/>
    <xdr:sp macro="" textlink="">
      <xdr:nvSpPr>
        <xdr:cNvPr id="16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5EF99DE-65FC-4DC3-9289-5ABC53ECF52B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5</xdr:row>
      <xdr:rowOff>0</xdr:rowOff>
    </xdr:from>
    <xdr:ext cx="304800" cy="304800"/>
    <xdr:sp macro="" textlink="">
      <xdr:nvSpPr>
        <xdr:cNvPr id="16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78AAD8D-A624-4889-83BA-1CBED914AFB2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5</xdr:row>
      <xdr:rowOff>0</xdr:rowOff>
    </xdr:from>
    <xdr:ext cx="304800" cy="304800"/>
    <xdr:sp macro="" textlink="">
      <xdr:nvSpPr>
        <xdr:cNvPr id="16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EDBBC8B-8803-46FC-9285-94FB2F952185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5</xdr:row>
      <xdr:rowOff>0</xdr:rowOff>
    </xdr:from>
    <xdr:ext cx="304800" cy="304800"/>
    <xdr:sp macro="" textlink="">
      <xdr:nvSpPr>
        <xdr:cNvPr id="16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CD96EF5-EB31-4966-9F29-C3095F3C2862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5</xdr:row>
      <xdr:rowOff>0</xdr:rowOff>
    </xdr:from>
    <xdr:ext cx="304800" cy="304800"/>
    <xdr:sp macro="" textlink="">
      <xdr:nvSpPr>
        <xdr:cNvPr id="16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04A33D6-30BC-48EF-A629-52CED01C23EB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5</xdr:row>
      <xdr:rowOff>0</xdr:rowOff>
    </xdr:from>
    <xdr:ext cx="304800" cy="304800"/>
    <xdr:sp macro="" textlink="">
      <xdr:nvSpPr>
        <xdr:cNvPr id="16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17582A1-6A73-4C2E-93D7-DA4D582F9948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5</xdr:row>
      <xdr:rowOff>0</xdr:rowOff>
    </xdr:from>
    <xdr:ext cx="304800" cy="304800"/>
    <xdr:sp macro="" textlink="">
      <xdr:nvSpPr>
        <xdr:cNvPr id="16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C0F233A-DFA6-4C1B-9517-B54DA4860383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5</xdr:row>
      <xdr:rowOff>0</xdr:rowOff>
    </xdr:from>
    <xdr:ext cx="304800" cy="304800"/>
    <xdr:sp macro="" textlink="">
      <xdr:nvSpPr>
        <xdr:cNvPr id="17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107F119-CDB3-4623-9E43-755DD698446C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5</xdr:row>
      <xdr:rowOff>0</xdr:rowOff>
    </xdr:from>
    <xdr:ext cx="304800" cy="304800"/>
    <xdr:sp macro="" textlink="">
      <xdr:nvSpPr>
        <xdr:cNvPr id="17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598E84A-657D-45E0-B370-A9BD7AC28AD8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5</xdr:row>
      <xdr:rowOff>0</xdr:rowOff>
    </xdr:from>
    <xdr:ext cx="304800" cy="304800"/>
    <xdr:sp macro="" textlink="">
      <xdr:nvSpPr>
        <xdr:cNvPr id="17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AC89D42-AA9B-4D79-BDD8-71CAA31EEF31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5</xdr:row>
      <xdr:rowOff>0</xdr:rowOff>
    </xdr:from>
    <xdr:ext cx="714375" cy="304800"/>
    <xdr:sp macro="" textlink="">
      <xdr:nvSpPr>
        <xdr:cNvPr id="17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C513527-9AEB-4141-B0B8-80F8B5C465EA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952500"/>
          <a:ext cx="714375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5</xdr:row>
      <xdr:rowOff>0</xdr:rowOff>
    </xdr:from>
    <xdr:ext cx="304800" cy="304800"/>
    <xdr:sp macro="" textlink="">
      <xdr:nvSpPr>
        <xdr:cNvPr id="17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49A1BAC-8884-4F81-8385-E9C17B103AAE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5</xdr:row>
      <xdr:rowOff>0</xdr:rowOff>
    </xdr:from>
    <xdr:ext cx="304800" cy="304800"/>
    <xdr:sp macro="" textlink="">
      <xdr:nvSpPr>
        <xdr:cNvPr id="17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6C6FAAF-81EB-4434-988D-AE242187683D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5</xdr:row>
      <xdr:rowOff>0</xdr:rowOff>
    </xdr:from>
    <xdr:ext cx="304800" cy="304800"/>
    <xdr:sp macro="" textlink="">
      <xdr:nvSpPr>
        <xdr:cNvPr id="17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D2A00F0-230A-4BF2-B83E-EC192382C8B0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5</xdr:row>
      <xdr:rowOff>0</xdr:rowOff>
    </xdr:from>
    <xdr:ext cx="304800" cy="304800"/>
    <xdr:sp macro="" textlink="">
      <xdr:nvSpPr>
        <xdr:cNvPr id="17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7987DC0-DE18-4278-A3D4-9F900A79A10F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5</xdr:row>
      <xdr:rowOff>0</xdr:rowOff>
    </xdr:from>
    <xdr:ext cx="304800" cy="304800"/>
    <xdr:sp macro="" textlink="">
      <xdr:nvSpPr>
        <xdr:cNvPr id="17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24BC492-961E-462F-8EA6-E8C735B8A3E8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5</xdr:row>
      <xdr:rowOff>0</xdr:rowOff>
    </xdr:from>
    <xdr:ext cx="304800" cy="304800"/>
    <xdr:sp macro="" textlink="">
      <xdr:nvSpPr>
        <xdr:cNvPr id="17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4E6B8CA-359E-4497-B006-FFA94082DC95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5</xdr:row>
      <xdr:rowOff>0</xdr:rowOff>
    </xdr:from>
    <xdr:ext cx="304800" cy="304800"/>
    <xdr:sp macro="" textlink="">
      <xdr:nvSpPr>
        <xdr:cNvPr id="18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FE9E9A5-3816-4F21-A6EC-C4116E3B298B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5</xdr:row>
      <xdr:rowOff>0</xdr:rowOff>
    </xdr:from>
    <xdr:ext cx="304800" cy="304800"/>
    <xdr:sp macro="" textlink="">
      <xdr:nvSpPr>
        <xdr:cNvPr id="18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6244EB3-3109-4101-A82F-F68F8B9B3F8C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5</xdr:row>
      <xdr:rowOff>0</xdr:rowOff>
    </xdr:from>
    <xdr:ext cx="304800" cy="304800"/>
    <xdr:sp macro="" textlink="">
      <xdr:nvSpPr>
        <xdr:cNvPr id="18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613F01C-4A46-45A0-A5F9-E3A390125DCE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6</xdr:row>
      <xdr:rowOff>0</xdr:rowOff>
    </xdr:from>
    <xdr:ext cx="304800" cy="304800"/>
    <xdr:sp macro="" textlink="">
      <xdr:nvSpPr>
        <xdr:cNvPr id="18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8644DD7-BCF1-4657-9B6A-193F81C38327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228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6</xdr:row>
      <xdr:rowOff>0</xdr:rowOff>
    </xdr:from>
    <xdr:ext cx="304800" cy="304800"/>
    <xdr:sp macro="" textlink="">
      <xdr:nvSpPr>
        <xdr:cNvPr id="18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7C5718C-6EF1-4FAC-BE0B-C0B5182B4EF7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228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6</xdr:row>
      <xdr:rowOff>0</xdr:rowOff>
    </xdr:from>
    <xdr:ext cx="304800" cy="304800"/>
    <xdr:sp macro="" textlink="">
      <xdr:nvSpPr>
        <xdr:cNvPr id="18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CC2DEC2-B86E-4CEF-A783-744CD04AEFB5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228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6</xdr:row>
      <xdr:rowOff>0</xdr:rowOff>
    </xdr:from>
    <xdr:ext cx="304800" cy="304800"/>
    <xdr:sp macro="" textlink="">
      <xdr:nvSpPr>
        <xdr:cNvPr id="18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2B61D92-7282-480D-8C7B-9DCBA1A86988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228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6</xdr:row>
      <xdr:rowOff>0</xdr:rowOff>
    </xdr:from>
    <xdr:ext cx="304800" cy="304800"/>
    <xdr:sp macro="" textlink="">
      <xdr:nvSpPr>
        <xdr:cNvPr id="18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05EC562-D746-4D3D-82CA-46A3244049A1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228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6</xdr:row>
      <xdr:rowOff>0</xdr:rowOff>
    </xdr:from>
    <xdr:ext cx="304800" cy="304800"/>
    <xdr:sp macro="" textlink="">
      <xdr:nvSpPr>
        <xdr:cNvPr id="18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A61E6B9-6860-47B0-AE7F-9E7A69C4A3E9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228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6</xdr:row>
      <xdr:rowOff>0</xdr:rowOff>
    </xdr:from>
    <xdr:ext cx="304800" cy="304800"/>
    <xdr:sp macro="" textlink="">
      <xdr:nvSpPr>
        <xdr:cNvPr id="18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0BD4025-BAEF-4338-AB0D-7AA9A8507C34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228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6</xdr:row>
      <xdr:rowOff>0</xdr:rowOff>
    </xdr:from>
    <xdr:ext cx="304800" cy="304800"/>
    <xdr:sp macro="" textlink="">
      <xdr:nvSpPr>
        <xdr:cNvPr id="19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FB1C85A-2416-4638-9936-5001383B0A07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228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6</xdr:row>
      <xdr:rowOff>0</xdr:rowOff>
    </xdr:from>
    <xdr:ext cx="304800" cy="304800"/>
    <xdr:sp macro="" textlink="">
      <xdr:nvSpPr>
        <xdr:cNvPr id="19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5564365-F17A-461E-9C97-16A4A8050128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228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6</xdr:row>
      <xdr:rowOff>0</xdr:rowOff>
    </xdr:from>
    <xdr:ext cx="304800" cy="304800"/>
    <xdr:sp macro="" textlink="">
      <xdr:nvSpPr>
        <xdr:cNvPr id="19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F210FA0-D0CB-4D33-939B-193F6414FD07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228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6</xdr:row>
      <xdr:rowOff>0</xdr:rowOff>
    </xdr:from>
    <xdr:ext cx="304800" cy="304800"/>
    <xdr:sp macro="" textlink="">
      <xdr:nvSpPr>
        <xdr:cNvPr id="19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E56FEFA-36E3-4A8C-9404-AC8B078195CA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228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6</xdr:row>
      <xdr:rowOff>0</xdr:rowOff>
    </xdr:from>
    <xdr:ext cx="304800" cy="304800"/>
    <xdr:sp macro="" textlink="">
      <xdr:nvSpPr>
        <xdr:cNvPr id="19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547FA9A-008A-4696-9538-821BED789A9B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228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6</xdr:row>
      <xdr:rowOff>0</xdr:rowOff>
    </xdr:from>
    <xdr:ext cx="304800" cy="304800"/>
    <xdr:sp macro="" textlink="">
      <xdr:nvSpPr>
        <xdr:cNvPr id="19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3F60A4A-8AE4-415A-92CD-CE10E532140A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228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6</xdr:row>
      <xdr:rowOff>0</xdr:rowOff>
    </xdr:from>
    <xdr:ext cx="304800" cy="304800"/>
    <xdr:sp macro="" textlink="">
      <xdr:nvSpPr>
        <xdr:cNvPr id="19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CBA14E1-05EA-402C-A7C6-4D495A031ACF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228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6</xdr:row>
      <xdr:rowOff>0</xdr:rowOff>
    </xdr:from>
    <xdr:ext cx="304800" cy="304800"/>
    <xdr:sp macro="" textlink="">
      <xdr:nvSpPr>
        <xdr:cNvPr id="19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9A1C914-41AA-4BFA-859E-D80B22F15BB6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228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6</xdr:row>
      <xdr:rowOff>0</xdr:rowOff>
    </xdr:from>
    <xdr:ext cx="304800" cy="304800"/>
    <xdr:sp macro="" textlink="">
      <xdr:nvSpPr>
        <xdr:cNvPr id="19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90473A4-F789-41BF-B892-88B8F328EBFA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228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6</xdr:row>
      <xdr:rowOff>0</xdr:rowOff>
    </xdr:from>
    <xdr:ext cx="304800" cy="304800"/>
    <xdr:sp macro="" textlink="">
      <xdr:nvSpPr>
        <xdr:cNvPr id="19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5F88451-B0D9-4F35-BB90-7EA26B627369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228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6</xdr:row>
      <xdr:rowOff>0</xdr:rowOff>
    </xdr:from>
    <xdr:ext cx="304800" cy="304800"/>
    <xdr:sp macro="" textlink="">
      <xdr:nvSpPr>
        <xdr:cNvPr id="20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A6C23F5-89F7-4B16-96F0-59CDC08BA042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228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6</xdr:row>
      <xdr:rowOff>0</xdr:rowOff>
    </xdr:from>
    <xdr:ext cx="304800" cy="304800"/>
    <xdr:sp macro="" textlink="">
      <xdr:nvSpPr>
        <xdr:cNvPr id="20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DBE5361-6442-4B08-875E-C82B8C12A187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228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6</xdr:row>
      <xdr:rowOff>0</xdr:rowOff>
    </xdr:from>
    <xdr:ext cx="304800" cy="304800"/>
    <xdr:sp macro="" textlink="">
      <xdr:nvSpPr>
        <xdr:cNvPr id="20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5EDFA75-CE4D-4B0B-8FBF-F8277B889B39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228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6</xdr:row>
      <xdr:rowOff>0</xdr:rowOff>
    </xdr:from>
    <xdr:ext cx="304800" cy="304800"/>
    <xdr:sp macro="" textlink="">
      <xdr:nvSpPr>
        <xdr:cNvPr id="20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CF3D64E-1D58-45A8-8ED7-6A8F093A898A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228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6</xdr:row>
      <xdr:rowOff>0</xdr:rowOff>
    </xdr:from>
    <xdr:ext cx="304800" cy="304800"/>
    <xdr:sp macro="" textlink="">
      <xdr:nvSpPr>
        <xdr:cNvPr id="20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8D8C824-2205-428B-9E5F-8F2214E1ED2E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228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6</xdr:row>
      <xdr:rowOff>0</xdr:rowOff>
    </xdr:from>
    <xdr:ext cx="304800" cy="304800"/>
    <xdr:sp macro="" textlink="">
      <xdr:nvSpPr>
        <xdr:cNvPr id="20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9F4522C-D2D8-43AD-B03A-6F0D9B412E46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228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6</xdr:row>
      <xdr:rowOff>0</xdr:rowOff>
    </xdr:from>
    <xdr:ext cx="304800" cy="304800"/>
    <xdr:sp macro="" textlink="">
      <xdr:nvSpPr>
        <xdr:cNvPr id="20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C3AB3A5-DA70-46C2-88E8-EB3A9AF17B21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228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6</xdr:row>
      <xdr:rowOff>0</xdr:rowOff>
    </xdr:from>
    <xdr:ext cx="304800" cy="304800"/>
    <xdr:sp macro="" textlink="">
      <xdr:nvSpPr>
        <xdr:cNvPr id="20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3E7AC7B-701C-47D5-8F95-D54A02EDC54C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228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6</xdr:row>
      <xdr:rowOff>0</xdr:rowOff>
    </xdr:from>
    <xdr:ext cx="304800" cy="304800"/>
    <xdr:sp macro="" textlink="">
      <xdr:nvSpPr>
        <xdr:cNvPr id="20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2E916D6-2E6C-499A-B592-7DB84C3EDFB5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228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6</xdr:row>
      <xdr:rowOff>0</xdr:rowOff>
    </xdr:from>
    <xdr:ext cx="304800" cy="304800"/>
    <xdr:sp macro="" textlink="">
      <xdr:nvSpPr>
        <xdr:cNvPr id="20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CAD980D-7415-4105-9001-09FF21AEB5C2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228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6</xdr:row>
      <xdr:rowOff>0</xdr:rowOff>
    </xdr:from>
    <xdr:ext cx="304800" cy="304800"/>
    <xdr:sp macro="" textlink="">
      <xdr:nvSpPr>
        <xdr:cNvPr id="21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D90EB29-60D6-4E29-8954-E02E0F47BD6C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228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6</xdr:row>
      <xdr:rowOff>0</xdr:rowOff>
    </xdr:from>
    <xdr:ext cx="304800" cy="304800"/>
    <xdr:sp macro="" textlink="">
      <xdr:nvSpPr>
        <xdr:cNvPr id="21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5D36727-7DC8-4AC3-8ACB-852401D135AC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228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6</xdr:row>
      <xdr:rowOff>0</xdr:rowOff>
    </xdr:from>
    <xdr:ext cx="304800" cy="304800"/>
    <xdr:sp macro="" textlink="">
      <xdr:nvSpPr>
        <xdr:cNvPr id="21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8D928EE-2D34-4ECC-B99B-5EADCD574544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228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6</xdr:row>
      <xdr:rowOff>0</xdr:rowOff>
    </xdr:from>
    <xdr:ext cx="304800" cy="304800"/>
    <xdr:sp macro="" textlink="">
      <xdr:nvSpPr>
        <xdr:cNvPr id="21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6580E15-69FD-415A-8703-6C5F96A128A5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228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6</xdr:row>
      <xdr:rowOff>0</xdr:rowOff>
    </xdr:from>
    <xdr:ext cx="304800" cy="304800"/>
    <xdr:sp macro="" textlink="">
      <xdr:nvSpPr>
        <xdr:cNvPr id="21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A03F048-1B6A-4519-AEAA-973FD5C9E318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228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6</xdr:row>
      <xdr:rowOff>0</xdr:rowOff>
    </xdr:from>
    <xdr:ext cx="304800" cy="304800"/>
    <xdr:sp macro="" textlink="">
      <xdr:nvSpPr>
        <xdr:cNvPr id="21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04FDFF1-58E2-4382-B2E5-E5C83D4A1C26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228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6</xdr:row>
      <xdr:rowOff>0</xdr:rowOff>
    </xdr:from>
    <xdr:ext cx="304800" cy="304800"/>
    <xdr:sp macro="" textlink="">
      <xdr:nvSpPr>
        <xdr:cNvPr id="21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5833BCC-34A5-4DCC-B45E-9C51C469893C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228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6</xdr:row>
      <xdr:rowOff>0</xdr:rowOff>
    </xdr:from>
    <xdr:ext cx="304800" cy="304800"/>
    <xdr:sp macro="" textlink="">
      <xdr:nvSpPr>
        <xdr:cNvPr id="21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A5FD1F2-E344-468C-84DC-0ECA15D4FB7F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228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6</xdr:row>
      <xdr:rowOff>0</xdr:rowOff>
    </xdr:from>
    <xdr:ext cx="304800" cy="304800"/>
    <xdr:sp macro="" textlink="">
      <xdr:nvSpPr>
        <xdr:cNvPr id="21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5B73B03-8A6B-47D2-BB48-AC86405EC6E6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228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6</xdr:row>
      <xdr:rowOff>0</xdr:rowOff>
    </xdr:from>
    <xdr:ext cx="304800" cy="304800"/>
    <xdr:sp macro="" textlink="">
      <xdr:nvSpPr>
        <xdr:cNvPr id="21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76F256D-0709-4D44-84B7-21B51ED36747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228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6</xdr:row>
      <xdr:rowOff>0</xdr:rowOff>
    </xdr:from>
    <xdr:ext cx="304800" cy="304800"/>
    <xdr:sp macro="" textlink="">
      <xdr:nvSpPr>
        <xdr:cNvPr id="22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E240752-19A8-44BF-8F8B-31CD33EA2276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228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6</xdr:row>
      <xdr:rowOff>0</xdr:rowOff>
    </xdr:from>
    <xdr:ext cx="304800" cy="304800"/>
    <xdr:sp macro="" textlink="">
      <xdr:nvSpPr>
        <xdr:cNvPr id="22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6869506-DF21-4F25-994E-2F05DBC7AF49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228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6</xdr:row>
      <xdr:rowOff>0</xdr:rowOff>
    </xdr:from>
    <xdr:ext cx="304800" cy="304800"/>
    <xdr:sp macro="" textlink="">
      <xdr:nvSpPr>
        <xdr:cNvPr id="22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93ED9C1-07A1-4440-B026-825527845F43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228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6</xdr:row>
      <xdr:rowOff>0</xdr:rowOff>
    </xdr:from>
    <xdr:ext cx="304800" cy="304800"/>
    <xdr:sp macro="" textlink="">
      <xdr:nvSpPr>
        <xdr:cNvPr id="22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61FC59C-112C-4E62-8229-59CD90FE4E61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228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6</xdr:row>
      <xdr:rowOff>0</xdr:rowOff>
    </xdr:from>
    <xdr:ext cx="304800" cy="304800"/>
    <xdr:sp macro="" textlink="">
      <xdr:nvSpPr>
        <xdr:cNvPr id="22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FFD09C3-8650-4BBF-A15A-99A95986AFEF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228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6</xdr:row>
      <xdr:rowOff>0</xdr:rowOff>
    </xdr:from>
    <xdr:ext cx="304800" cy="304800"/>
    <xdr:sp macro="" textlink="">
      <xdr:nvSpPr>
        <xdr:cNvPr id="22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5DB881A-74D3-4B54-8EBA-CA37359050E7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228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6</xdr:row>
      <xdr:rowOff>0</xdr:rowOff>
    </xdr:from>
    <xdr:ext cx="304800" cy="304800"/>
    <xdr:sp macro="" textlink="">
      <xdr:nvSpPr>
        <xdr:cNvPr id="22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FBBBB98-56A9-408A-8B4C-0BB25B886059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228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6</xdr:row>
      <xdr:rowOff>0</xdr:rowOff>
    </xdr:from>
    <xdr:ext cx="304800" cy="304800"/>
    <xdr:sp macro="" textlink="">
      <xdr:nvSpPr>
        <xdr:cNvPr id="22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6EC47BE-F7D3-41FC-B1C6-0453C1E5E4D8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228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6</xdr:row>
      <xdr:rowOff>0</xdr:rowOff>
    </xdr:from>
    <xdr:ext cx="304800" cy="304800"/>
    <xdr:sp macro="" textlink="">
      <xdr:nvSpPr>
        <xdr:cNvPr id="22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5924D81-CCA0-4CD1-BE89-8A777E7FA5DB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228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6</xdr:row>
      <xdr:rowOff>0</xdr:rowOff>
    </xdr:from>
    <xdr:ext cx="304800" cy="304800"/>
    <xdr:sp macro="" textlink="">
      <xdr:nvSpPr>
        <xdr:cNvPr id="22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59DA4DF-D53C-4795-97BE-8D6D032C8FC3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228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6</xdr:row>
      <xdr:rowOff>0</xdr:rowOff>
    </xdr:from>
    <xdr:ext cx="304800" cy="304800"/>
    <xdr:sp macro="" textlink="">
      <xdr:nvSpPr>
        <xdr:cNvPr id="23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6B744E2-6393-4527-95C8-823E24D5A404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228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6</xdr:row>
      <xdr:rowOff>0</xdr:rowOff>
    </xdr:from>
    <xdr:ext cx="304800" cy="304800"/>
    <xdr:sp macro="" textlink="">
      <xdr:nvSpPr>
        <xdr:cNvPr id="23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D29F65C-1441-4AD8-8E5C-D35F4EB144C4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228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28575</xdr:colOff>
      <xdr:row>0</xdr:row>
      <xdr:rowOff>28575</xdr:rowOff>
    </xdr:from>
    <xdr:to>
      <xdr:col>12</xdr:col>
      <xdr:colOff>266428</xdr:colOff>
      <xdr:row>3</xdr:row>
      <xdr:rowOff>133790</xdr:rowOff>
    </xdr:to>
    <xdr:pic>
      <xdr:nvPicPr>
        <xdr:cNvPr id="232" name="Imagem 231">
          <a:extLst>
            <a:ext uri="{FF2B5EF4-FFF2-40B4-BE49-F238E27FC236}">
              <a16:creationId xmlns:a16="http://schemas.microsoft.com/office/drawing/2014/main" id="{A30ED39C-F08D-4B28-8709-4987AE1C7B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" y="28575"/>
          <a:ext cx="7391128" cy="676715"/>
        </a:xfrm>
        <a:prstGeom prst="rect">
          <a:avLst/>
        </a:prstGeom>
      </xdr:spPr>
    </xdr:pic>
    <xdr:clientData/>
  </xdr:twoCellAnchor>
  <xdr:oneCellAnchor>
    <xdr:from>
      <xdr:col>38</xdr:col>
      <xdr:colOff>0</xdr:colOff>
      <xdr:row>20</xdr:row>
      <xdr:rowOff>0</xdr:rowOff>
    </xdr:from>
    <xdr:ext cx="304800" cy="304800"/>
    <xdr:sp macro="" textlink="">
      <xdr:nvSpPr>
        <xdr:cNvPr id="23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98E34C4-06BD-4A7E-B2CE-B74E9912FB5B}"/>
            </a:ext>
          </a:extLst>
        </xdr:cNvPr>
        <xdr:cNvSpPr>
          <a:spLocks noChangeAspect="1" noChangeArrowheads="1"/>
        </xdr:cNvSpPr>
      </xdr:nvSpPr>
      <xdr:spPr bwMode="auto">
        <a:xfrm>
          <a:off x="17983200" y="390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38</xdr:col>
      <xdr:colOff>0</xdr:colOff>
      <xdr:row>20</xdr:row>
      <xdr:rowOff>0</xdr:rowOff>
    </xdr:from>
    <xdr:ext cx="304800" cy="304800"/>
    <xdr:sp macro="" textlink="">
      <xdr:nvSpPr>
        <xdr:cNvPr id="23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11C57A6-E3D1-464A-966F-BA7C6D42A3F3}"/>
            </a:ext>
          </a:extLst>
        </xdr:cNvPr>
        <xdr:cNvSpPr>
          <a:spLocks noChangeAspect="1" noChangeArrowheads="1"/>
        </xdr:cNvSpPr>
      </xdr:nvSpPr>
      <xdr:spPr bwMode="auto">
        <a:xfrm>
          <a:off x="17983200" y="390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38</xdr:col>
      <xdr:colOff>0</xdr:colOff>
      <xdr:row>20</xdr:row>
      <xdr:rowOff>0</xdr:rowOff>
    </xdr:from>
    <xdr:ext cx="304800" cy="304800"/>
    <xdr:sp macro="" textlink="">
      <xdr:nvSpPr>
        <xdr:cNvPr id="23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5E57397-EE74-48A8-AD5D-3E7639E244E3}"/>
            </a:ext>
          </a:extLst>
        </xdr:cNvPr>
        <xdr:cNvSpPr>
          <a:spLocks noChangeAspect="1" noChangeArrowheads="1"/>
        </xdr:cNvSpPr>
      </xdr:nvSpPr>
      <xdr:spPr bwMode="auto">
        <a:xfrm>
          <a:off x="17983200" y="390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38</xdr:col>
      <xdr:colOff>0</xdr:colOff>
      <xdr:row>20</xdr:row>
      <xdr:rowOff>0</xdr:rowOff>
    </xdr:from>
    <xdr:ext cx="304800" cy="304800"/>
    <xdr:sp macro="" textlink="">
      <xdr:nvSpPr>
        <xdr:cNvPr id="23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CA39239-D57B-4FEE-B18D-65CE97058078}"/>
            </a:ext>
          </a:extLst>
        </xdr:cNvPr>
        <xdr:cNvSpPr>
          <a:spLocks noChangeAspect="1" noChangeArrowheads="1"/>
        </xdr:cNvSpPr>
      </xdr:nvSpPr>
      <xdr:spPr bwMode="auto">
        <a:xfrm>
          <a:off x="17983200" y="390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38</xdr:col>
      <xdr:colOff>0</xdr:colOff>
      <xdr:row>20</xdr:row>
      <xdr:rowOff>0</xdr:rowOff>
    </xdr:from>
    <xdr:ext cx="304800" cy="304800"/>
    <xdr:sp macro="" textlink="">
      <xdr:nvSpPr>
        <xdr:cNvPr id="23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664937F-AF79-451F-AE6F-4ACB9561654C}"/>
            </a:ext>
          </a:extLst>
        </xdr:cNvPr>
        <xdr:cNvSpPr>
          <a:spLocks noChangeAspect="1" noChangeArrowheads="1"/>
        </xdr:cNvSpPr>
      </xdr:nvSpPr>
      <xdr:spPr bwMode="auto">
        <a:xfrm>
          <a:off x="17983200" y="390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38</xdr:col>
      <xdr:colOff>0</xdr:colOff>
      <xdr:row>20</xdr:row>
      <xdr:rowOff>0</xdr:rowOff>
    </xdr:from>
    <xdr:ext cx="304800" cy="304800"/>
    <xdr:sp macro="" textlink="">
      <xdr:nvSpPr>
        <xdr:cNvPr id="23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729E90F-841F-4075-9D79-CBFC434520AD}"/>
            </a:ext>
          </a:extLst>
        </xdr:cNvPr>
        <xdr:cNvSpPr>
          <a:spLocks noChangeAspect="1" noChangeArrowheads="1"/>
        </xdr:cNvSpPr>
      </xdr:nvSpPr>
      <xdr:spPr bwMode="auto">
        <a:xfrm>
          <a:off x="17983200" y="390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38</xdr:col>
      <xdr:colOff>0</xdr:colOff>
      <xdr:row>20</xdr:row>
      <xdr:rowOff>0</xdr:rowOff>
    </xdr:from>
    <xdr:ext cx="304800" cy="304800"/>
    <xdr:sp macro="" textlink="">
      <xdr:nvSpPr>
        <xdr:cNvPr id="23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E3FD472-1A5C-4E8A-9D3E-AB63219AF062}"/>
            </a:ext>
          </a:extLst>
        </xdr:cNvPr>
        <xdr:cNvSpPr>
          <a:spLocks noChangeAspect="1" noChangeArrowheads="1"/>
        </xdr:cNvSpPr>
      </xdr:nvSpPr>
      <xdr:spPr bwMode="auto">
        <a:xfrm>
          <a:off x="17983200" y="390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38</xdr:col>
      <xdr:colOff>0</xdr:colOff>
      <xdr:row>20</xdr:row>
      <xdr:rowOff>0</xdr:rowOff>
    </xdr:from>
    <xdr:ext cx="304800" cy="304800"/>
    <xdr:sp macro="" textlink="">
      <xdr:nvSpPr>
        <xdr:cNvPr id="24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5107A08-B2F3-44E1-BC9D-19AF85E4E551}"/>
            </a:ext>
          </a:extLst>
        </xdr:cNvPr>
        <xdr:cNvSpPr>
          <a:spLocks noChangeAspect="1" noChangeArrowheads="1"/>
        </xdr:cNvSpPr>
      </xdr:nvSpPr>
      <xdr:spPr bwMode="auto">
        <a:xfrm>
          <a:off x="17983200" y="390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38</xdr:col>
      <xdr:colOff>0</xdr:colOff>
      <xdr:row>20</xdr:row>
      <xdr:rowOff>0</xdr:rowOff>
    </xdr:from>
    <xdr:ext cx="304800" cy="304800"/>
    <xdr:sp macro="" textlink="">
      <xdr:nvSpPr>
        <xdr:cNvPr id="24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73F71AA-1788-459A-997E-CB6793AF8D26}"/>
            </a:ext>
          </a:extLst>
        </xdr:cNvPr>
        <xdr:cNvSpPr>
          <a:spLocks noChangeAspect="1" noChangeArrowheads="1"/>
        </xdr:cNvSpPr>
      </xdr:nvSpPr>
      <xdr:spPr bwMode="auto">
        <a:xfrm>
          <a:off x="17983200" y="390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38</xdr:col>
      <xdr:colOff>0</xdr:colOff>
      <xdr:row>20</xdr:row>
      <xdr:rowOff>0</xdr:rowOff>
    </xdr:from>
    <xdr:ext cx="304800" cy="304800"/>
    <xdr:sp macro="" textlink="">
      <xdr:nvSpPr>
        <xdr:cNvPr id="24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16B3257-41E2-4745-8C52-30EC29D03EE0}"/>
            </a:ext>
          </a:extLst>
        </xdr:cNvPr>
        <xdr:cNvSpPr>
          <a:spLocks noChangeAspect="1" noChangeArrowheads="1"/>
        </xdr:cNvSpPr>
      </xdr:nvSpPr>
      <xdr:spPr bwMode="auto">
        <a:xfrm>
          <a:off x="17983200" y="390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38</xdr:col>
      <xdr:colOff>0</xdr:colOff>
      <xdr:row>20</xdr:row>
      <xdr:rowOff>0</xdr:rowOff>
    </xdr:from>
    <xdr:ext cx="304800" cy="304800"/>
    <xdr:sp macro="" textlink="">
      <xdr:nvSpPr>
        <xdr:cNvPr id="24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3A2B1E1-CF28-4281-B33B-EDD300D1082A}"/>
            </a:ext>
          </a:extLst>
        </xdr:cNvPr>
        <xdr:cNvSpPr>
          <a:spLocks noChangeAspect="1" noChangeArrowheads="1"/>
        </xdr:cNvSpPr>
      </xdr:nvSpPr>
      <xdr:spPr bwMode="auto">
        <a:xfrm>
          <a:off x="17983200" y="390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38</xdr:col>
      <xdr:colOff>0</xdr:colOff>
      <xdr:row>20</xdr:row>
      <xdr:rowOff>0</xdr:rowOff>
    </xdr:from>
    <xdr:ext cx="304800" cy="304800"/>
    <xdr:sp macro="" textlink="">
      <xdr:nvSpPr>
        <xdr:cNvPr id="24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CF9111F-9B65-4836-9A36-8013EBD0FCF4}"/>
            </a:ext>
          </a:extLst>
        </xdr:cNvPr>
        <xdr:cNvSpPr>
          <a:spLocks noChangeAspect="1" noChangeArrowheads="1"/>
        </xdr:cNvSpPr>
      </xdr:nvSpPr>
      <xdr:spPr bwMode="auto">
        <a:xfrm>
          <a:off x="17983200" y="390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38</xdr:col>
      <xdr:colOff>0</xdr:colOff>
      <xdr:row>20</xdr:row>
      <xdr:rowOff>0</xdr:rowOff>
    </xdr:from>
    <xdr:ext cx="304800" cy="304800"/>
    <xdr:sp macro="" textlink="">
      <xdr:nvSpPr>
        <xdr:cNvPr id="24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A6F3F32-74F0-4EA0-BEB4-0AA65ABD53CF}"/>
            </a:ext>
          </a:extLst>
        </xdr:cNvPr>
        <xdr:cNvSpPr>
          <a:spLocks noChangeAspect="1" noChangeArrowheads="1"/>
        </xdr:cNvSpPr>
      </xdr:nvSpPr>
      <xdr:spPr bwMode="auto">
        <a:xfrm>
          <a:off x="17983200" y="390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38</xdr:col>
      <xdr:colOff>0</xdr:colOff>
      <xdr:row>20</xdr:row>
      <xdr:rowOff>0</xdr:rowOff>
    </xdr:from>
    <xdr:ext cx="304800" cy="304800"/>
    <xdr:sp macro="" textlink="">
      <xdr:nvSpPr>
        <xdr:cNvPr id="24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DC4DE66-FDCF-421D-8BDC-6D8D852A2D0F}"/>
            </a:ext>
          </a:extLst>
        </xdr:cNvPr>
        <xdr:cNvSpPr>
          <a:spLocks noChangeAspect="1" noChangeArrowheads="1"/>
        </xdr:cNvSpPr>
      </xdr:nvSpPr>
      <xdr:spPr bwMode="auto">
        <a:xfrm>
          <a:off x="17983200" y="390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38</xdr:col>
      <xdr:colOff>0</xdr:colOff>
      <xdr:row>20</xdr:row>
      <xdr:rowOff>0</xdr:rowOff>
    </xdr:from>
    <xdr:ext cx="304800" cy="304800"/>
    <xdr:sp macro="" textlink="">
      <xdr:nvSpPr>
        <xdr:cNvPr id="24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8BE2B70-4DD2-4C99-A9F1-12E704DA42AF}"/>
            </a:ext>
          </a:extLst>
        </xdr:cNvPr>
        <xdr:cNvSpPr>
          <a:spLocks noChangeAspect="1" noChangeArrowheads="1"/>
        </xdr:cNvSpPr>
      </xdr:nvSpPr>
      <xdr:spPr bwMode="auto">
        <a:xfrm>
          <a:off x="17983200" y="390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38</xdr:col>
      <xdr:colOff>0</xdr:colOff>
      <xdr:row>20</xdr:row>
      <xdr:rowOff>0</xdr:rowOff>
    </xdr:from>
    <xdr:ext cx="304800" cy="304800"/>
    <xdr:sp macro="" textlink="">
      <xdr:nvSpPr>
        <xdr:cNvPr id="24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024CD30-DE69-4A6F-8CE6-599C2479324A}"/>
            </a:ext>
          </a:extLst>
        </xdr:cNvPr>
        <xdr:cNvSpPr>
          <a:spLocks noChangeAspect="1" noChangeArrowheads="1"/>
        </xdr:cNvSpPr>
      </xdr:nvSpPr>
      <xdr:spPr bwMode="auto">
        <a:xfrm>
          <a:off x="17983200" y="390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38</xdr:col>
      <xdr:colOff>0</xdr:colOff>
      <xdr:row>20</xdr:row>
      <xdr:rowOff>0</xdr:rowOff>
    </xdr:from>
    <xdr:ext cx="304800" cy="304800"/>
    <xdr:sp macro="" textlink="">
      <xdr:nvSpPr>
        <xdr:cNvPr id="24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7D365A3-6B39-4861-BFBC-D8295F25C6DF}"/>
            </a:ext>
          </a:extLst>
        </xdr:cNvPr>
        <xdr:cNvSpPr>
          <a:spLocks noChangeAspect="1" noChangeArrowheads="1"/>
        </xdr:cNvSpPr>
      </xdr:nvSpPr>
      <xdr:spPr bwMode="auto">
        <a:xfrm>
          <a:off x="17983200" y="390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38</xdr:col>
      <xdr:colOff>0</xdr:colOff>
      <xdr:row>20</xdr:row>
      <xdr:rowOff>0</xdr:rowOff>
    </xdr:from>
    <xdr:ext cx="304800" cy="304800"/>
    <xdr:sp macro="" textlink="">
      <xdr:nvSpPr>
        <xdr:cNvPr id="25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2A72FB5-8D15-4FA3-A39B-036955361781}"/>
            </a:ext>
          </a:extLst>
        </xdr:cNvPr>
        <xdr:cNvSpPr>
          <a:spLocks noChangeAspect="1" noChangeArrowheads="1"/>
        </xdr:cNvSpPr>
      </xdr:nvSpPr>
      <xdr:spPr bwMode="auto">
        <a:xfrm>
          <a:off x="17983200" y="390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38</xdr:col>
      <xdr:colOff>0</xdr:colOff>
      <xdr:row>20</xdr:row>
      <xdr:rowOff>0</xdr:rowOff>
    </xdr:from>
    <xdr:ext cx="304800" cy="304800"/>
    <xdr:sp macro="" textlink="">
      <xdr:nvSpPr>
        <xdr:cNvPr id="25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3725AA2-3F54-47DE-A600-CDE15F222C48}"/>
            </a:ext>
          </a:extLst>
        </xdr:cNvPr>
        <xdr:cNvSpPr>
          <a:spLocks noChangeAspect="1" noChangeArrowheads="1"/>
        </xdr:cNvSpPr>
      </xdr:nvSpPr>
      <xdr:spPr bwMode="auto">
        <a:xfrm>
          <a:off x="17983200" y="390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38</xdr:col>
      <xdr:colOff>0</xdr:colOff>
      <xdr:row>20</xdr:row>
      <xdr:rowOff>0</xdr:rowOff>
    </xdr:from>
    <xdr:ext cx="304800" cy="304800"/>
    <xdr:sp macro="" textlink="">
      <xdr:nvSpPr>
        <xdr:cNvPr id="25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1F4CEE9-6A59-4228-8FE6-096D076E6E51}"/>
            </a:ext>
          </a:extLst>
        </xdr:cNvPr>
        <xdr:cNvSpPr>
          <a:spLocks noChangeAspect="1" noChangeArrowheads="1"/>
        </xdr:cNvSpPr>
      </xdr:nvSpPr>
      <xdr:spPr bwMode="auto">
        <a:xfrm>
          <a:off x="17983200" y="390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38</xdr:col>
      <xdr:colOff>0</xdr:colOff>
      <xdr:row>20</xdr:row>
      <xdr:rowOff>0</xdr:rowOff>
    </xdr:from>
    <xdr:ext cx="304800" cy="304800"/>
    <xdr:sp macro="" textlink="">
      <xdr:nvSpPr>
        <xdr:cNvPr id="25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EE1422D-DDD8-4C25-84B1-4E213B0431DF}"/>
            </a:ext>
          </a:extLst>
        </xdr:cNvPr>
        <xdr:cNvSpPr>
          <a:spLocks noChangeAspect="1" noChangeArrowheads="1"/>
        </xdr:cNvSpPr>
      </xdr:nvSpPr>
      <xdr:spPr bwMode="auto">
        <a:xfrm>
          <a:off x="17983200" y="390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38</xdr:col>
      <xdr:colOff>0</xdr:colOff>
      <xdr:row>20</xdr:row>
      <xdr:rowOff>0</xdr:rowOff>
    </xdr:from>
    <xdr:ext cx="304800" cy="304800"/>
    <xdr:sp macro="" textlink="">
      <xdr:nvSpPr>
        <xdr:cNvPr id="25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5759CAD-6109-4C61-8F7C-58D2D7C8F45F}"/>
            </a:ext>
          </a:extLst>
        </xdr:cNvPr>
        <xdr:cNvSpPr>
          <a:spLocks noChangeAspect="1" noChangeArrowheads="1"/>
        </xdr:cNvSpPr>
      </xdr:nvSpPr>
      <xdr:spPr bwMode="auto">
        <a:xfrm>
          <a:off x="17983200" y="390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38</xdr:col>
      <xdr:colOff>0</xdr:colOff>
      <xdr:row>20</xdr:row>
      <xdr:rowOff>0</xdr:rowOff>
    </xdr:from>
    <xdr:ext cx="304800" cy="304800"/>
    <xdr:sp macro="" textlink="">
      <xdr:nvSpPr>
        <xdr:cNvPr id="25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72FEE94-398E-40E4-A6F2-15CE21BB6968}"/>
            </a:ext>
          </a:extLst>
        </xdr:cNvPr>
        <xdr:cNvSpPr>
          <a:spLocks noChangeAspect="1" noChangeArrowheads="1"/>
        </xdr:cNvSpPr>
      </xdr:nvSpPr>
      <xdr:spPr bwMode="auto">
        <a:xfrm>
          <a:off x="17983200" y="390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38</xdr:col>
      <xdr:colOff>0</xdr:colOff>
      <xdr:row>20</xdr:row>
      <xdr:rowOff>0</xdr:rowOff>
    </xdr:from>
    <xdr:ext cx="304800" cy="304800"/>
    <xdr:sp macro="" textlink="">
      <xdr:nvSpPr>
        <xdr:cNvPr id="25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C3F7C34-0ECB-487C-B471-E7824961D5B9}"/>
            </a:ext>
          </a:extLst>
        </xdr:cNvPr>
        <xdr:cNvSpPr>
          <a:spLocks noChangeAspect="1" noChangeArrowheads="1"/>
        </xdr:cNvSpPr>
      </xdr:nvSpPr>
      <xdr:spPr bwMode="auto">
        <a:xfrm>
          <a:off x="17983200" y="390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38</xdr:col>
      <xdr:colOff>0</xdr:colOff>
      <xdr:row>20</xdr:row>
      <xdr:rowOff>0</xdr:rowOff>
    </xdr:from>
    <xdr:ext cx="304800" cy="304800"/>
    <xdr:sp macro="" textlink="">
      <xdr:nvSpPr>
        <xdr:cNvPr id="25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7D26265-D4FC-498F-80F0-25362A24A2F1}"/>
            </a:ext>
          </a:extLst>
        </xdr:cNvPr>
        <xdr:cNvSpPr>
          <a:spLocks noChangeAspect="1" noChangeArrowheads="1"/>
        </xdr:cNvSpPr>
      </xdr:nvSpPr>
      <xdr:spPr bwMode="auto">
        <a:xfrm>
          <a:off x="17983200" y="390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38</xdr:col>
      <xdr:colOff>0</xdr:colOff>
      <xdr:row>20</xdr:row>
      <xdr:rowOff>0</xdr:rowOff>
    </xdr:from>
    <xdr:ext cx="304800" cy="304800"/>
    <xdr:sp macro="" textlink="">
      <xdr:nvSpPr>
        <xdr:cNvPr id="25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73728A6-CDA7-4239-A27A-6A221D066334}"/>
            </a:ext>
          </a:extLst>
        </xdr:cNvPr>
        <xdr:cNvSpPr>
          <a:spLocks noChangeAspect="1" noChangeArrowheads="1"/>
        </xdr:cNvSpPr>
      </xdr:nvSpPr>
      <xdr:spPr bwMode="auto">
        <a:xfrm>
          <a:off x="17983200" y="390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38</xdr:col>
      <xdr:colOff>0</xdr:colOff>
      <xdr:row>20</xdr:row>
      <xdr:rowOff>0</xdr:rowOff>
    </xdr:from>
    <xdr:ext cx="304800" cy="304800"/>
    <xdr:sp macro="" textlink="">
      <xdr:nvSpPr>
        <xdr:cNvPr id="25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79295A3-23EF-4C58-A850-E4DE5C06FC85}"/>
            </a:ext>
          </a:extLst>
        </xdr:cNvPr>
        <xdr:cNvSpPr>
          <a:spLocks noChangeAspect="1" noChangeArrowheads="1"/>
        </xdr:cNvSpPr>
      </xdr:nvSpPr>
      <xdr:spPr bwMode="auto">
        <a:xfrm>
          <a:off x="17983200" y="390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38</xdr:col>
      <xdr:colOff>0</xdr:colOff>
      <xdr:row>20</xdr:row>
      <xdr:rowOff>0</xdr:rowOff>
    </xdr:from>
    <xdr:ext cx="304800" cy="304800"/>
    <xdr:sp macro="" textlink="">
      <xdr:nvSpPr>
        <xdr:cNvPr id="26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111936D-E78E-448C-A0E9-C7D6ADDAFB5F}"/>
            </a:ext>
          </a:extLst>
        </xdr:cNvPr>
        <xdr:cNvSpPr>
          <a:spLocks noChangeAspect="1" noChangeArrowheads="1"/>
        </xdr:cNvSpPr>
      </xdr:nvSpPr>
      <xdr:spPr bwMode="auto">
        <a:xfrm>
          <a:off x="17983200" y="390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38</xdr:col>
      <xdr:colOff>0</xdr:colOff>
      <xdr:row>28</xdr:row>
      <xdr:rowOff>0</xdr:rowOff>
    </xdr:from>
    <xdr:ext cx="304800" cy="304800"/>
    <xdr:sp macro="" textlink="">
      <xdr:nvSpPr>
        <xdr:cNvPr id="26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5FCEEF0-E09B-4F26-BACD-70774E2A504B}"/>
            </a:ext>
          </a:extLst>
        </xdr:cNvPr>
        <xdr:cNvSpPr>
          <a:spLocks noChangeAspect="1" noChangeArrowheads="1"/>
        </xdr:cNvSpPr>
      </xdr:nvSpPr>
      <xdr:spPr bwMode="auto">
        <a:xfrm>
          <a:off x="17983200" y="5429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38</xdr:col>
      <xdr:colOff>0</xdr:colOff>
      <xdr:row>28</xdr:row>
      <xdr:rowOff>0</xdr:rowOff>
    </xdr:from>
    <xdr:ext cx="304800" cy="304800"/>
    <xdr:sp macro="" textlink="">
      <xdr:nvSpPr>
        <xdr:cNvPr id="26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2657D12-B132-4373-8D68-9EBB57487070}"/>
            </a:ext>
          </a:extLst>
        </xdr:cNvPr>
        <xdr:cNvSpPr>
          <a:spLocks noChangeAspect="1" noChangeArrowheads="1"/>
        </xdr:cNvSpPr>
      </xdr:nvSpPr>
      <xdr:spPr bwMode="auto">
        <a:xfrm>
          <a:off x="17983200" y="5429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38</xdr:col>
      <xdr:colOff>0</xdr:colOff>
      <xdr:row>28</xdr:row>
      <xdr:rowOff>0</xdr:rowOff>
    </xdr:from>
    <xdr:ext cx="304800" cy="304800"/>
    <xdr:sp macro="" textlink="">
      <xdr:nvSpPr>
        <xdr:cNvPr id="26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0C1724A-A6FA-489E-BC43-7F640ECFDB0E}"/>
            </a:ext>
          </a:extLst>
        </xdr:cNvPr>
        <xdr:cNvSpPr>
          <a:spLocks noChangeAspect="1" noChangeArrowheads="1"/>
        </xdr:cNvSpPr>
      </xdr:nvSpPr>
      <xdr:spPr bwMode="auto">
        <a:xfrm>
          <a:off x="17983200" y="5429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38</xdr:col>
      <xdr:colOff>0</xdr:colOff>
      <xdr:row>28</xdr:row>
      <xdr:rowOff>0</xdr:rowOff>
    </xdr:from>
    <xdr:ext cx="304800" cy="304800"/>
    <xdr:sp macro="" textlink="">
      <xdr:nvSpPr>
        <xdr:cNvPr id="26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64DC875-F3CE-4361-A48B-EA672405150A}"/>
            </a:ext>
          </a:extLst>
        </xdr:cNvPr>
        <xdr:cNvSpPr>
          <a:spLocks noChangeAspect="1" noChangeArrowheads="1"/>
        </xdr:cNvSpPr>
      </xdr:nvSpPr>
      <xdr:spPr bwMode="auto">
        <a:xfrm>
          <a:off x="17983200" y="5429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38</xdr:col>
      <xdr:colOff>0</xdr:colOff>
      <xdr:row>28</xdr:row>
      <xdr:rowOff>0</xdr:rowOff>
    </xdr:from>
    <xdr:ext cx="304800" cy="304800"/>
    <xdr:sp macro="" textlink="">
      <xdr:nvSpPr>
        <xdr:cNvPr id="26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4A5765F-8CC2-4ECA-BC91-D945FB1B5E89}"/>
            </a:ext>
          </a:extLst>
        </xdr:cNvPr>
        <xdr:cNvSpPr>
          <a:spLocks noChangeAspect="1" noChangeArrowheads="1"/>
        </xdr:cNvSpPr>
      </xdr:nvSpPr>
      <xdr:spPr bwMode="auto">
        <a:xfrm>
          <a:off x="17983200" y="5429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38</xdr:col>
      <xdr:colOff>0</xdr:colOff>
      <xdr:row>28</xdr:row>
      <xdr:rowOff>0</xdr:rowOff>
    </xdr:from>
    <xdr:ext cx="304800" cy="304800"/>
    <xdr:sp macro="" textlink="">
      <xdr:nvSpPr>
        <xdr:cNvPr id="26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D0A541D-0EA0-40C9-9B1D-38430D934697}"/>
            </a:ext>
          </a:extLst>
        </xdr:cNvPr>
        <xdr:cNvSpPr>
          <a:spLocks noChangeAspect="1" noChangeArrowheads="1"/>
        </xdr:cNvSpPr>
      </xdr:nvSpPr>
      <xdr:spPr bwMode="auto">
        <a:xfrm>
          <a:off x="17983200" y="5429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38</xdr:col>
      <xdr:colOff>0</xdr:colOff>
      <xdr:row>28</xdr:row>
      <xdr:rowOff>0</xdr:rowOff>
    </xdr:from>
    <xdr:ext cx="304800" cy="304800"/>
    <xdr:sp macro="" textlink="">
      <xdr:nvSpPr>
        <xdr:cNvPr id="26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81ADA8D-F93B-4C3F-B628-18491D5A9E9F}"/>
            </a:ext>
          </a:extLst>
        </xdr:cNvPr>
        <xdr:cNvSpPr>
          <a:spLocks noChangeAspect="1" noChangeArrowheads="1"/>
        </xdr:cNvSpPr>
      </xdr:nvSpPr>
      <xdr:spPr bwMode="auto">
        <a:xfrm>
          <a:off x="17983200" y="5429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38</xdr:col>
      <xdr:colOff>0</xdr:colOff>
      <xdr:row>28</xdr:row>
      <xdr:rowOff>0</xdr:rowOff>
    </xdr:from>
    <xdr:ext cx="304800" cy="304800"/>
    <xdr:sp macro="" textlink="">
      <xdr:nvSpPr>
        <xdr:cNvPr id="26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BA4713F-6576-42B3-8296-8F9DC44B1743}"/>
            </a:ext>
          </a:extLst>
        </xdr:cNvPr>
        <xdr:cNvSpPr>
          <a:spLocks noChangeAspect="1" noChangeArrowheads="1"/>
        </xdr:cNvSpPr>
      </xdr:nvSpPr>
      <xdr:spPr bwMode="auto">
        <a:xfrm>
          <a:off x="17983200" y="5429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38</xdr:col>
      <xdr:colOff>0</xdr:colOff>
      <xdr:row>28</xdr:row>
      <xdr:rowOff>0</xdr:rowOff>
    </xdr:from>
    <xdr:ext cx="304800" cy="304800"/>
    <xdr:sp macro="" textlink="">
      <xdr:nvSpPr>
        <xdr:cNvPr id="26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ECAD60E-7148-4188-A33F-D0357F5EFB5F}"/>
            </a:ext>
          </a:extLst>
        </xdr:cNvPr>
        <xdr:cNvSpPr>
          <a:spLocks noChangeAspect="1" noChangeArrowheads="1"/>
        </xdr:cNvSpPr>
      </xdr:nvSpPr>
      <xdr:spPr bwMode="auto">
        <a:xfrm>
          <a:off x="17983200" y="5429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38</xdr:col>
      <xdr:colOff>0</xdr:colOff>
      <xdr:row>28</xdr:row>
      <xdr:rowOff>0</xdr:rowOff>
    </xdr:from>
    <xdr:ext cx="304800" cy="304800"/>
    <xdr:sp macro="" textlink="">
      <xdr:nvSpPr>
        <xdr:cNvPr id="27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5EFAD68-C8E9-4872-83C4-A335A0B7C5B9}"/>
            </a:ext>
          </a:extLst>
        </xdr:cNvPr>
        <xdr:cNvSpPr>
          <a:spLocks noChangeAspect="1" noChangeArrowheads="1"/>
        </xdr:cNvSpPr>
      </xdr:nvSpPr>
      <xdr:spPr bwMode="auto">
        <a:xfrm>
          <a:off x="17983200" y="5429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38</xdr:col>
      <xdr:colOff>0</xdr:colOff>
      <xdr:row>28</xdr:row>
      <xdr:rowOff>0</xdr:rowOff>
    </xdr:from>
    <xdr:ext cx="304800" cy="304800"/>
    <xdr:sp macro="" textlink="">
      <xdr:nvSpPr>
        <xdr:cNvPr id="27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51ED48F-E0AC-434A-8A4E-ACE2814A2A49}"/>
            </a:ext>
          </a:extLst>
        </xdr:cNvPr>
        <xdr:cNvSpPr>
          <a:spLocks noChangeAspect="1" noChangeArrowheads="1"/>
        </xdr:cNvSpPr>
      </xdr:nvSpPr>
      <xdr:spPr bwMode="auto">
        <a:xfrm>
          <a:off x="17983200" y="5429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38</xdr:col>
      <xdr:colOff>0</xdr:colOff>
      <xdr:row>28</xdr:row>
      <xdr:rowOff>0</xdr:rowOff>
    </xdr:from>
    <xdr:ext cx="304800" cy="304800"/>
    <xdr:sp macro="" textlink="">
      <xdr:nvSpPr>
        <xdr:cNvPr id="27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EF43829-4E54-4BB4-BE59-9599A9EF098C}"/>
            </a:ext>
          </a:extLst>
        </xdr:cNvPr>
        <xdr:cNvSpPr>
          <a:spLocks noChangeAspect="1" noChangeArrowheads="1"/>
        </xdr:cNvSpPr>
      </xdr:nvSpPr>
      <xdr:spPr bwMode="auto">
        <a:xfrm>
          <a:off x="17983200" y="5429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38</xdr:col>
      <xdr:colOff>0</xdr:colOff>
      <xdr:row>28</xdr:row>
      <xdr:rowOff>0</xdr:rowOff>
    </xdr:from>
    <xdr:ext cx="304800" cy="304800"/>
    <xdr:sp macro="" textlink="">
      <xdr:nvSpPr>
        <xdr:cNvPr id="27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CECC130-8963-4717-A211-200DF8BD245C}"/>
            </a:ext>
          </a:extLst>
        </xdr:cNvPr>
        <xdr:cNvSpPr>
          <a:spLocks noChangeAspect="1" noChangeArrowheads="1"/>
        </xdr:cNvSpPr>
      </xdr:nvSpPr>
      <xdr:spPr bwMode="auto">
        <a:xfrm>
          <a:off x="17983200" y="5429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38</xdr:col>
      <xdr:colOff>0</xdr:colOff>
      <xdr:row>28</xdr:row>
      <xdr:rowOff>0</xdr:rowOff>
    </xdr:from>
    <xdr:ext cx="304800" cy="304800"/>
    <xdr:sp macro="" textlink="">
      <xdr:nvSpPr>
        <xdr:cNvPr id="27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015C316-D98C-4371-B4DD-43807C60EDDA}"/>
            </a:ext>
          </a:extLst>
        </xdr:cNvPr>
        <xdr:cNvSpPr>
          <a:spLocks noChangeAspect="1" noChangeArrowheads="1"/>
        </xdr:cNvSpPr>
      </xdr:nvSpPr>
      <xdr:spPr bwMode="auto">
        <a:xfrm>
          <a:off x="17983200" y="5429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38</xdr:col>
      <xdr:colOff>0</xdr:colOff>
      <xdr:row>28</xdr:row>
      <xdr:rowOff>0</xdr:rowOff>
    </xdr:from>
    <xdr:ext cx="304800" cy="304800"/>
    <xdr:sp macro="" textlink="">
      <xdr:nvSpPr>
        <xdr:cNvPr id="27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CC7023A-C2A5-4B77-BE08-134FA22993D9}"/>
            </a:ext>
          </a:extLst>
        </xdr:cNvPr>
        <xdr:cNvSpPr>
          <a:spLocks noChangeAspect="1" noChangeArrowheads="1"/>
        </xdr:cNvSpPr>
      </xdr:nvSpPr>
      <xdr:spPr bwMode="auto">
        <a:xfrm>
          <a:off x="17983200" y="5429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38</xdr:col>
      <xdr:colOff>0</xdr:colOff>
      <xdr:row>28</xdr:row>
      <xdr:rowOff>0</xdr:rowOff>
    </xdr:from>
    <xdr:ext cx="304800" cy="304800"/>
    <xdr:sp macro="" textlink="">
      <xdr:nvSpPr>
        <xdr:cNvPr id="27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C59BDF8-5A99-413A-B145-7084DD8955AD}"/>
            </a:ext>
          </a:extLst>
        </xdr:cNvPr>
        <xdr:cNvSpPr>
          <a:spLocks noChangeAspect="1" noChangeArrowheads="1"/>
        </xdr:cNvSpPr>
      </xdr:nvSpPr>
      <xdr:spPr bwMode="auto">
        <a:xfrm>
          <a:off x="17983200" y="5429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38</xdr:col>
      <xdr:colOff>0</xdr:colOff>
      <xdr:row>28</xdr:row>
      <xdr:rowOff>0</xdr:rowOff>
    </xdr:from>
    <xdr:ext cx="304800" cy="304800"/>
    <xdr:sp macro="" textlink="">
      <xdr:nvSpPr>
        <xdr:cNvPr id="27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411A262-428D-466D-87AF-0A1F6DE2581E}"/>
            </a:ext>
          </a:extLst>
        </xdr:cNvPr>
        <xdr:cNvSpPr>
          <a:spLocks noChangeAspect="1" noChangeArrowheads="1"/>
        </xdr:cNvSpPr>
      </xdr:nvSpPr>
      <xdr:spPr bwMode="auto">
        <a:xfrm>
          <a:off x="17983200" y="5429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38</xdr:col>
      <xdr:colOff>0</xdr:colOff>
      <xdr:row>28</xdr:row>
      <xdr:rowOff>0</xdr:rowOff>
    </xdr:from>
    <xdr:ext cx="304800" cy="304800"/>
    <xdr:sp macro="" textlink="">
      <xdr:nvSpPr>
        <xdr:cNvPr id="27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5546179-0EFF-42D2-A992-92E00AF1D012}"/>
            </a:ext>
          </a:extLst>
        </xdr:cNvPr>
        <xdr:cNvSpPr>
          <a:spLocks noChangeAspect="1" noChangeArrowheads="1"/>
        </xdr:cNvSpPr>
      </xdr:nvSpPr>
      <xdr:spPr bwMode="auto">
        <a:xfrm>
          <a:off x="17983200" y="5429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38</xdr:col>
      <xdr:colOff>0</xdr:colOff>
      <xdr:row>28</xdr:row>
      <xdr:rowOff>0</xdr:rowOff>
    </xdr:from>
    <xdr:ext cx="304800" cy="304800"/>
    <xdr:sp macro="" textlink="">
      <xdr:nvSpPr>
        <xdr:cNvPr id="27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9094094-C91D-4F9E-AC5F-18B96CE55FC7}"/>
            </a:ext>
          </a:extLst>
        </xdr:cNvPr>
        <xdr:cNvSpPr>
          <a:spLocks noChangeAspect="1" noChangeArrowheads="1"/>
        </xdr:cNvSpPr>
      </xdr:nvSpPr>
      <xdr:spPr bwMode="auto">
        <a:xfrm>
          <a:off x="17983200" y="5429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38</xdr:col>
      <xdr:colOff>0</xdr:colOff>
      <xdr:row>28</xdr:row>
      <xdr:rowOff>0</xdr:rowOff>
    </xdr:from>
    <xdr:ext cx="304800" cy="304800"/>
    <xdr:sp macro="" textlink="">
      <xdr:nvSpPr>
        <xdr:cNvPr id="28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3A8154A-41EF-4E52-AD10-19A4BD695DCD}"/>
            </a:ext>
          </a:extLst>
        </xdr:cNvPr>
        <xdr:cNvSpPr>
          <a:spLocks noChangeAspect="1" noChangeArrowheads="1"/>
        </xdr:cNvSpPr>
      </xdr:nvSpPr>
      <xdr:spPr bwMode="auto">
        <a:xfrm>
          <a:off x="17983200" y="5429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38</xdr:col>
      <xdr:colOff>0</xdr:colOff>
      <xdr:row>28</xdr:row>
      <xdr:rowOff>0</xdr:rowOff>
    </xdr:from>
    <xdr:ext cx="304800" cy="304800"/>
    <xdr:sp macro="" textlink="">
      <xdr:nvSpPr>
        <xdr:cNvPr id="28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47142DF-2AE3-4336-B177-567D1F874025}"/>
            </a:ext>
          </a:extLst>
        </xdr:cNvPr>
        <xdr:cNvSpPr>
          <a:spLocks noChangeAspect="1" noChangeArrowheads="1"/>
        </xdr:cNvSpPr>
      </xdr:nvSpPr>
      <xdr:spPr bwMode="auto">
        <a:xfrm>
          <a:off x="17983200" y="5429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38</xdr:col>
      <xdr:colOff>0</xdr:colOff>
      <xdr:row>28</xdr:row>
      <xdr:rowOff>0</xdr:rowOff>
    </xdr:from>
    <xdr:ext cx="304800" cy="304800"/>
    <xdr:sp macro="" textlink="">
      <xdr:nvSpPr>
        <xdr:cNvPr id="28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D9CA121-895B-47EC-AF1B-3F6DC90C801F}"/>
            </a:ext>
          </a:extLst>
        </xdr:cNvPr>
        <xdr:cNvSpPr>
          <a:spLocks noChangeAspect="1" noChangeArrowheads="1"/>
        </xdr:cNvSpPr>
      </xdr:nvSpPr>
      <xdr:spPr bwMode="auto">
        <a:xfrm>
          <a:off x="17983200" y="5429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38</xdr:col>
      <xdr:colOff>0</xdr:colOff>
      <xdr:row>28</xdr:row>
      <xdr:rowOff>0</xdr:rowOff>
    </xdr:from>
    <xdr:ext cx="304800" cy="304800"/>
    <xdr:sp macro="" textlink="">
      <xdr:nvSpPr>
        <xdr:cNvPr id="28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E0F3047-3BBB-46E6-A6BA-34DEFA11E1C1}"/>
            </a:ext>
          </a:extLst>
        </xdr:cNvPr>
        <xdr:cNvSpPr>
          <a:spLocks noChangeAspect="1" noChangeArrowheads="1"/>
        </xdr:cNvSpPr>
      </xdr:nvSpPr>
      <xdr:spPr bwMode="auto">
        <a:xfrm>
          <a:off x="17983200" y="5429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38</xdr:col>
      <xdr:colOff>0</xdr:colOff>
      <xdr:row>28</xdr:row>
      <xdr:rowOff>0</xdr:rowOff>
    </xdr:from>
    <xdr:ext cx="304800" cy="304800"/>
    <xdr:sp macro="" textlink="">
      <xdr:nvSpPr>
        <xdr:cNvPr id="28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F632BFA-9C0E-4AB4-B296-B30AB6D52C54}"/>
            </a:ext>
          </a:extLst>
        </xdr:cNvPr>
        <xdr:cNvSpPr>
          <a:spLocks noChangeAspect="1" noChangeArrowheads="1"/>
        </xdr:cNvSpPr>
      </xdr:nvSpPr>
      <xdr:spPr bwMode="auto">
        <a:xfrm>
          <a:off x="17983200" y="5429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38</xdr:col>
      <xdr:colOff>0</xdr:colOff>
      <xdr:row>28</xdr:row>
      <xdr:rowOff>0</xdr:rowOff>
    </xdr:from>
    <xdr:ext cx="304800" cy="304800"/>
    <xdr:sp macro="" textlink="">
      <xdr:nvSpPr>
        <xdr:cNvPr id="28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3CB6A38-0797-4F69-84FA-3D46FBA1D67B}"/>
            </a:ext>
          </a:extLst>
        </xdr:cNvPr>
        <xdr:cNvSpPr>
          <a:spLocks noChangeAspect="1" noChangeArrowheads="1"/>
        </xdr:cNvSpPr>
      </xdr:nvSpPr>
      <xdr:spPr bwMode="auto">
        <a:xfrm>
          <a:off x="17983200" y="5429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38</xdr:col>
      <xdr:colOff>0</xdr:colOff>
      <xdr:row>28</xdr:row>
      <xdr:rowOff>0</xdr:rowOff>
    </xdr:from>
    <xdr:ext cx="304800" cy="304800"/>
    <xdr:sp macro="" textlink="">
      <xdr:nvSpPr>
        <xdr:cNvPr id="28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F71B755-4034-45CC-B4E5-A02A146EDEF5}"/>
            </a:ext>
          </a:extLst>
        </xdr:cNvPr>
        <xdr:cNvSpPr>
          <a:spLocks noChangeAspect="1" noChangeArrowheads="1"/>
        </xdr:cNvSpPr>
      </xdr:nvSpPr>
      <xdr:spPr bwMode="auto">
        <a:xfrm>
          <a:off x="17983200" y="5429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38</xdr:col>
      <xdr:colOff>0</xdr:colOff>
      <xdr:row>28</xdr:row>
      <xdr:rowOff>0</xdr:rowOff>
    </xdr:from>
    <xdr:ext cx="304800" cy="304800"/>
    <xdr:sp macro="" textlink="">
      <xdr:nvSpPr>
        <xdr:cNvPr id="28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440DDC9-B88A-4A74-B0D7-78BB48B76E29}"/>
            </a:ext>
          </a:extLst>
        </xdr:cNvPr>
        <xdr:cNvSpPr>
          <a:spLocks noChangeAspect="1" noChangeArrowheads="1"/>
        </xdr:cNvSpPr>
      </xdr:nvSpPr>
      <xdr:spPr bwMode="auto">
        <a:xfrm>
          <a:off x="17983200" y="5429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38</xdr:col>
      <xdr:colOff>0</xdr:colOff>
      <xdr:row>28</xdr:row>
      <xdr:rowOff>0</xdr:rowOff>
    </xdr:from>
    <xdr:ext cx="304800" cy="304800"/>
    <xdr:sp macro="" textlink="">
      <xdr:nvSpPr>
        <xdr:cNvPr id="28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45C4AD7-EF41-4E34-9338-76C50FE3526B}"/>
            </a:ext>
          </a:extLst>
        </xdr:cNvPr>
        <xdr:cNvSpPr>
          <a:spLocks noChangeAspect="1" noChangeArrowheads="1"/>
        </xdr:cNvSpPr>
      </xdr:nvSpPr>
      <xdr:spPr bwMode="auto">
        <a:xfrm>
          <a:off x="17983200" y="5429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6</xdr:row>
      <xdr:rowOff>0</xdr:rowOff>
    </xdr:from>
    <xdr:ext cx="304800" cy="304800"/>
    <xdr:sp macro="" textlink="">
      <xdr:nvSpPr>
        <xdr:cNvPr id="28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0E64388-AFFC-4EB8-832A-700F0524E76C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228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6</xdr:row>
      <xdr:rowOff>0</xdr:rowOff>
    </xdr:from>
    <xdr:ext cx="304800" cy="304800"/>
    <xdr:sp macro="" textlink="">
      <xdr:nvSpPr>
        <xdr:cNvPr id="29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F23B50B-82D6-4D9F-9156-8C8141D57B62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228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6</xdr:row>
      <xdr:rowOff>0</xdr:rowOff>
    </xdr:from>
    <xdr:ext cx="304800" cy="304800"/>
    <xdr:sp macro="" textlink="">
      <xdr:nvSpPr>
        <xdr:cNvPr id="29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2C8B852-6B85-4BE7-8DC7-E9B2618D4251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228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6</xdr:row>
      <xdr:rowOff>0</xdr:rowOff>
    </xdr:from>
    <xdr:ext cx="304800" cy="304800"/>
    <xdr:sp macro="" textlink="">
      <xdr:nvSpPr>
        <xdr:cNvPr id="29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1CD1AE1-B501-498C-ADC1-6FD7D5410D3C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228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6</xdr:row>
      <xdr:rowOff>0</xdr:rowOff>
    </xdr:from>
    <xdr:ext cx="304800" cy="304800"/>
    <xdr:sp macro="" textlink="">
      <xdr:nvSpPr>
        <xdr:cNvPr id="29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8E57848-E2EF-4143-A887-BBD28363DE9F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228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6</xdr:row>
      <xdr:rowOff>0</xdr:rowOff>
    </xdr:from>
    <xdr:ext cx="304800" cy="304800"/>
    <xdr:sp macro="" textlink="">
      <xdr:nvSpPr>
        <xdr:cNvPr id="29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C2C5A1C-8877-460E-9447-9988FC33DDD3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228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6</xdr:row>
      <xdr:rowOff>0</xdr:rowOff>
    </xdr:from>
    <xdr:ext cx="304800" cy="304800"/>
    <xdr:sp macro="" textlink="">
      <xdr:nvSpPr>
        <xdr:cNvPr id="29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C3ABEDF-842E-4F2B-A7FD-531F10F38BB3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228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6</xdr:row>
      <xdr:rowOff>0</xdr:rowOff>
    </xdr:from>
    <xdr:ext cx="304800" cy="304800"/>
    <xdr:sp macro="" textlink="">
      <xdr:nvSpPr>
        <xdr:cNvPr id="29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2973D16-EF41-411B-BEE3-5D4B914CF90C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228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6</xdr:row>
      <xdr:rowOff>0</xdr:rowOff>
    </xdr:from>
    <xdr:ext cx="304800" cy="304800"/>
    <xdr:sp macro="" textlink="">
      <xdr:nvSpPr>
        <xdr:cNvPr id="29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76586A6-A946-44D7-A225-16D8350755C7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228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6</xdr:row>
      <xdr:rowOff>0</xdr:rowOff>
    </xdr:from>
    <xdr:ext cx="304800" cy="304800"/>
    <xdr:sp macro="" textlink="">
      <xdr:nvSpPr>
        <xdr:cNvPr id="29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50EAF53-3DE2-4B56-BAE9-495E315C4F4D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228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6</xdr:row>
      <xdr:rowOff>0</xdr:rowOff>
    </xdr:from>
    <xdr:ext cx="304800" cy="304800"/>
    <xdr:sp macro="" textlink="">
      <xdr:nvSpPr>
        <xdr:cNvPr id="29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5E59960-1905-41D3-9B47-451EBEEF916F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228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6</xdr:row>
      <xdr:rowOff>0</xdr:rowOff>
    </xdr:from>
    <xdr:ext cx="304800" cy="304800"/>
    <xdr:sp macro="" textlink="">
      <xdr:nvSpPr>
        <xdr:cNvPr id="30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A830901-BDC8-4036-8889-3B30CB0FC48F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228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6</xdr:row>
      <xdr:rowOff>0</xdr:rowOff>
    </xdr:from>
    <xdr:ext cx="304800" cy="304800"/>
    <xdr:sp macro="" textlink="">
      <xdr:nvSpPr>
        <xdr:cNvPr id="30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6662077-BBE8-4F7B-AA5A-380BA57B336A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228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6</xdr:row>
      <xdr:rowOff>0</xdr:rowOff>
    </xdr:from>
    <xdr:ext cx="304800" cy="304800"/>
    <xdr:sp macro="" textlink="">
      <xdr:nvSpPr>
        <xdr:cNvPr id="30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6F1D0F0-8333-47AD-A9BE-A95FF8C23EE2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228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6</xdr:row>
      <xdr:rowOff>0</xdr:rowOff>
    </xdr:from>
    <xdr:ext cx="304800" cy="304800"/>
    <xdr:sp macro="" textlink="">
      <xdr:nvSpPr>
        <xdr:cNvPr id="30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5DC2AC5-6F99-4F21-832B-537ABB4C43CC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228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6</xdr:row>
      <xdr:rowOff>0</xdr:rowOff>
    </xdr:from>
    <xdr:ext cx="304800" cy="304800"/>
    <xdr:sp macro="" textlink="">
      <xdr:nvSpPr>
        <xdr:cNvPr id="30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DC6DDE7-6621-4E4F-80F7-6047D4F3C14B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228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6</xdr:row>
      <xdr:rowOff>0</xdr:rowOff>
    </xdr:from>
    <xdr:ext cx="304800" cy="304800"/>
    <xdr:sp macro="" textlink="">
      <xdr:nvSpPr>
        <xdr:cNvPr id="30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9F4E8C3-781C-4488-9F79-4D12F774085A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228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6</xdr:row>
      <xdr:rowOff>0</xdr:rowOff>
    </xdr:from>
    <xdr:ext cx="304800" cy="304800"/>
    <xdr:sp macro="" textlink="">
      <xdr:nvSpPr>
        <xdr:cNvPr id="30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F867C4A-6195-4C94-9B5B-3759001D270F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228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6</xdr:row>
      <xdr:rowOff>0</xdr:rowOff>
    </xdr:from>
    <xdr:ext cx="304800" cy="304800"/>
    <xdr:sp macro="" textlink="">
      <xdr:nvSpPr>
        <xdr:cNvPr id="30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E7ABA59-9747-4066-BF04-B5C670446080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228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6</xdr:row>
      <xdr:rowOff>0</xdr:rowOff>
    </xdr:from>
    <xdr:ext cx="304800" cy="304800"/>
    <xdr:sp macro="" textlink="">
      <xdr:nvSpPr>
        <xdr:cNvPr id="30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4E84956-964C-40ED-A521-1D37A22834EC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228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6</xdr:row>
      <xdr:rowOff>0</xdr:rowOff>
    </xdr:from>
    <xdr:ext cx="304800" cy="304800"/>
    <xdr:sp macro="" textlink="">
      <xdr:nvSpPr>
        <xdr:cNvPr id="30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E267104-1287-4E3E-9022-EE47A5ED2609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228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6</xdr:row>
      <xdr:rowOff>0</xdr:rowOff>
    </xdr:from>
    <xdr:ext cx="304800" cy="304800"/>
    <xdr:sp macro="" textlink="">
      <xdr:nvSpPr>
        <xdr:cNvPr id="31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C9E2150-DAA3-413F-AD6D-FF2F3BB8935E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228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6</xdr:row>
      <xdr:rowOff>0</xdr:rowOff>
    </xdr:from>
    <xdr:ext cx="304800" cy="304800"/>
    <xdr:sp macro="" textlink="">
      <xdr:nvSpPr>
        <xdr:cNvPr id="31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1FD7549-B76E-4765-8FDC-42A0E59B0C88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228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6</xdr:row>
      <xdr:rowOff>0</xdr:rowOff>
    </xdr:from>
    <xdr:ext cx="304800" cy="304800"/>
    <xdr:sp macro="" textlink="">
      <xdr:nvSpPr>
        <xdr:cNvPr id="31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94E9845-929B-478F-ABB0-B31E7D5F2E08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228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6</xdr:row>
      <xdr:rowOff>0</xdr:rowOff>
    </xdr:from>
    <xdr:ext cx="304800" cy="304800"/>
    <xdr:sp macro="" textlink="">
      <xdr:nvSpPr>
        <xdr:cNvPr id="31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5DD4721-FA5F-47B0-B226-5C3BF789AC9B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228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6</xdr:row>
      <xdr:rowOff>0</xdr:rowOff>
    </xdr:from>
    <xdr:ext cx="304800" cy="304800"/>
    <xdr:sp macro="" textlink="">
      <xdr:nvSpPr>
        <xdr:cNvPr id="31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ACD115A-835A-4EFF-871A-45F392B34FBC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228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6</xdr:row>
      <xdr:rowOff>0</xdr:rowOff>
    </xdr:from>
    <xdr:ext cx="304800" cy="304800"/>
    <xdr:sp macro="" textlink="">
      <xdr:nvSpPr>
        <xdr:cNvPr id="31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8525312-78F2-4FE8-A3BD-5E894A43F190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228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6</xdr:row>
      <xdr:rowOff>0</xdr:rowOff>
    </xdr:from>
    <xdr:ext cx="304800" cy="304800"/>
    <xdr:sp macro="" textlink="">
      <xdr:nvSpPr>
        <xdr:cNvPr id="31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8039764-D399-4A4E-80C6-C917134A1607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228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6</xdr:row>
      <xdr:rowOff>0</xdr:rowOff>
    </xdr:from>
    <xdr:ext cx="304800" cy="304800"/>
    <xdr:sp macro="" textlink="">
      <xdr:nvSpPr>
        <xdr:cNvPr id="31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704E9E5-A5C5-43CB-87FB-4EE7D7DCB6D1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228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6</xdr:row>
      <xdr:rowOff>0</xdr:rowOff>
    </xdr:from>
    <xdr:ext cx="304800" cy="304800"/>
    <xdr:sp macro="" textlink="">
      <xdr:nvSpPr>
        <xdr:cNvPr id="31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689122D-2794-420D-8E56-23963012EB03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228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6</xdr:row>
      <xdr:rowOff>0</xdr:rowOff>
    </xdr:from>
    <xdr:ext cx="304800" cy="304800"/>
    <xdr:sp macro="" textlink="">
      <xdr:nvSpPr>
        <xdr:cNvPr id="31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06A8032-3F85-4C91-95C4-FB9EAAE632D2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228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6</xdr:row>
      <xdr:rowOff>0</xdr:rowOff>
    </xdr:from>
    <xdr:ext cx="304800" cy="304800"/>
    <xdr:sp macro="" textlink="">
      <xdr:nvSpPr>
        <xdr:cNvPr id="32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0DB2BFB-844C-42AF-ABFD-591972EAC4B4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228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6</xdr:row>
      <xdr:rowOff>0</xdr:rowOff>
    </xdr:from>
    <xdr:ext cx="304800" cy="304800"/>
    <xdr:sp macro="" textlink="">
      <xdr:nvSpPr>
        <xdr:cNvPr id="32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2CEBCF7-4E24-4A05-906F-501BC0E5A895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228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6</xdr:row>
      <xdr:rowOff>0</xdr:rowOff>
    </xdr:from>
    <xdr:ext cx="304800" cy="304800"/>
    <xdr:sp macro="" textlink="">
      <xdr:nvSpPr>
        <xdr:cNvPr id="32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27F2553-7BC7-4EDF-967E-C1FD8604A273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228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6</xdr:row>
      <xdr:rowOff>0</xdr:rowOff>
    </xdr:from>
    <xdr:ext cx="304800" cy="304800"/>
    <xdr:sp macro="" textlink="">
      <xdr:nvSpPr>
        <xdr:cNvPr id="32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450BBC6-71EF-4CBE-90D7-02991C703FC6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228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6</xdr:row>
      <xdr:rowOff>0</xdr:rowOff>
    </xdr:from>
    <xdr:ext cx="304800" cy="304800"/>
    <xdr:sp macro="" textlink="">
      <xdr:nvSpPr>
        <xdr:cNvPr id="32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4F17CFE-3A5E-4304-9EA3-F7F617A389B7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228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6</xdr:row>
      <xdr:rowOff>0</xdr:rowOff>
    </xdr:from>
    <xdr:ext cx="304800" cy="304800"/>
    <xdr:sp macro="" textlink="">
      <xdr:nvSpPr>
        <xdr:cNvPr id="32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4CF407C-45C7-4608-BFA8-685FEE575FFB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228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6</xdr:row>
      <xdr:rowOff>0</xdr:rowOff>
    </xdr:from>
    <xdr:ext cx="304800" cy="304800"/>
    <xdr:sp macro="" textlink="">
      <xdr:nvSpPr>
        <xdr:cNvPr id="32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30446DD-C8A9-48E5-8B98-B31C6437F4BB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228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6</xdr:row>
      <xdr:rowOff>0</xdr:rowOff>
    </xdr:from>
    <xdr:ext cx="304800" cy="304800"/>
    <xdr:sp macro="" textlink="">
      <xdr:nvSpPr>
        <xdr:cNvPr id="32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66BC43A-80FA-4DED-BDBC-B364361A1E2F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228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6</xdr:row>
      <xdr:rowOff>0</xdr:rowOff>
    </xdr:from>
    <xdr:ext cx="304800" cy="304800"/>
    <xdr:sp macro="" textlink="">
      <xdr:nvSpPr>
        <xdr:cNvPr id="32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D15C05F-C3EE-46C6-B524-7491739584FE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228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6</xdr:row>
      <xdr:rowOff>0</xdr:rowOff>
    </xdr:from>
    <xdr:ext cx="304800" cy="304800"/>
    <xdr:sp macro="" textlink="">
      <xdr:nvSpPr>
        <xdr:cNvPr id="32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81E0DF1-9EA1-46E1-8CCE-4D5FCEB5E29A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228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6</xdr:row>
      <xdr:rowOff>0</xdr:rowOff>
    </xdr:from>
    <xdr:ext cx="304800" cy="304800"/>
    <xdr:sp macro="" textlink="">
      <xdr:nvSpPr>
        <xdr:cNvPr id="33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1A21344-13AC-4EDA-8F50-D3B592ABDFCE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228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6</xdr:row>
      <xdr:rowOff>0</xdr:rowOff>
    </xdr:from>
    <xdr:ext cx="304800" cy="304800"/>
    <xdr:sp macro="" textlink="">
      <xdr:nvSpPr>
        <xdr:cNvPr id="33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1DBA9BE-32D1-4E55-BADE-280F6E3AD5BE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228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6</xdr:row>
      <xdr:rowOff>0</xdr:rowOff>
    </xdr:from>
    <xdr:ext cx="304800" cy="304800"/>
    <xdr:sp macro="" textlink="">
      <xdr:nvSpPr>
        <xdr:cNvPr id="33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5DA3C72-7176-43C1-B77C-7FE593A0FF0F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228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6</xdr:row>
      <xdr:rowOff>0</xdr:rowOff>
    </xdr:from>
    <xdr:ext cx="304800" cy="304800"/>
    <xdr:sp macro="" textlink="">
      <xdr:nvSpPr>
        <xdr:cNvPr id="33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2881B0B-D404-4F02-AA50-B55DAF608F81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228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6</xdr:row>
      <xdr:rowOff>0</xdr:rowOff>
    </xdr:from>
    <xdr:ext cx="304800" cy="304800"/>
    <xdr:sp macro="" textlink="">
      <xdr:nvSpPr>
        <xdr:cNvPr id="33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D669EAB-2AF9-4B19-A948-79D389CC1368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228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6</xdr:row>
      <xdr:rowOff>0</xdr:rowOff>
    </xdr:from>
    <xdr:ext cx="304800" cy="304800"/>
    <xdr:sp macro="" textlink="">
      <xdr:nvSpPr>
        <xdr:cNvPr id="33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C06F128-D83B-49A2-809E-BB0519BF0772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228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6</xdr:row>
      <xdr:rowOff>0</xdr:rowOff>
    </xdr:from>
    <xdr:ext cx="304800" cy="304800"/>
    <xdr:sp macro="" textlink="">
      <xdr:nvSpPr>
        <xdr:cNvPr id="33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BBDB0F5-6AAE-4DE9-8893-38A51E658378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228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6</xdr:row>
      <xdr:rowOff>0</xdr:rowOff>
    </xdr:from>
    <xdr:ext cx="304800" cy="304800"/>
    <xdr:sp macro="" textlink="">
      <xdr:nvSpPr>
        <xdr:cNvPr id="33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587E397-E827-4AD6-9E25-8F1B1D0A3839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228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6</xdr:row>
      <xdr:rowOff>0</xdr:rowOff>
    </xdr:from>
    <xdr:ext cx="304800" cy="304800"/>
    <xdr:sp macro="" textlink="">
      <xdr:nvSpPr>
        <xdr:cNvPr id="33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5375A3B-1E65-489A-8128-326F9AA0468E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228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6</xdr:row>
      <xdr:rowOff>0</xdr:rowOff>
    </xdr:from>
    <xdr:ext cx="304800" cy="304800"/>
    <xdr:sp macro="" textlink="">
      <xdr:nvSpPr>
        <xdr:cNvPr id="33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EE42122-9EF7-4F35-93DD-B51BB67F1B31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228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6</xdr:row>
      <xdr:rowOff>0</xdr:rowOff>
    </xdr:from>
    <xdr:ext cx="304800" cy="304800"/>
    <xdr:sp macro="" textlink="">
      <xdr:nvSpPr>
        <xdr:cNvPr id="34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0800072-235D-4136-B155-6183FA5E0DBA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228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6</xdr:row>
      <xdr:rowOff>0</xdr:rowOff>
    </xdr:from>
    <xdr:ext cx="304800" cy="304800"/>
    <xdr:sp macro="" textlink="">
      <xdr:nvSpPr>
        <xdr:cNvPr id="34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51FB192-7C46-42A5-9580-2A389FFE9A02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228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6</xdr:row>
      <xdr:rowOff>0</xdr:rowOff>
    </xdr:from>
    <xdr:ext cx="304800" cy="304800"/>
    <xdr:sp macro="" textlink="">
      <xdr:nvSpPr>
        <xdr:cNvPr id="34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F03A66B-D96B-49E8-B109-65C741EDDA08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228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6</xdr:row>
      <xdr:rowOff>0</xdr:rowOff>
    </xdr:from>
    <xdr:ext cx="304800" cy="304800"/>
    <xdr:sp macro="" textlink="">
      <xdr:nvSpPr>
        <xdr:cNvPr id="34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6A00E59-2C52-4352-9DEA-1C1B21248869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228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6</xdr:row>
      <xdr:rowOff>0</xdr:rowOff>
    </xdr:from>
    <xdr:ext cx="304800" cy="304800"/>
    <xdr:sp macro="" textlink="">
      <xdr:nvSpPr>
        <xdr:cNvPr id="34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99CF44B-FCC5-4630-AFB1-5692EE46CA17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228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6</xdr:row>
      <xdr:rowOff>0</xdr:rowOff>
    </xdr:from>
    <xdr:ext cx="304800" cy="304800"/>
    <xdr:sp macro="" textlink="">
      <xdr:nvSpPr>
        <xdr:cNvPr id="34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9E9FD8B-A847-47FC-9466-E72E6826CA3B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228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6</xdr:row>
      <xdr:rowOff>0</xdr:rowOff>
    </xdr:from>
    <xdr:ext cx="304800" cy="304800"/>
    <xdr:sp macro="" textlink="">
      <xdr:nvSpPr>
        <xdr:cNvPr id="34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59354EE-57EF-4E71-A0D4-4ADC28A09B67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228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6</xdr:row>
      <xdr:rowOff>0</xdr:rowOff>
    </xdr:from>
    <xdr:ext cx="304800" cy="304800"/>
    <xdr:sp macro="" textlink="">
      <xdr:nvSpPr>
        <xdr:cNvPr id="34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5499D03-C3FE-481F-B10F-3ACEC952AB9F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228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6</xdr:row>
      <xdr:rowOff>0</xdr:rowOff>
    </xdr:from>
    <xdr:ext cx="304800" cy="304800"/>
    <xdr:sp macro="" textlink="">
      <xdr:nvSpPr>
        <xdr:cNvPr id="34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DFE2CC1-CCDB-4CE2-A73E-8AD0434907B6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228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6</xdr:row>
      <xdr:rowOff>0</xdr:rowOff>
    </xdr:from>
    <xdr:ext cx="304800" cy="304800"/>
    <xdr:sp macro="" textlink="">
      <xdr:nvSpPr>
        <xdr:cNvPr id="34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3A42A5B-66CA-48A3-B313-1F3D46C3B111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228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6</xdr:row>
      <xdr:rowOff>0</xdr:rowOff>
    </xdr:from>
    <xdr:ext cx="304800" cy="304800"/>
    <xdr:sp macro="" textlink="">
      <xdr:nvSpPr>
        <xdr:cNvPr id="35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20A8920-B870-48EF-B213-A61E543E00E7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228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6</xdr:row>
      <xdr:rowOff>0</xdr:rowOff>
    </xdr:from>
    <xdr:ext cx="304800" cy="304800"/>
    <xdr:sp macro="" textlink="">
      <xdr:nvSpPr>
        <xdr:cNvPr id="35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E4362DA-0180-437B-8A7C-72F062EFB387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228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6</xdr:row>
      <xdr:rowOff>0</xdr:rowOff>
    </xdr:from>
    <xdr:ext cx="304800" cy="304800"/>
    <xdr:sp macro="" textlink="">
      <xdr:nvSpPr>
        <xdr:cNvPr id="35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EA51601-A92B-48D1-83F6-91C54751D3C1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228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6</xdr:row>
      <xdr:rowOff>0</xdr:rowOff>
    </xdr:from>
    <xdr:ext cx="304800" cy="304800"/>
    <xdr:sp macro="" textlink="">
      <xdr:nvSpPr>
        <xdr:cNvPr id="35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18E5FA7-BCAC-4E01-8912-9DE64C35A1C7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228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6</xdr:row>
      <xdr:rowOff>0</xdr:rowOff>
    </xdr:from>
    <xdr:ext cx="304800" cy="304800"/>
    <xdr:sp macro="" textlink="">
      <xdr:nvSpPr>
        <xdr:cNvPr id="35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580F6D8-3762-4DB4-A42F-7B2537AAD682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228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6</xdr:row>
      <xdr:rowOff>0</xdr:rowOff>
    </xdr:from>
    <xdr:ext cx="304800" cy="304800"/>
    <xdr:sp macro="" textlink="">
      <xdr:nvSpPr>
        <xdr:cNvPr id="35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D466A17-C3E2-46EA-BF4E-2320244ABE60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228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6</xdr:row>
      <xdr:rowOff>0</xdr:rowOff>
    </xdr:from>
    <xdr:ext cx="304800" cy="304800"/>
    <xdr:sp macro="" textlink="">
      <xdr:nvSpPr>
        <xdr:cNvPr id="35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F7952B6-801B-4A2E-9984-248862FCA1B2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228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6</xdr:row>
      <xdr:rowOff>0</xdr:rowOff>
    </xdr:from>
    <xdr:ext cx="304800" cy="304800"/>
    <xdr:sp macro="" textlink="">
      <xdr:nvSpPr>
        <xdr:cNvPr id="35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8D60460-5299-47E4-B50F-82165DCC58F1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228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6</xdr:row>
      <xdr:rowOff>0</xdr:rowOff>
    </xdr:from>
    <xdr:ext cx="304800" cy="304800"/>
    <xdr:sp macro="" textlink="">
      <xdr:nvSpPr>
        <xdr:cNvPr id="35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E2BD801-5189-4E35-B17B-F414A9BDE2B5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228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6</xdr:row>
      <xdr:rowOff>0</xdr:rowOff>
    </xdr:from>
    <xdr:ext cx="304800" cy="304800"/>
    <xdr:sp macro="" textlink="">
      <xdr:nvSpPr>
        <xdr:cNvPr id="35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1DBBEA7-F0DD-4959-9E2A-F313F41BE56D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228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6</xdr:row>
      <xdr:rowOff>0</xdr:rowOff>
    </xdr:from>
    <xdr:ext cx="304800" cy="304800"/>
    <xdr:sp macro="" textlink="">
      <xdr:nvSpPr>
        <xdr:cNvPr id="36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FEE7EB1-C91A-4ABF-9E10-3F95990BDAFA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228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6</xdr:row>
      <xdr:rowOff>0</xdr:rowOff>
    </xdr:from>
    <xdr:ext cx="304800" cy="304800"/>
    <xdr:sp macro="" textlink="">
      <xdr:nvSpPr>
        <xdr:cNvPr id="36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43E12A2-1747-4DB9-BEE7-D45BFC60305C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228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6</xdr:row>
      <xdr:rowOff>0</xdr:rowOff>
    </xdr:from>
    <xdr:ext cx="304800" cy="304800"/>
    <xdr:sp macro="" textlink="">
      <xdr:nvSpPr>
        <xdr:cNvPr id="36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68E85AD-75C8-49E9-AE57-BB807F546C37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228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6</xdr:row>
      <xdr:rowOff>0</xdr:rowOff>
    </xdr:from>
    <xdr:ext cx="304800" cy="304800"/>
    <xdr:sp macro="" textlink="">
      <xdr:nvSpPr>
        <xdr:cNvPr id="36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C9E31E8-CB51-478D-B7A7-F7AC4EF055DB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228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6</xdr:row>
      <xdr:rowOff>0</xdr:rowOff>
    </xdr:from>
    <xdr:ext cx="304800" cy="304800"/>
    <xdr:sp macro="" textlink="">
      <xdr:nvSpPr>
        <xdr:cNvPr id="36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F5B79A4-2B38-4C4A-8793-3637A6161677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228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6</xdr:row>
      <xdr:rowOff>0</xdr:rowOff>
    </xdr:from>
    <xdr:ext cx="304800" cy="304800"/>
    <xdr:sp macro="" textlink="">
      <xdr:nvSpPr>
        <xdr:cNvPr id="36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10D7069-1134-4825-A916-FD44F3F0344C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228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6</xdr:row>
      <xdr:rowOff>0</xdr:rowOff>
    </xdr:from>
    <xdr:ext cx="304800" cy="304800"/>
    <xdr:sp macro="" textlink="">
      <xdr:nvSpPr>
        <xdr:cNvPr id="36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4DE7009-88F7-45AE-B89A-3DE595A0DD7E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228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6</xdr:row>
      <xdr:rowOff>0</xdr:rowOff>
    </xdr:from>
    <xdr:ext cx="304800" cy="304800"/>
    <xdr:sp macro="" textlink="">
      <xdr:nvSpPr>
        <xdr:cNvPr id="36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866D506-7DB1-4EAB-A185-31403F4FEBA3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228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6</xdr:row>
      <xdr:rowOff>0</xdr:rowOff>
    </xdr:from>
    <xdr:ext cx="304800" cy="304800"/>
    <xdr:sp macro="" textlink="">
      <xdr:nvSpPr>
        <xdr:cNvPr id="36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FE01F31-7EA6-487D-A1FF-11A88E4D7272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228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6</xdr:row>
      <xdr:rowOff>0</xdr:rowOff>
    </xdr:from>
    <xdr:ext cx="304800" cy="304800"/>
    <xdr:sp macro="" textlink="">
      <xdr:nvSpPr>
        <xdr:cNvPr id="36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6D7C8DF-BC6A-4924-B3EE-81F751F7AB0B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228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6</xdr:row>
      <xdr:rowOff>0</xdr:rowOff>
    </xdr:from>
    <xdr:ext cx="304800" cy="304800"/>
    <xdr:sp macro="" textlink="">
      <xdr:nvSpPr>
        <xdr:cNvPr id="37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0D1797D-6EB7-4B63-99F7-4D07627C2317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228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6</xdr:row>
      <xdr:rowOff>0</xdr:rowOff>
    </xdr:from>
    <xdr:ext cx="304800" cy="304800"/>
    <xdr:sp macro="" textlink="">
      <xdr:nvSpPr>
        <xdr:cNvPr id="37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0980900-BDA0-4779-BA51-5166E0D85A7D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228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6</xdr:row>
      <xdr:rowOff>0</xdr:rowOff>
    </xdr:from>
    <xdr:ext cx="304800" cy="304800"/>
    <xdr:sp macro="" textlink="">
      <xdr:nvSpPr>
        <xdr:cNvPr id="37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E7C5E55-D8D1-4743-8077-26E3BF761A5A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228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6</xdr:row>
      <xdr:rowOff>0</xdr:rowOff>
    </xdr:from>
    <xdr:ext cx="304800" cy="304800"/>
    <xdr:sp macro="" textlink="">
      <xdr:nvSpPr>
        <xdr:cNvPr id="37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179DC57-549F-4084-AA52-079A68F28256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228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6</xdr:row>
      <xdr:rowOff>0</xdr:rowOff>
    </xdr:from>
    <xdr:ext cx="304800" cy="304800"/>
    <xdr:sp macro="" textlink="">
      <xdr:nvSpPr>
        <xdr:cNvPr id="37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F111870-DFBB-4D8A-90AF-AFE6AE0F494E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228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6</xdr:row>
      <xdr:rowOff>0</xdr:rowOff>
    </xdr:from>
    <xdr:ext cx="304800" cy="304800"/>
    <xdr:sp macro="" textlink="">
      <xdr:nvSpPr>
        <xdr:cNvPr id="37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B50D768-BC60-4781-8DFD-9DB6AEA2FD0D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228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6</xdr:row>
      <xdr:rowOff>0</xdr:rowOff>
    </xdr:from>
    <xdr:ext cx="304800" cy="304800"/>
    <xdr:sp macro="" textlink="">
      <xdr:nvSpPr>
        <xdr:cNvPr id="37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9166670-55A7-478E-8F79-984587895634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228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6</xdr:row>
      <xdr:rowOff>0</xdr:rowOff>
    </xdr:from>
    <xdr:ext cx="304800" cy="304800"/>
    <xdr:sp macro="" textlink="">
      <xdr:nvSpPr>
        <xdr:cNvPr id="37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F3C631F-3A50-4D8B-9604-EE163AD50BCE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228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6</xdr:row>
      <xdr:rowOff>0</xdr:rowOff>
    </xdr:from>
    <xdr:ext cx="304800" cy="304800"/>
    <xdr:sp macro="" textlink="">
      <xdr:nvSpPr>
        <xdr:cNvPr id="37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55229AC-CDC4-4FA7-87F3-4F406C277B2D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228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6</xdr:row>
      <xdr:rowOff>0</xdr:rowOff>
    </xdr:from>
    <xdr:ext cx="304800" cy="304800"/>
    <xdr:sp macro="" textlink="">
      <xdr:nvSpPr>
        <xdr:cNvPr id="37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BDF5930-754A-44B1-97FC-18B982E2E36C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228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6</xdr:row>
      <xdr:rowOff>0</xdr:rowOff>
    </xdr:from>
    <xdr:ext cx="304800" cy="304800"/>
    <xdr:sp macro="" textlink="">
      <xdr:nvSpPr>
        <xdr:cNvPr id="38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2E6863E-5BF1-4EBA-A2DA-333289BEA470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228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6</xdr:row>
      <xdr:rowOff>0</xdr:rowOff>
    </xdr:from>
    <xdr:ext cx="304800" cy="304800"/>
    <xdr:sp macro="" textlink="">
      <xdr:nvSpPr>
        <xdr:cNvPr id="38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A493991-B2C5-4278-B5D5-C9EC0FF72ADD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228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6</xdr:row>
      <xdr:rowOff>0</xdr:rowOff>
    </xdr:from>
    <xdr:ext cx="304800" cy="304800"/>
    <xdr:sp macro="" textlink="">
      <xdr:nvSpPr>
        <xdr:cNvPr id="38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5BC9181-79AF-4394-AEB8-CFFB52C8FE5D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228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6</xdr:row>
      <xdr:rowOff>0</xdr:rowOff>
    </xdr:from>
    <xdr:ext cx="304800" cy="304800"/>
    <xdr:sp macro="" textlink="">
      <xdr:nvSpPr>
        <xdr:cNvPr id="38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3908E51-417D-4E81-AD42-B24188F572E1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228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6</xdr:row>
      <xdr:rowOff>0</xdr:rowOff>
    </xdr:from>
    <xdr:ext cx="304800" cy="304800"/>
    <xdr:sp macro="" textlink="">
      <xdr:nvSpPr>
        <xdr:cNvPr id="38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77232F6-C063-4B87-86DB-49ABD182E96C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228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6</xdr:row>
      <xdr:rowOff>0</xdr:rowOff>
    </xdr:from>
    <xdr:ext cx="304800" cy="304800"/>
    <xdr:sp macro="" textlink="">
      <xdr:nvSpPr>
        <xdr:cNvPr id="38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F1D0732-D783-4538-AD98-BA5A0BC6BD26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228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6</xdr:row>
      <xdr:rowOff>0</xdr:rowOff>
    </xdr:from>
    <xdr:ext cx="304800" cy="304800"/>
    <xdr:sp macro="" textlink="">
      <xdr:nvSpPr>
        <xdr:cNvPr id="38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7855E63-6E3F-4B27-B424-156FADF7E044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228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38</xdr:col>
      <xdr:colOff>0</xdr:colOff>
      <xdr:row>20</xdr:row>
      <xdr:rowOff>0</xdr:rowOff>
    </xdr:from>
    <xdr:ext cx="304800" cy="304800"/>
    <xdr:sp macro="" textlink="">
      <xdr:nvSpPr>
        <xdr:cNvPr id="38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8AFBC13-CC9B-40CA-83C8-4607A5C6E9F4}"/>
            </a:ext>
          </a:extLst>
        </xdr:cNvPr>
        <xdr:cNvSpPr>
          <a:spLocks noChangeAspect="1" noChangeArrowheads="1"/>
        </xdr:cNvSpPr>
      </xdr:nvSpPr>
      <xdr:spPr bwMode="auto">
        <a:xfrm>
          <a:off x="17983200" y="390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38</xdr:col>
      <xdr:colOff>0</xdr:colOff>
      <xdr:row>20</xdr:row>
      <xdr:rowOff>0</xdr:rowOff>
    </xdr:from>
    <xdr:ext cx="304800" cy="304800"/>
    <xdr:sp macro="" textlink="">
      <xdr:nvSpPr>
        <xdr:cNvPr id="38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8E24BA6-ACED-4083-BEF2-1D9A3BAB9F6A}"/>
            </a:ext>
          </a:extLst>
        </xdr:cNvPr>
        <xdr:cNvSpPr>
          <a:spLocks noChangeAspect="1" noChangeArrowheads="1"/>
        </xdr:cNvSpPr>
      </xdr:nvSpPr>
      <xdr:spPr bwMode="auto">
        <a:xfrm>
          <a:off x="17983200" y="390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38</xdr:col>
      <xdr:colOff>0</xdr:colOff>
      <xdr:row>20</xdr:row>
      <xdr:rowOff>0</xdr:rowOff>
    </xdr:from>
    <xdr:ext cx="304800" cy="304800"/>
    <xdr:sp macro="" textlink="">
      <xdr:nvSpPr>
        <xdr:cNvPr id="38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383180A-1D7C-4019-931F-58674C482525}"/>
            </a:ext>
          </a:extLst>
        </xdr:cNvPr>
        <xdr:cNvSpPr>
          <a:spLocks noChangeAspect="1" noChangeArrowheads="1"/>
        </xdr:cNvSpPr>
      </xdr:nvSpPr>
      <xdr:spPr bwMode="auto">
        <a:xfrm>
          <a:off x="17983200" y="390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38</xdr:col>
      <xdr:colOff>0</xdr:colOff>
      <xdr:row>20</xdr:row>
      <xdr:rowOff>0</xdr:rowOff>
    </xdr:from>
    <xdr:ext cx="304800" cy="304800"/>
    <xdr:sp macro="" textlink="">
      <xdr:nvSpPr>
        <xdr:cNvPr id="39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C7D575D-6795-4595-B2D6-C8CF96EE2984}"/>
            </a:ext>
          </a:extLst>
        </xdr:cNvPr>
        <xdr:cNvSpPr>
          <a:spLocks noChangeAspect="1" noChangeArrowheads="1"/>
        </xdr:cNvSpPr>
      </xdr:nvSpPr>
      <xdr:spPr bwMode="auto">
        <a:xfrm>
          <a:off x="17983200" y="390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38</xdr:col>
      <xdr:colOff>0</xdr:colOff>
      <xdr:row>20</xdr:row>
      <xdr:rowOff>0</xdr:rowOff>
    </xdr:from>
    <xdr:ext cx="304800" cy="304800"/>
    <xdr:sp macro="" textlink="">
      <xdr:nvSpPr>
        <xdr:cNvPr id="39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08010A9-2C08-4F50-98C3-134B608081FF}"/>
            </a:ext>
          </a:extLst>
        </xdr:cNvPr>
        <xdr:cNvSpPr>
          <a:spLocks noChangeAspect="1" noChangeArrowheads="1"/>
        </xdr:cNvSpPr>
      </xdr:nvSpPr>
      <xdr:spPr bwMode="auto">
        <a:xfrm>
          <a:off x="17983200" y="390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38</xdr:col>
      <xdr:colOff>0</xdr:colOff>
      <xdr:row>20</xdr:row>
      <xdr:rowOff>0</xdr:rowOff>
    </xdr:from>
    <xdr:ext cx="304800" cy="304800"/>
    <xdr:sp macro="" textlink="">
      <xdr:nvSpPr>
        <xdr:cNvPr id="39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5CF877B-8E62-402A-8C3B-834863FFAF9F}"/>
            </a:ext>
          </a:extLst>
        </xdr:cNvPr>
        <xdr:cNvSpPr>
          <a:spLocks noChangeAspect="1" noChangeArrowheads="1"/>
        </xdr:cNvSpPr>
      </xdr:nvSpPr>
      <xdr:spPr bwMode="auto">
        <a:xfrm>
          <a:off x="17983200" y="390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38</xdr:col>
      <xdr:colOff>0</xdr:colOff>
      <xdr:row>20</xdr:row>
      <xdr:rowOff>0</xdr:rowOff>
    </xdr:from>
    <xdr:ext cx="304800" cy="304800"/>
    <xdr:sp macro="" textlink="">
      <xdr:nvSpPr>
        <xdr:cNvPr id="39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9604DC1-C8E0-4B26-8B9E-556AA2A038C9}"/>
            </a:ext>
          </a:extLst>
        </xdr:cNvPr>
        <xdr:cNvSpPr>
          <a:spLocks noChangeAspect="1" noChangeArrowheads="1"/>
        </xdr:cNvSpPr>
      </xdr:nvSpPr>
      <xdr:spPr bwMode="auto">
        <a:xfrm>
          <a:off x="17983200" y="390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38</xdr:col>
      <xdr:colOff>0</xdr:colOff>
      <xdr:row>20</xdr:row>
      <xdr:rowOff>0</xdr:rowOff>
    </xdr:from>
    <xdr:ext cx="304800" cy="304800"/>
    <xdr:sp macro="" textlink="">
      <xdr:nvSpPr>
        <xdr:cNvPr id="39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E252A8C-5690-4D1C-A739-7D85F784A109}"/>
            </a:ext>
          </a:extLst>
        </xdr:cNvPr>
        <xdr:cNvSpPr>
          <a:spLocks noChangeAspect="1" noChangeArrowheads="1"/>
        </xdr:cNvSpPr>
      </xdr:nvSpPr>
      <xdr:spPr bwMode="auto">
        <a:xfrm>
          <a:off x="17983200" y="390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38</xdr:col>
      <xdr:colOff>0</xdr:colOff>
      <xdr:row>20</xdr:row>
      <xdr:rowOff>0</xdr:rowOff>
    </xdr:from>
    <xdr:ext cx="304800" cy="304800"/>
    <xdr:sp macro="" textlink="">
      <xdr:nvSpPr>
        <xdr:cNvPr id="39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B27ECF5-DB98-409F-85DA-096C5D82C9AA}"/>
            </a:ext>
          </a:extLst>
        </xdr:cNvPr>
        <xdr:cNvSpPr>
          <a:spLocks noChangeAspect="1" noChangeArrowheads="1"/>
        </xdr:cNvSpPr>
      </xdr:nvSpPr>
      <xdr:spPr bwMode="auto">
        <a:xfrm>
          <a:off x="17983200" y="390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38</xdr:col>
      <xdr:colOff>0</xdr:colOff>
      <xdr:row>20</xdr:row>
      <xdr:rowOff>0</xdr:rowOff>
    </xdr:from>
    <xdr:ext cx="304800" cy="304800"/>
    <xdr:sp macro="" textlink="">
      <xdr:nvSpPr>
        <xdr:cNvPr id="39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6002763-0889-4621-B052-5948380732A1}"/>
            </a:ext>
          </a:extLst>
        </xdr:cNvPr>
        <xdr:cNvSpPr>
          <a:spLocks noChangeAspect="1" noChangeArrowheads="1"/>
        </xdr:cNvSpPr>
      </xdr:nvSpPr>
      <xdr:spPr bwMode="auto">
        <a:xfrm>
          <a:off x="17983200" y="390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38</xdr:col>
      <xdr:colOff>0</xdr:colOff>
      <xdr:row>20</xdr:row>
      <xdr:rowOff>0</xdr:rowOff>
    </xdr:from>
    <xdr:ext cx="304800" cy="304800"/>
    <xdr:sp macro="" textlink="">
      <xdr:nvSpPr>
        <xdr:cNvPr id="39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2F95157-DAFD-44F5-95CD-5F2E4A20EA20}"/>
            </a:ext>
          </a:extLst>
        </xdr:cNvPr>
        <xdr:cNvSpPr>
          <a:spLocks noChangeAspect="1" noChangeArrowheads="1"/>
        </xdr:cNvSpPr>
      </xdr:nvSpPr>
      <xdr:spPr bwMode="auto">
        <a:xfrm>
          <a:off x="17983200" y="390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38</xdr:col>
      <xdr:colOff>0</xdr:colOff>
      <xdr:row>20</xdr:row>
      <xdr:rowOff>0</xdr:rowOff>
    </xdr:from>
    <xdr:ext cx="304800" cy="304800"/>
    <xdr:sp macro="" textlink="">
      <xdr:nvSpPr>
        <xdr:cNvPr id="39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D2F886F-DF09-40E5-B217-4037035C67C1}"/>
            </a:ext>
          </a:extLst>
        </xdr:cNvPr>
        <xdr:cNvSpPr>
          <a:spLocks noChangeAspect="1" noChangeArrowheads="1"/>
        </xdr:cNvSpPr>
      </xdr:nvSpPr>
      <xdr:spPr bwMode="auto">
        <a:xfrm>
          <a:off x="17983200" y="390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38</xdr:col>
      <xdr:colOff>0</xdr:colOff>
      <xdr:row>20</xdr:row>
      <xdr:rowOff>0</xdr:rowOff>
    </xdr:from>
    <xdr:ext cx="304800" cy="304800"/>
    <xdr:sp macro="" textlink="">
      <xdr:nvSpPr>
        <xdr:cNvPr id="39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4941F16-6965-4B21-8347-48F2BF19DB96}"/>
            </a:ext>
          </a:extLst>
        </xdr:cNvPr>
        <xdr:cNvSpPr>
          <a:spLocks noChangeAspect="1" noChangeArrowheads="1"/>
        </xdr:cNvSpPr>
      </xdr:nvSpPr>
      <xdr:spPr bwMode="auto">
        <a:xfrm>
          <a:off x="17983200" y="390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38</xdr:col>
      <xdr:colOff>0</xdr:colOff>
      <xdr:row>20</xdr:row>
      <xdr:rowOff>0</xdr:rowOff>
    </xdr:from>
    <xdr:ext cx="304800" cy="304800"/>
    <xdr:sp macro="" textlink="">
      <xdr:nvSpPr>
        <xdr:cNvPr id="40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2D572AF-A4CE-4838-9B6B-71D92CDCBB84}"/>
            </a:ext>
          </a:extLst>
        </xdr:cNvPr>
        <xdr:cNvSpPr>
          <a:spLocks noChangeAspect="1" noChangeArrowheads="1"/>
        </xdr:cNvSpPr>
      </xdr:nvSpPr>
      <xdr:spPr bwMode="auto">
        <a:xfrm>
          <a:off x="17983200" y="390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38</xdr:col>
      <xdr:colOff>0</xdr:colOff>
      <xdr:row>20</xdr:row>
      <xdr:rowOff>0</xdr:rowOff>
    </xdr:from>
    <xdr:ext cx="304800" cy="304800"/>
    <xdr:sp macro="" textlink="">
      <xdr:nvSpPr>
        <xdr:cNvPr id="40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C3B85EB-D541-41D0-A84F-395999F8A81D}"/>
            </a:ext>
          </a:extLst>
        </xdr:cNvPr>
        <xdr:cNvSpPr>
          <a:spLocks noChangeAspect="1" noChangeArrowheads="1"/>
        </xdr:cNvSpPr>
      </xdr:nvSpPr>
      <xdr:spPr bwMode="auto">
        <a:xfrm>
          <a:off x="17983200" y="390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38</xdr:col>
      <xdr:colOff>0</xdr:colOff>
      <xdr:row>20</xdr:row>
      <xdr:rowOff>0</xdr:rowOff>
    </xdr:from>
    <xdr:ext cx="304800" cy="304800"/>
    <xdr:sp macro="" textlink="">
      <xdr:nvSpPr>
        <xdr:cNvPr id="40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801D498-41A0-49A1-B47C-632FADB87DBB}"/>
            </a:ext>
          </a:extLst>
        </xdr:cNvPr>
        <xdr:cNvSpPr>
          <a:spLocks noChangeAspect="1" noChangeArrowheads="1"/>
        </xdr:cNvSpPr>
      </xdr:nvSpPr>
      <xdr:spPr bwMode="auto">
        <a:xfrm>
          <a:off x="17983200" y="390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38</xdr:col>
      <xdr:colOff>0</xdr:colOff>
      <xdr:row>20</xdr:row>
      <xdr:rowOff>0</xdr:rowOff>
    </xdr:from>
    <xdr:ext cx="304800" cy="304800"/>
    <xdr:sp macro="" textlink="">
      <xdr:nvSpPr>
        <xdr:cNvPr id="40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726038A-AEC2-4E53-8C92-9E181CEC960D}"/>
            </a:ext>
          </a:extLst>
        </xdr:cNvPr>
        <xdr:cNvSpPr>
          <a:spLocks noChangeAspect="1" noChangeArrowheads="1"/>
        </xdr:cNvSpPr>
      </xdr:nvSpPr>
      <xdr:spPr bwMode="auto">
        <a:xfrm>
          <a:off x="17983200" y="390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38</xdr:col>
      <xdr:colOff>0</xdr:colOff>
      <xdr:row>20</xdr:row>
      <xdr:rowOff>0</xdr:rowOff>
    </xdr:from>
    <xdr:ext cx="304800" cy="304800"/>
    <xdr:sp macro="" textlink="">
      <xdr:nvSpPr>
        <xdr:cNvPr id="40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F158336-A023-463F-AC74-0DC0393F9666}"/>
            </a:ext>
          </a:extLst>
        </xdr:cNvPr>
        <xdr:cNvSpPr>
          <a:spLocks noChangeAspect="1" noChangeArrowheads="1"/>
        </xdr:cNvSpPr>
      </xdr:nvSpPr>
      <xdr:spPr bwMode="auto">
        <a:xfrm>
          <a:off x="17983200" y="390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38</xdr:col>
      <xdr:colOff>0</xdr:colOff>
      <xdr:row>20</xdr:row>
      <xdr:rowOff>0</xdr:rowOff>
    </xdr:from>
    <xdr:ext cx="304800" cy="304800"/>
    <xdr:sp macro="" textlink="">
      <xdr:nvSpPr>
        <xdr:cNvPr id="40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5000500-8649-4CFC-86EB-2D73E778EE01}"/>
            </a:ext>
          </a:extLst>
        </xdr:cNvPr>
        <xdr:cNvSpPr>
          <a:spLocks noChangeAspect="1" noChangeArrowheads="1"/>
        </xdr:cNvSpPr>
      </xdr:nvSpPr>
      <xdr:spPr bwMode="auto">
        <a:xfrm>
          <a:off x="17983200" y="390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38</xdr:col>
      <xdr:colOff>0</xdr:colOff>
      <xdr:row>20</xdr:row>
      <xdr:rowOff>0</xdr:rowOff>
    </xdr:from>
    <xdr:ext cx="304800" cy="304800"/>
    <xdr:sp macro="" textlink="">
      <xdr:nvSpPr>
        <xdr:cNvPr id="40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D9A1676-AFC5-4541-88F2-5200ACC5945E}"/>
            </a:ext>
          </a:extLst>
        </xdr:cNvPr>
        <xdr:cNvSpPr>
          <a:spLocks noChangeAspect="1" noChangeArrowheads="1"/>
        </xdr:cNvSpPr>
      </xdr:nvSpPr>
      <xdr:spPr bwMode="auto">
        <a:xfrm>
          <a:off x="17983200" y="390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38</xdr:col>
      <xdr:colOff>0</xdr:colOff>
      <xdr:row>20</xdr:row>
      <xdr:rowOff>0</xdr:rowOff>
    </xdr:from>
    <xdr:ext cx="304800" cy="304800"/>
    <xdr:sp macro="" textlink="">
      <xdr:nvSpPr>
        <xdr:cNvPr id="40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C6E292E-ECA9-4578-B120-5A5432EDBBE7}"/>
            </a:ext>
          </a:extLst>
        </xdr:cNvPr>
        <xdr:cNvSpPr>
          <a:spLocks noChangeAspect="1" noChangeArrowheads="1"/>
        </xdr:cNvSpPr>
      </xdr:nvSpPr>
      <xdr:spPr bwMode="auto">
        <a:xfrm>
          <a:off x="17983200" y="390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38</xdr:col>
      <xdr:colOff>0</xdr:colOff>
      <xdr:row>20</xdr:row>
      <xdr:rowOff>0</xdr:rowOff>
    </xdr:from>
    <xdr:ext cx="304800" cy="304800"/>
    <xdr:sp macro="" textlink="">
      <xdr:nvSpPr>
        <xdr:cNvPr id="40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6F559DF-A05C-43DF-B1F0-82E22E7FBAD8}"/>
            </a:ext>
          </a:extLst>
        </xdr:cNvPr>
        <xdr:cNvSpPr>
          <a:spLocks noChangeAspect="1" noChangeArrowheads="1"/>
        </xdr:cNvSpPr>
      </xdr:nvSpPr>
      <xdr:spPr bwMode="auto">
        <a:xfrm>
          <a:off x="17983200" y="390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38</xdr:col>
      <xdr:colOff>0</xdr:colOff>
      <xdr:row>20</xdr:row>
      <xdr:rowOff>0</xdr:rowOff>
    </xdr:from>
    <xdr:ext cx="304800" cy="304800"/>
    <xdr:sp macro="" textlink="">
      <xdr:nvSpPr>
        <xdr:cNvPr id="40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F40F18C-652D-4D60-9DD9-BC6E6AEF19C2}"/>
            </a:ext>
          </a:extLst>
        </xdr:cNvPr>
        <xdr:cNvSpPr>
          <a:spLocks noChangeAspect="1" noChangeArrowheads="1"/>
        </xdr:cNvSpPr>
      </xdr:nvSpPr>
      <xdr:spPr bwMode="auto">
        <a:xfrm>
          <a:off x="17983200" y="3905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38</xdr:col>
      <xdr:colOff>0</xdr:colOff>
      <xdr:row>28</xdr:row>
      <xdr:rowOff>0</xdr:rowOff>
    </xdr:from>
    <xdr:ext cx="304800" cy="304800"/>
    <xdr:sp macro="" textlink="">
      <xdr:nvSpPr>
        <xdr:cNvPr id="41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06FE1AE-11B4-4B63-9901-ACD9537B99D5}"/>
            </a:ext>
          </a:extLst>
        </xdr:cNvPr>
        <xdr:cNvSpPr>
          <a:spLocks noChangeAspect="1" noChangeArrowheads="1"/>
        </xdr:cNvSpPr>
      </xdr:nvSpPr>
      <xdr:spPr bwMode="auto">
        <a:xfrm>
          <a:off x="17983200" y="5429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38</xdr:col>
      <xdr:colOff>0</xdr:colOff>
      <xdr:row>28</xdr:row>
      <xdr:rowOff>0</xdr:rowOff>
    </xdr:from>
    <xdr:ext cx="304800" cy="304800"/>
    <xdr:sp macro="" textlink="">
      <xdr:nvSpPr>
        <xdr:cNvPr id="41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02F8A06-2E66-4823-AEF8-A1FAA63A2607}"/>
            </a:ext>
          </a:extLst>
        </xdr:cNvPr>
        <xdr:cNvSpPr>
          <a:spLocks noChangeAspect="1" noChangeArrowheads="1"/>
        </xdr:cNvSpPr>
      </xdr:nvSpPr>
      <xdr:spPr bwMode="auto">
        <a:xfrm>
          <a:off x="17983200" y="5429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38</xdr:col>
      <xdr:colOff>0</xdr:colOff>
      <xdr:row>28</xdr:row>
      <xdr:rowOff>0</xdr:rowOff>
    </xdr:from>
    <xdr:ext cx="304800" cy="304800"/>
    <xdr:sp macro="" textlink="">
      <xdr:nvSpPr>
        <xdr:cNvPr id="41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5F39F42-811C-452E-8E41-D9B2FA1D1329}"/>
            </a:ext>
          </a:extLst>
        </xdr:cNvPr>
        <xdr:cNvSpPr>
          <a:spLocks noChangeAspect="1" noChangeArrowheads="1"/>
        </xdr:cNvSpPr>
      </xdr:nvSpPr>
      <xdr:spPr bwMode="auto">
        <a:xfrm>
          <a:off x="17983200" y="5429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38</xdr:col>
      <xdr:colOff>0</xdr:colOff>
      <xdr:row>28</xdr:row>
      <xdr:rowOff>0</xdr:rowOff>
    </xdr:from>
    <xdr:ext cx="304800" cy="304800"/>
    <xdr:sp macro="" textlink="">
      <xdr:nvSpPr>
        <xdr:cNvPr id="41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FB2B3E2-6DE4-49E1-BC1C-475AF1CCE0F9}"/>
            </a:ext>
          </a:extLst>
        </xdr:cNvPr>
        <xdr:cNvSpPr>
          <a:spLocks noChangeAspect="1" noChangeArrowheads="1"/>
        </xdr:cNvSpPr>
      </xdr:nvSpPr>
      <xdr:spPr bwMode="auto">
        <a:xfrm>
          <a:off x="17983200" y="5429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38</xdr:col>
      <xdr:colOff>0</xdr:colOff>
      <xdr:row>28</xdr:row>
      <xdr:rowOff>0</xdr:rowOff>
    </xdr:from>
    <xdr:ext cx="304800" cy="304800"/>
    <xdr:sp macro="" textlink="">
      <xdr:nvSpPr>
        <xdr:cNvPr id="41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1FBB95C-D2A5-4A57-B985-F84CBB3248F9}"/>
            </a:ext>
          </a:extLst>
        </xdr:cNvPr>
        <xdr:cNvSpPr>
          <a:spLocks noChangeAspect="1" noChangeArrowheads="1"/>
        </xdr:cNvSpPr>
      </xdr:nvSpPr>
      <xdr:spPr bwMode="auto">
        <a:xfrm>
          <a:off x="17983200" y="5429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38</xdr:col>
      <xdr:colOff>0</xdr:colOff>
      <xdr:row>28</xdr:row>
      <xdr:rowOff>0</xdr:rowOff>
    </xdr:from>
    <xdr:ext cx="304800" cy="304800"/>
    <xdr:sp macro="" textlink="">
      <xdr:nvSpPr>
        <xdr:cNvPr id="41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9F23968-BB7D-4420-B04D-876C85FE8C8D}"/>
            </a:ext>
          </a:extLst>
        </xdr:cNvPr>
        <xdr:cNvSpPr>
          <a:spLocks noChangeAspect="1" noChangeArrowheads="1"/>
        </xdr:cNvSpPr>
      </xdr:nvSpPr>
      <xdr:spPr bwMode="auto">
        <a:xfrm>
          <a:off x="17983200" y="5429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38</xdr:col>
      <xdr:colOff>0</xdr:colOff>
      <xdr:row>28</xdr:row>
      <xdr:rowOff>0</xdr:rowOff>
    </xdr:from>
    <xdr:ext cx="304800" cy="304800"/>
    <xdr:sp macro="" textlink="">
      <xdr:nvSpPr>
        <xdr:cNvPr id="41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DFCCE74-22BA-4D2E-928B-072AAD907374}"/>
            </a:ext>
          </a:extLst>
        </xdr:cNvPr>
        <xdr:cNvSpPr>
          <a:spLocks noChangeAspect="1" noChangeArrowheads="1"/>
        </xdr:cNvSpPr>
      </xdr:nvSpPr>
      <xdr:spPr bwMode="auto">
        <a:xfrm>
          <a:off x="17983200" y="5429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38</xdr:col>
      <xdr:colOff>0</xdr:colOff>
      <xdr:row>28</xdr:row>
      <xdr:rowOff>0</xdr:rowOff>
    </xdr:from>
    <xdr:ext cx="304800" cy="304800"/>
    <xdr:sp macro="" textlink="">
      <xdr:nvSpPr>
        <xdr:cNvPr id="41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20914EB-2D09-480F-93F7-F5C445F1FAD8}"/>
            </a:ext>
          </a:extLst>
        </xdr:cNvPr>
        <xdr:cNvSpPr>
          <a:spLocks noChangeAspect="1" noChangeArrowheads="1"/>
        </xdr:cNvSpPr>
      </xdr:nvSpPr>
      <xdr:spPr bwMode="auto">
        <a:xfrm>
          <a:off x="17983200" y="5429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38</xdr:col>
      <xdr:colOff>0</xdr:colOff>
      <xdr:row>28</xdr:row>
      <xdr:rowOff>0</xdr:rowOff>
    </xdr:from>
    <xdr:ext cx="304800" cy="304800"/>
    <xdr:sp macro="" textlink="">
      <xdr:nvSpPr>
        <xdr:cNvPr id="41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9A66E89-A190-4017-B130-BE7D6047441F}"/>
            </a:ext>
          </a:extLst>
        </xdr:cNvPr>
        <xdr:cNvSpPr>
          <a:spLocks noChangeAspect="1" noChangeArrowheads="1"/>
        </xdr:cNvSpPr>
      </xdr:nvSpPr>
      <xdr:spPr bwMode="auto">
        <a:xfrm>
          <a:off x="17983200" y="5429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38</xdr:col>
      <xdr:colOff>0</xdr:colOff>
      <xdr:row>28</xdr:row>
      <xdr:rowOff>0</xdr:rowOff>
    </xdr:from>
    <xdr:ext cx="304800" cy="304800"/>
    <xdr:sp macro="" textlink="">
      <xdr:nvSpPr>
        <xdr:cNvPr id="41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E106759-7D63-4549-BA03-5A88740B439F}"/>
            </a:ext>
          </a:extLst>
        </xdr:cNvPr>
        <xdr:cNvSpPr>
          <a:spLocks noChangeAspect="1" noChangeArrowheads="1"/>
        </xdr:cNvSpPr>
      </xdr:nvSpPr>
      <xdr:spPr bwMode="auto">
        <a:xfrm>
          <a:off x="17983200" y="5429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38</xdr:col>
      <xdr:colOff>0</xdr:colOff>
      <xdr:row>28</xdr:row>
      <xdr:rowOff>0</xdr:rowOff>
    </xdr:from>
    <xdr:ext cx="304800" cy="304800"/>
    <xdr:sp macro="" textlink="">
      <xdr:nvSpPr>
        <xdr:cNvPr id="42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CD80A1D-B441-4E23-B8F4-864DC2068EA1}"/>
            </a:ext>
          </a:extLst>
        </xdr:cNvPr>
        <xdr:cNvSpPr>
          <a:spLocks noChangeAspect="1" noChangeArrowheads="1"/>
        </xdr:cNvSpPr>
      </xdr:nvSpPr>
      <xdr:spPr bwMode="auto">
        <a:xfrm>
          <a:off x="17983200" y="5429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38</xdr:col>
      <xdr:colOff>0</xdr:colOff>
      <xdr:row>28</xdr:row>
      <xdr:rowOff>0</xdr:rowOff>
    </xdr:from>
    <xdr:ext cx="304800" cy="304800"/>
    <xdr:sp macro="" textlink="">
      <xdr:nvSpPr>
        <xdr:cNvPr id="42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8298E7D-9D71-453A-B4D6-7F93D006BD2B}"/>
            </a:ext>
          </a:extLst>
        </xdr:cNvPr>
        <xdr:cNvSpPr>
          <a:spLocks noChangeAspect="1" noChangeArrowheads="1"/>
        </xdr:cNvSpPr>
      </xdr:nvSpPr>
      <xdr:spPr bwMode="auto">
        <a:xfrm>
          <a:off x="17983200" y="5429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38</xdr:col>
      <xdr:colOff>0</xdr:colOff>
      <xdr:row>28</xdr:row>
      <xdr:rowOff>0</xdr:rowOff>
    </xdr:from>
    <xdr:ext cx="304800" cy="304800"/>
    <xdr:sp macro="" textlink="">
      <xdr:nvSpPr>
        <xdr:cNvPr id="42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EDAADF1-D159-4276-877A-3FBFD9AB93E3}"/>
            </a:ext>
          </a:extLst>
        </xdr:cNvPr>
        <xdr:cNvSpPr>
          <a:spLocks noChangeAspect="1" noChangeArrowheads="1"/>
        </xdr:cNvSpPr>
      </xdr:nvSpPr>
      <xdr:spPr bwMode="auto">
        <a:xfrm>
          <a:off x="17983200" y="5429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38</xdr:col>
      <xdr:colOff>0</xdr:colOff>
      <xdr:row>28</xdr:row>
      <xdr:rowOff>0</xdr:rowOff>
    </xdr:from>
    <xdr:ext cx="304800" cy="304800"/>
    <xdr:sp macro="" textlink="">
      <xdr:nvSpPr>
        <xdr:cNvPr id="42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B673C9D-20DC-4A9F-B3AE-68AC44AED113}"/>
            </a:ext>
          </a:extLst>
        </xdr:cNvPr>
        <xdr:cNvSpPr>
          <a:spLocks noChangeAspect="1" noChangeArrowheads="1"/>
        </xdr:cNvSpPr>
      </xdr:nvSpPr>
      <xdr:spPr bwMode="auto">
        <a:xfrm>
          <a:off x="17983200" y="5429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38</xdr:col>
      <xdr:colOff>0</xdr:colOff>
      <xdr:row>28</xdr:row>
      <xdr:rowOff>0</xdr:rowOff>
    </xdr:from>
    <xdr:ext cx="304800" cy="304800"/>
    <xdr:sp macro="" textlink="">
      <xdr:nvSpPr>
        <xdr:cNvPr id="42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0E0EA6A-CB51-432D-BB29-2094CE883208}"/>
            </a:ext>
          </a:extLst>
        </xdr:cNvPr>
        <xdr:cNvSpPr>
          <a:spLocks noChangeAspect="1" noChangeArrowheads="1"/>
        </xdr:cNvSpPr>
      </xdr:nvSpPr>
      <xdr:spPr bwMode="auto">
        <a:xfrm>
          <a:off x="17983200" y="5429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38</xdr:col>
      <xdr:colOff>0</xdr:colOff>
      <xdr:row>28</xdr:row>
      <xdr:rowOff>0</xdr:rowOff>
    </xdr:from>
    <xdr:ext cx="304800" cy="304800"/>
    <xdr:sp macro="" textlink="">
      <xdr:nvSpPr>
        <xdr:cNvPr id="42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3D866BF-A821-4253-8B02-D7934168B7F5}"/>
            </a:ext>
          </a:extLst>
        </xdr:cNvPr>
        <xdr:cNvSpPr>
          <a:spLocks noChangeAspect="1" noChangeArrowheads="1"/>
        </xdr:cNvSpPr>
      </xdr:nvSpPr>
      <xdr:spPr bwMode="auto">
        <a:xfrm>
          <a:off x="17983200" y="5429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38</xdr:col>
      <xdr:colOff>0</xdr:colOff>
      <xdr:row>28</xdr:row>
      <xdr:rowOff>0</xdr:rowOff>
    </xdr:from>
    <xdr:ext cx="304800" cy="304800"/>
    <xdr:sp macro="" textlink="">
      <xdr:nvSpPr>
        <xdr:cNvPr id="42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E59C7C9-B0A3-4288-9BDA-CE4AC491F471}"/>
            </a:ext>
          </a:extLst>
        </xdr:cNvPr>
        <xdr:cNvSpPr>
          <a:spLocks noChangeAspect="1" noChangeArrowheads="1"/>
        </xdr:cNvSpPr>
      </xdr:nvSpPr>
      <xdr:spPr bwMode="auto">
        <a:xfrm>
          <a:off x="17983200" y="5429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38</xdr:col>
      <xdr:colOff>0</xdr:colOff>
      <xdr:row>28</xdr:row>
      <xdr:rowOff>0</xdr:rowOff>
    </xdr:from>
    <xdr:ext cx="304800" cy="304800"/>
    <xdr:sp macro="" textlink="">
      <xdr:nvSpPr>
        <xdr:cNvPr id="42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66019D9-EB24-4295-B267-2B4D8A7FAAF7}"/>
            </a:ext>
          </a:extLst>
        </xdr:cNvPr>
        <xdr:cNvSpPr>
          <a:spLocks noChangeAspect="1" noChangeArrowheads="1"/>
        </xdr:cNvSpPr>
      </xdr:nvSpPr>
      <xdr:spPr bwMode="auto">
        <a:xfrm>
          <a:off x="17983200" y="5429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38</xdr:col>
      <xdr:colOff>0</xdr:colOff>
      <xdr:row>28</xdr:row>
      <xdr:rowOff>0</xdr:rowOff>
    </xdr:from>
    <xdr:ext cx="304800" cy="304800"/>
    <xdr:sp macro="" textlink="">
      <xdr:nvSpPr>
        <xdr:cNvPr id="42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40928A4-53FC-450D-8189-5FBC92AE6F33}"/>
            </a:ext>
          </a:extLst>
        </xdr:cNvPr>
        <xdr:cNvSpPr>
          <a:spLocks noChangeAspect="1" noChangeArrowheads="1"/>
        </xdr:cNvSpPr>
      </xdr:nvSpPr>
      <xdr:spPr bwMode="auto">
        <a:xfrm>
          <a:off x="17983200" y="5429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38</xdr:col>
      <xdr:colOff>0</xdr:colOff>
      <xdr:row>28</xdr:row>
      <xdr:rowOff>0</xdr:rowOff>
    </xdr:from>
    <xdr:ext cx="304800" cy="304800"/>
    <xdr:sp macro="" textlink="">
      <xdr:nvSpPr>
        <xdr:cNvPr id="42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24D0D96-0995-4F61-BB76-A69F35915E8F}"/>
            </a:ext>
          </a:extLst>
        </xdr:cNvPr>
        <xdr:cNvSpPr>
          <a:spLocks noChangeAspect="1" noChangeArrowheads="1"/>
        </xdr:cNvSpPr>
      </xdr:nvSpPr>
      <xdr:spPr bwMode="auto">
        <a:xfrm>
          <a:off x="17983200" y="5429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38</xdr:col>
      <xdr:colOff>0</xdr:colOff>
      <xdr:row>28</xdr:row>
      <xdr:rowOff>0</xdr:rowOff>
    </xdr:from>
    <xdr:ext cx="304800" cy="304800"/>
    <xdr:sp macro="" textlink="">
      <xdr:nvSpPr>
        <xdr:cNvPr id="43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11A163F-2D89-4FEA-B685-88B8A4D7D89C}"/>
            </a:ext>
          </a:extLst>
        </xdr:cNvPr>
        <xdr:cNvSpPr>
          <a:spLocks noChangeAspect="1" noChangeArrowheads="1"/>
        </xdr:cNvSpPr>
      </xdr:nvSpPr>
      <xdr:spPr bwMode="auto">
        <a:xfrm>
          <a:off x="17983200" y="5429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38</xdr:col>
      <xdr:colOff>0</xdr:colOff>
      <xdr:row>28</xdr:row>
      <xdr:rowOff>0</xdr:rowOff>
    </xdr:from>
    <xdr:ext cx="304800" cy="304800"/>
    <xdr:sp macro="" textlink="">
      <xdr:nvSpPr>
        <xdr:cNvPr id="43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98BA810-59B5-4628-9093-704033BC2F41}"/>
            </a:ext>
          </a:extLst>
        </xdr:cNvPr>
        <xdr:cNvSpPr>
          <a:spLocks noChangeAspect="1" noChangeArrowheads="1"/>
        </xdr:cNvSpPr>
      </xdr:nvSpPr>
      <xdr:spPr bwMode="auto">
        <a:xfrm>
          <a:off x="17983200" y="5429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38</xdr:col>
      <xdr:colOff>0</xdr:colOff>
      <xdr:row>28</xdr:row>
      <xdr:rowOff>0</xdr:rowOff>
    </xdr:from>
    <xdr:ext cx="304800" cy="304800"/>
    <xdr:sp macro="" textlink="">
      <xdr:nvSpPr>
        <xdr:cNvPr id="43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1414DB8-5406-4597-9EDE-4965EBFC919D}"/>
            </a:ext>
          </a:extLst>
        </xdr:cNvPr>
        <xdr:cNvSpPr>
          <a:spLocks noChangeAspect="1" noChangeArrowheads="1"/>
        </xdr:cNvSpPr>
      </xdr:nvSpPr>
      <xdr:spPr bwMode="auto">
        <a:xfrm>
          <a:off x="17983200" y="5429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38</xdr:col>
      <xdr:colOff>0</xdr:colOff>
      <xdr:row>28</xdr:row>
      <xdr:rowOff>0</xdr:rowOff>
    </xdr:from>
    <xdr:ext cx="304800" cy="304800"/>
    <xdr:sp macro="" textlink="">
      <xdr:nvSpPr>
        <xdr:cNvPr id="43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EA26A4B-FCDE-4B12-95DB-C3101E1D0136}"/>
            </a:ext>
          </a:extLst>
        </xdr:cNvPr>
        <xdr:cNvSpPr>
          <a:spLocks noChangeAspect="1" noChangeArrowheads="1"/>
        </xdr:cNvSpPr>
      </xdr:nvSpPr>
      <xdr:spPr bwMode="auto">
        <a:xfrm>
          <a:off x="17983200" y="5429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38</xdr:col>
      <xdr:colOff>0</xdr:colOff>
      <xdr:row>28</xdr:row>
      <xdr:rowOff>0</xdr:rowOff>
    </xdr:from>
    <xdr:ext cx="304800" cy="304800"/>
    <xdr:sp macro="" textlink="">
      <xdr:nvSpPr>
        <xdr:cNvPr id="43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D8B30FC-6C2E-408E-A8F1-BB5523ED1604}"/>
            </a:ext>
          </a:extLst>
        </xdr:cNvPr>
        <xdr:cNvSpPr>
          <a:spLocks noChangeAspect="1" noChangeArrowheads="1"/>
        </xdr:cNvSpPr>
      </xdr:nvSpPr>
      <xdr:spPr bwMode="auto">
        <a:xfrm>
          <a:off x="17983200" y="5429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38</xdr:col>
      <xdr:colOff>0</xdr:colOff>
      <xdr:row>28</xdr:row>
      <xdr:rowOff>0</xdr:rowOff>
    </xdr:from>
    <xdr:ext cx="304800" cy="304800"/>
    <xdr:sp macro="" textlink="">
      <xdr:nvSpPr>
        <xdr:cNvPr id="43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9708215-7AAF-4B55-880E-CD29511BB93D}"/>
            </a:ext>
          </a:extLst>
        </xdr:cNvPr>
        <xdr:cNvSpPr>
          <a:spLocks noChangeAspect="1" noChangeArrowheads="1"/>
        </xdr:cNvSpPr>
      </xdr:nvSpPr>
      <xdr:spPr bwMode="auto">
        <a:xfrm>
          <a:off x="17983200" y="5429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38</xdr:col>
      <xdr:colOff>0</xdr:colOff>
      <xdr:row>28</xdr:row>
      <xdr:rowOff>0</xdr:rowOff>
    </xdr:from>
    <xdr:ext cx="304800" cy="304800"/>
    <xdr:sp macro="" textlink="">
      <xdr:nvSpPr>
        <xdr:cNvPr id="43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C86F017-E31D-46AF-B61E-2060B07AA9AB}"/>
            </a:ext>
          </a:extLst>
        </xdr:cNvPr>
        <xdr:cNvSpPr>
          <a:spLocks noChangeAspect="1" noChangeArrowheads="1"/>
        </xdr:cNvSpPr>
      </xdr:nvSpPr>
      <xdr:spPr bwMode="auto">
        <a:xfrm>
          <a:off x="17983200" y="5429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38</xdr:col>
      <xdr:colOff>0</xdr:colOff>
      <xdr:row>28</xdr:row>
      <xdr:rowOff>0</xdr:rowOff>
    </xdr:from>
    <xdr:ext cx="304800" cy="304800"/>
    <xdr:sp macro="" textlink="">
      <xdr:nvSpPr>
        <xdr:cNvPr id="43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1F71EC8-74F8-4884-BFE1-68161CED37F3}"/>
            </a:ext>
          </a:extLst>
        </xdr:cNvPr>
        <xdr:cNvSpPr>
          <a:spLocks noChangeAspect="1" noChangeArrowheads="1"/>
        </xdr:cNvSpPr>
      </xdr:nvSpPr>
      <xdr:spPr bwMode="auto">
        <a:xfrm>
          <a:off x="17983200" y="5429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101</xdr:row>
      <xdr:rowOff>0</xdr:rowOff>
    </xdr:from>
    <xdr:ext cx="304800" cy="304800"/>
    <xdr:sp macro="" textlink="">
      <xdr:nvSpPr>
        <xdr:cNvPr id="43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345BF9F-D823-42D7-81AB-41D1AC73BE7E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345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101</xdr:row>
      <xdr:rowOff>0</xdr:rowOff>
    </xdr:from>
    <xdr:ext cx="304800" cy="304800"/>
    <xdr:sp macro="" textlink="">
      <xdr:nvSpPr>
        <xdr:cNvPr id="43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19BAF17-C7D0-4AB0-8A2A-9C7A79A5CBE6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345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101</xdr:row>
      <xdr:rowOff>0</xdr:rowOff>
    </xdr:from>
    <xdr:ext cx="304800" cy="304800"/>
    <xdr:sp macro="" textlink="">
      <xdr:nvSpPr>
        <xdr:cNvPr id="44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1BD4D50-7214-4B14-AAFE-41517A434FCE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345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101</xdr:row>
      <xdr:rowOff>0</xdr:rowOff>
    </xdr:from>
    <xdr:ext cx="304800" cy="304800"/>
    <xdr:sp macro="" textlink="">
      <xdr:nvSpPr>
        <xdr:cNvPr id="44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8907206-5F9D-4BE0-B5A4-8BBCBBE3202D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345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101</xdr:row>
      <xdr:rowOff>0</xdr:rowOff>
    </xdr:from>
    <xdr:ext cx="304800" cy="304800"/>
    <xdr:sp macro="" textlink="">
      <xdr:nvSpPr>
        <xdr:cNvPr id="44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4022D65-3097-4DFB-B1A3-C13D8836D20C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345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101</xdr:row>
      <xdr:rowOff>0</xdr:rowOff>
    </xdr:from>
    <xdr:ext cx="304800" cy="304800"/>
    <xdr:sp macro="" textlink="">
      <xdr:nvSpPr>
        <xdr:cNvPr id="44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C4093AB-2399-4AF3-BB22-9C6C394B7F4A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345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101</xdr:row>
      <xdr:rowOff>0</xdr:rowOff>
    </xdr:from>
    <xdr:ext cx="304800" cy="304800"/>
    <xdr:sp macro="" textlink="">
      <xdr:nvSpPr>
        <xdr:cNvPr id="44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6A05FB7-5A0A-4718-8648-0837873A5E47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345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101</xdr:row>
      <xdr:rowOff>0</xdr:rowOff>
    </xdr:from>
    <xdr:ext cx="304800" cy="304800"/>
    <xdr:sp macro="" textlink="">
      <xdr:nvSpPr>
        <xdr:cNvPr id="44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D511AEC-7A8A-4855-98D9-49F233982B2F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345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101</xdr:row>
      <xdr:rowOff>0</xdr:rowOff>
    </xdr:from>
    <xdr:ext cx="304800" cy="304800"/>
    <xdr:sp macro="" textlink="">
      <xdr:nvSpPr>
        <xdr:cNvPr id="44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83C0D82-2B3A-4350-83FF-93282A55B853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345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101</xdr:row>
      <xdr:rowOff>0</xdr:rowOff>
    </xdr:from>
    <xdr:ext cx="304800" cy="304800"/>
    <xdr:sp macro="" textlink="">
      <xdr:nvSpPr>
        <xdr:cNvPr id="44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1499B6B-C83C-4F76-BBF3-093A289EF024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345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101</xdr:row>
      <xdr:rowOff>0</xdr:rowOff>
    </xdr:from>
    <xdr:ext cx="304800" cy="304800"/>
    <xdr:sp macro="" textlink="">
      <xdr:nvSpPr>
        <xdr:cNvPr id="44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A20C865-E985-4000-B791-BBC4117DD7CF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345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101</xdr:row>
      <xdr:rowOff>0</xdr:rowOff>
    </xdr:from>
    <xdr:ext cx="304800" cy="304800"/>
    <xdr:sp macro="" textlink="">
      <xdr:nvSpPr>
        <xdr:cNvPr id="44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068370B-8F40-431D-8405-5ECDAF6B1F6C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345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101</xdr:row>
      <xdr:rowOff>0</xdr:rowOff>
    </xdr:from>
    <xdr:ext cx="304800" cy="304800"/>
    <xdr:sp macro="" textlink="">
      <xdr:nvSpPr>
        <xdr:cNvPr id="45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EC51674-DEA8-463E-9376-5E01E6205B24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345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101</xdr:row>
      <xdr:rowOff>0</xdr:rowOff>
    </xdr:from>
    <xdr:ext cx="304800" cy="304800"/>
    <xdr:sp macro="" textlink="">
      <xdr:nvSpPr>
        <xdr:cNvPr id="45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2405F39-E964-436D-8DC1-4E4E00081A26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345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101</xdr:row>
      <xdr:rowOff>0</xdr:rowOff>
    </xdr:from>
    <xdr:ext cx="304800" cy="304800"/>
    <xdr:sp macro="" textlink="">
      <xdr:nvSpPr>
        <xdr:cNvPr id="45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06FDD49-D028-45B9-81CA-568F6ECF479F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345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101</xdr:row>
      <xdr:rowOff>0</xdr:rowOff>
    </xdr:from>
    <xdr:ext cx="304800" cy="304800"/>
    <xdr:sp macro="" textlink="">
      <xdr:nvSpPr>
        <xdr:cNvPr id="45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37469F7-2894-48E0-814B-4006C588E6A8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345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101</xdr:row>
      <xdr:rowOff>0</xdr:rowOff>
    </xdr:from>
    <xdr:ext cx="304800" cy="304800"/>
    <xdr:sp macro="" textlink="">
      <xdr:nvSpPr>
        <xdr:cNvPr id="45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C8A0E63-D8AF-4903-94CC-029411A9D60A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345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101</xdr:row>
      <xdr:rowOff>0</xdr:rowOff>
    </xdr:from>
    <xdr:ext cx="304800" cy="304800"/>
    <xdr:sp macro="" textlink="">
      <xdr:nvSpPr>
        <xdr:cNvPr id="45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600B91B-CB0F-41AF-BBFB-2E7BEA7EB0E6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345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101</xdr:row>
      <xdr:rowOff>0</xdr:rowOff>
    </xdr:from>
    <xdr:ext cx="304800" cy="304800"/>
    <xdr:sp macro="" textlink="">
      <xdr:nvSpPr>
        <xdr:cNvPr id="45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9C6B77B-645B-4BAD-9053-CEFEC7F7DC3D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345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101</xdr:row>
      <xdr:rowOff>0</xdr:rowOff>
    </xdr:from>
    <xdr:ext cx="304800" cy="304800"/>
    <xdr:sp macro="" textlink="">
      <xdr:nvSpPr>
        <xdr:cNvPr id="45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74153A6-5ED2-457B-8631-395709212D46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345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101</xdr:row>
      <xdr:rowOff>0</xdr:rowOff>
    </xdr:from>
    <xdr:ext cx="304800" cy="304800"/>
    <xdr:sp macro="" textlink="">
      <xdr:nvSpPr>
        <xdr:cNvPr id="45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CB4830B-4E4B-438E-8970-EBF57A0EF341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345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101</xdr:row>
      <xdr:rowOff>0</xdr:rowOff>
    </xdr:from>
    <xdr:ext cx="304800" cy="304800"/>
    <xdr:sp macro="" textlink="">
      <xdr:nvSpPr>
        <xdr:cNvPr id="45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411ECBE-92CE-408C-97ED-7EA7F0928773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345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101</xdr:row>
      <xdr:rowOff>0</xdr:rowOff>
    </xdr:from>
    <xdr:ext cx="304800" cy="304800"/>
    <xdr:sp macro="" textlink="">
      <xdr:nvSpPr>
        <xdr:cNvPr id="46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7C4FB00-EC7E-4D03-84F5-3351F1635DC1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345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101</xdr:row>
      <xdr:rowOff>0</xdr:rowOff>
    </xdr:from>
    <xdr:ext cx="304800" cy="304800"/>
    <xdr:sp macro="" textlink="">
      <xdr:nvSpPr>
        <xdr:cNvPr id="46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6081B31-805B-43D3-B93D-807C86EC7B64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345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101</xdr:row>
      <xdr:rowOff>0</xdr:rowOff>
    </xdr:from>
    <xdr:ext cx="304800" cy="304800"/>
    <xdr:sp macro="" textlink="">
      <xdr:nvSpPr>
        <xdr:cNvPr id="46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33FA0F4-F0DC-4167-BC01-D4672C4EB644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345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101</xdr:row>
      <xdr:rowOff>0</xdr:rowOff>
    </xdr:from>
    <xdr:ext cx="304800" cy="304800"/>
    <xdr:sp macro="" textlink="">
      <xdr:nvSpPr>
        <xdr:cNvPr id="46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356250F-BE4F-4AD6-9054-7FCDB52EADA5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345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101</xdr:row>
      <xdr:rowOff>0</xdr:rowOff>
    </xdr:from>
    <xdr:ext cx="304800" cy="304800"/>
    <xdr:sp macro="" textlink="">
      <xdr:nvSpPr>
        <xdr:cNvPr id="46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09F82C9-AF85-484D-8A9F-8A7C81623747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345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101</xdr:row>
      <xdr:rowOff>0</xdr:rowOff>
    </xdr:from>
    <xdr:ext cx="304800" cy="304800"/>
    <xdr:sp macro="" textlink="">
      <xdr:nvSpPr>
        <xdr:cNvPr id="46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FB8050C-0F69-4D07-A2A4-3DF36DC78929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345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101</xdr:row>
      <xdr:rowOff>0</xdr:rowOff>
    </xdr:from>
    <xdr:ext cx="304800" cy="304800"/>
    <xdr:sp macro="" textlink="">
      <xdr:nvSpPr>
        <xdr:cNvPr id="46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C66706D-6AB7-4CDD-8C27-9560F9C46B42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345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101</xdr:row>
      <xdr:rowOff>0</xdr:rowOff>
    </xdr:from>
    <xdr:ext cx="304800" cy="304800"/>
    <xdr:sp macro="" textlink="">
      <xdr:nvSpPr>
        <xdr:cNvPr id="46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819112D-A8F5-4A33-9D77-1F638419F80A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345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101</xdr:row>
      <xdr:rowOff>0</xdr:rowOff>
    </xdr:from>
    <xdr:ext cx="304800" cy="304800"/>
    <xdr:sp macro="" textlink="">
      <xdr:nvSpPr>
        <xdr:cNvPr id="46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394AC9C-A73B-458B-B9DB-D8C84C0B1729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345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101</xdr:row>
      <xdr:rowOff>0</xdr:rowOff>
    </xdr:from>
    <xdr:ext cx="304800" cy="304800"/>
    <xdr:sp macro="" textlink="">
      <xdr:nvSpPr>
        <xdr:cNvPr id="46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03887C5-0ED1-4AE3-801A-46F91652D9E9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345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101</xdr:row>
      <xdr:rowOff>0</xdr:rowOff>
    </xdr:from>
    <xdr:ext cx="304800" cy="304800"/>
    <xdr:sp macro="" textlink="">
      <xdr:nvSpPr>
        <xdr:cNvPr id="47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524D874-2B09-46D6-ADCB-7B53B87F2CE2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345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101</xdr:row>
      <xdr:rowOff>0</xdr:rowOff>
    </xdr:from>
    <xdr:ext cx="304800" cy="304800"/>
    <xdr:sp macro="" textlink="">
      <xdr:nvSpPr>
        <xdr:cNvPr id="47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EE1C265-59BA-40DE-9390-DECC8E930F31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345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101</xdr:row>
      <xdr:rowOff>0</xdr:rowOff>
    </xdr:from>
    <xdr:ext cx="304800" cy="304800"/>
    <xdr:sp macro="" textlink="">
      <xdr:nvSpPr>
        <xdr:cNvPr id="47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BDB696D-B7AA-4BBF-B60E-DDD2EB3D01E8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345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101</xdr:row>
      <xdr:rowOff>0</xdr:rowOff>
    </xdr:from>
    <xdr:ext cx="304800" cy="304800"/>
    <xdr:sp macro="" textlink="">
      <xdr:nvSpPr>
        <xdr:cNvPr id="47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4FDF439-769B-43E5-A640-3E54337568D9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345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101</xdr:row>
      <xdr:rowOff>0</xdr:rowOff>
    </xdr:from>
    <xdr:ext cx="304800" cy="304800"/>
    <xdr:sp macro="" textlink="">
      <xdr:nvSpPr>
        <xdr:cNvPr id="47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DAC7D9F-1769-4028-8ADA-B4A7C7C5B78C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345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101</xdr:row>
      <xdr:rowOff>0</xdr:rowOff>
    </xdr:from>
    <xdr:ext cx="304800" cy="304800"/>
    <xdr:sp macro="" textlink="">
      <xdr:nvSpPr>
        <xdr:cNvPr id="47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2156FA6-531C-4F72-A209-656787FAB9B7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345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101</xdr:row>
      <xdr:rowOff>0</xdr:rowOff>
    </xdr:from>
    <xdr:ext cx="304800" cy="304800"/>
    <xdr:sp macro="" textlink="">
      <xdr:nvSpPr>
        <xdr:cNvPr id="47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F93B765-AFED-4CEF-B038-FBE2EA0C527C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345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101</xdr:row>
      <xdr:rowOff>0</xdr:rowOff>
    </xdr:from>
    <xdr:ext cx="304800" cy="304800"/>
    <xdr:sp macro="" textlink="">
      <xdr:nvSpPr>
        <xdr:cNvPr id="47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93B7C74-6AC4-4380-A23F-B20A58E1B3D9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345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101</xdr:row>
      <xdr:rowOff>0</xdr:rowOff>
    </xdr:from>
    <xdr:ext cx="304800" cy="304800"/>
    <xdr:sp macro="" textlink="">
      <xdr:nvSpPr>
        <xdr:cNvPr id="47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178E599-DEBB-44D9-9C85-3742676691E6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345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101</xdr:row>
      <xdr:rowOff>0</xdr:rowOff>
    </xdr:from>
    <xdr:ext cx="304800" cy="304800"/>
    <xdr:sp macro="" textlink="">
      <xdr:nvSpPr>
        <xdr:cNvPr id="47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EF040FB-5D7E-4B8E-9AD0-DBF0C6167A77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345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101</xdr:row>
      <xdr:rowOff>0</xdr:rowOff>
    </xdr:from>
    <xdr:ext cx="304800" cy="304800"/>
    <xdr:sp macro="" textlink="">
      <xdr:nvSpPr>
        <xdr:cNvPr id="48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48D0F54-9579-4A0E-9286-BC45EDBC3C78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345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101</xdr:row>
      <xdr:rowOff>0</xdr:rowOff>
    </xdr:from>
    <xdr:ext cx="304800" cy="304800"/>
    <xdr:sp macro="" textlink="">
      <xdr:nvSpPr>
        <xdr:cNvPr id="48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B83BDF3-52AB-42F2-B3C4-ED5CF82BC508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345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101</xdr:row>
      <xdr:rowOff>0</xdr:rowOff>
    </xdr:from>
    <xdr:ext cx="304800" cy="304800"/>
    <xdr:sp macro="" textlink="">
      <xdr:nvSpPr>
        <xdr:cNvPr id="48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BA46F2C-3E77-490B-9A66-149FCC2D3261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345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101</xdr:row>
      <xdr:rowOff>0</xdr:rowOff>
    </xdr:from>
    <xdr:ext cx="304800" cy="304800"/>
    <xdr:sp macro="" textlink="">
      <xdr:nvSpPr>
        <xdr:cNvPr id="48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2660DFD-7E00-4495-AC08-8A1C61F2A98A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345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101</xdr:row>
      <xdr:rowOff>0</xdr:rowOff>
    </xdr:from>
    <xdr:ext cx="304800" cy="304800"/>
    <xdr:sp macro="" textlink="">
      <xdr:nvSpPr>
        <xdr:cNvPr id="48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559F1BA-C8FD-4EEF-88A1-3050C5F6E7E9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345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101</xdr:row>
      <xdr:rowOff>0</xdr:rowOff>
    </xdr:from>
    <xdr:ext cx="304800" cy="304800"/>
    <xdr:sp macro="" textlink="">
      <xdr:nvSpPr>
        <xdr:cNvPr id="48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9A5AB28-D6FF-47BF-B9E2-2672606A79BB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345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101</xdr:row>
      <xdr:rowOff>0</xdr:rowOff>
    </xdr:from>
    <xdr:ext cx="304800" cy="304800"/>
    <xdr:sp macro="" textlink="">
      <xdr:nvSpPr>
        <xdr:cNvPr id="48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4EEFD8A-932F-4BF8-B3E8-E30CBA999450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345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101</xdr:row>
      <xdr:rowOff>0</xdr:rowOff>
    </xdr:from>
    <xdr:ext cx="304800" cy="304800"/>
    <xdr:sp macro="" textlink="">
      <xdr:nvSpPr>
        <xdr:cNvPr id="48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B358B5F-0581-4EFE-BC89-0709279DCA8F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345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101</xdr:row>
      <xdr:rowOff>0</xdr:rowOff>
    </xdr:from>
    <xdr:ext cx="304800" cy="304800"/>
    <xdr:sp macro="" textlink="">
      <xdr:nvSpPr>
        <xdr:cNvPr id="48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F65EBC7-8D62-49E5-A954-B29E759AB521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345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101</xdr:row>
      <xdr:rowOff>0</xdr:rowOff>
    </xdr:from>
    <xdr:ext cx="304800" cy="304800"/>
    <xdr:sp macro="" textlink="">
      <xdr:nvSpPr>
        <xdr:cNvPr id="48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F520138-031D-4EBC-A8EC-6DD25E5CA5E5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345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101</xdr:row>
      <xdr:rowOff>0</xdr:rowOff>
    </xdr:from>
    <xdr:ext cx="304800" cy="304800"/>
    <xdr:sp macro="" textlink="">
      <xdr:nvSpPr>
        <xdr:cNvPr id="49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FB0F322-32AD-4A9E-8D73-C4D990255777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345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101</xdr:row>
      <xdr:rowOff>0</xdr:rowOff>
    </xdr:from>
    <xdr:ext cx="304800" cy="304800"/>
    <xdr:sp macro="" textlink="">
      <xdr:nvSpPr>
        <xdr:cNvPr id="49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9CECD5B-801A-4EA1-98C4-D598F98D5F7F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345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101</xdr:row>
      <xdr:rowOff>0</xdr:rowOff>
    </xdr:from>
    <xdr:ext cx="304800" cy="304800"/>
    <xdr:sp macro="" textlink="">
      <xdr:nvSpPr>
        <xdr:cNvPr id="49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5D4B3A0-77B4-4D5C-B4EC-A58892AA6830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345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101</xdr:row>
      <xdr:rowOff>0</xdr:rowOff>
    </xdr:from>
    <xdr:ext cx="304800" cy="304800"/>
    <xdr:sp macro="" textlink="">
      <xdr:nvSpPr>
        <xdr:cNvPr id="49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A82B30C-18F5-40B7-97D8-9060BE862E90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345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101</xdr:row>
      <xdr:rowOff>0</xdr:rowOff>
    </xdr:from>
    <xdr:ext cx="304800" cy="304800"/>
    <xdr:sp macro="" textlink="">
      <xdr:nvSpPr>
        <xdr:cNvPr id="49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9718C4B-199E-4CE2-8DE0-8E78523CC3AC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345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101</xdr:row>
      <xdr:rowOff>0</xdr:rowOff>
    </xdr:from>
    <xdr:ext cx="304800" cy="304800"/>
    <xdr:sp macro="" textlink="">
      <xdr:nvSpPr>
        <xdr:cNvPr id="49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92D34BE-4BA4-497E-9630-A3757B570765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345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101</xdr:row>
      <xdr:rowOff>0</xdr:rowOff>
    </xdr:from>
    <xdr:ext cx="304800" cy="304800"/>
    <xdr:sp macro="" textlink="">
      <xdr:nvSpPr>
        <xdr:cNvPr id="49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92B0BB4-9056-4AAF-B0E6-108E95D38D33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345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101</xdr:row>
      <xdr:rowOff>0</xdr:rowOff>
    </xdr:from>
    <xdr:ext cx="304800" cy="304800"/>
    <xdr:sp macro="" textlink="">
      <xdr:nvSpPr>
        <xdr:cNvPr id="49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86047B3-E6D3-4101-A462-54C32A97BCD7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345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101</xdr:row>
      <xdr:rowOff>0</xdr:rowOff>
    </xdr:from>
    <xdr:ext cx="304800" cy="304800"/>
    <xdr:sp macro="" textlink="">
      <xdr:nvSpPr>
        <xdr:cNvPr id="49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371524F-23F1-4E7E-B2CD-841BD66CAE75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345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101</xdr:row>
      <xdr:rowOff>0</xdr:rowOff>
    </xdr:from>
    <xdr:ext cx="304800" cy="304800"/>
    <xdr:sp macro="" textlink="">
      <xdr:nvSpPr>
        <xdr:cNvPr id="49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1AE1677-9CE3-4403-BEE5-CF4F752C1B19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345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101</xdr:row>
      <xdr:rowOff>0</xdr:rowOff>
    </xdr:from>
    <xdr:ext cx="304800" cy="304800"/>
    <xdr:sp macro="" textlink="">
      <xdr:nvSpPr>
        <xdr:cNvPr id="50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C569866-C3A9-479E-8457-428EF722DDA1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345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101</xdr:row>
      <xdr:rowOff>0</xdr:rowOff>
    </xdr:from>
    <xdr:ext cx="304800" cy="304800"/>
    <xdr:sp macro="" textlink="">
      <xdr:nvSpPr>
        <xdr:cNvPr id="50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8D2AA6D-83A3-4AC9-9AD7-AA4EDAE2366B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345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101</xdr:row>
      <xdr:rowOff>0</xdr:rowOff>
    </xdr:from>
    <xdr:ext cx="304800" cy="304800"/>
    <xdr:sp macro="" textlink="">
      <xdr:nvSpPr>
        <xdr:cNvPr id="50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5ADEAE5-6AE9-4468-AD68-BC2EA7B6E5F4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345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101</xdr:row>
      <xdr:rowOff>0</xdr:rowOff>
    </xdr:from>
    <xdr:ext cx="304800" cy="304800"/>
    <xdr:sp macro="" textlink="">
      <xdr:nvSpPr>
        <xdr:cNvPr id="50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6107153-F25A-4CF5-A3F0-B3980915A029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345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101</xdr:row>
      <xdr:rowOff>0</xdr:rowOff>
    </xdr:from>
    <xdr:ext cx="304800" cy="304800"/>
    <xdr:sp macro="" textlink="">
      <xdr:nvSpPr>
        <xdr:cNvPr id="50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EDD188B-27EF-428E-A2FA-D0D127C5457A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345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101</xdr:row>
      <xdr:rowOff>0</xdr:rowOff>
    </xdr:from>
    <xdr:ext cx="304800" cy="304800"/>
    <xdr:sp macro="" textlink="">
      <xdr:nvSpPr>
        <xdr:cNvPr id="50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1563E8C-5FD4-45A5-B68A-BCBD3CE1DAB9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345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101</xdr:row>
      <xdr:rowOff>0</xdr:rowOff>
    </xdr:from>
    <xdr:ext cx="304800" cy="304800"/>
    <xdr:sp macro="" textlink="">
      <xdr:nvSpPr>
        <xdr:cNvPr id="50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BE97CCA-C6D0-4FE0-A432-927D1108560C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345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101</xdr:row>
      <xdr:rowOff>0</xdr:rowOff>
    </xdr:from>
    <xdr:ext cx="304800" cy="304800"/>
    <xdr:sp macro="" textlink="">
      <xdr:nvSpPr>
        <xdr:cNvPr id="50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94D3301-DF20-427A-9AC1-F5A3570B689C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345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101</xdr:row>
      <xdr:rowOff>0</xdr:rowOff>
    </xdr:from>
    <xdr:ext cx="304800" cy="304800"/>
    <xdr:sp macro="" textlink="">
      <xdr:nvSpPr>
        <xdr:cNvPr id="50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56509BD-ECE3-4035-8214-2594107C4957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345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101</xdr:row>
      <xdr:rowOff>0</xdr:rowOff>
    </xdr:from>
    <xdr:ext cx="304800" cy="304800"/>
    <xdr:sp macro="" textlink="">
      <xdr:nvSpPr>
        <xdr:cNvPr id="50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856CD0B-327D-435F-A141-CC16452718E6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345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101</xdr:row>
      <xdr:rowOff>0</xdr:rowOff>
    </xdr:from>
    <xdr:ext cx="304800" cy="304800"/>
    <xdr:sp macro="" textlink="">
      <xdr:nvSpPr>
        <xdr:cNvPr id="51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D710CCA-36AA-4C24-9288-46CFE837BB28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345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101</xdr:row>
      <xdr:rowOff>0</xdr:rowOff>
    </xdr:from>
    <xdr:ext cx="304800" cy="304800"/>
    <xdr:sp macro="" textlink="">
      <xdr:nvSpPr>
        <xdr:cNvPr id="51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7EE477B-F04E-45DA-A610-ACCD5D0AA512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345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101</xdr:row>
      <xdr:rowOff>0</xdr:rowOff>
    </xdr:from>
    <xdr:ext cx="304800" cy="304800"/>
    <xdr:sp macro="" textlink="">
      <xdr:nvSpPr>
        <xdr:cNvPr id="51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574B27E-7997-4546-9B94-C7C507B7251C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345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101</xdr:row>
      <xdr:rowOff>0</xdr:rowOff>
    </xdr:from>
    <xdr:ext cx="304800" cy="304800"/>
    <xdr:sp macro="" textlink="">
      <xdr:nvSpPr>
        <xdr:cNvPr id="51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D5BA14D-6857-464E-9AD1-7326D96A61F5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345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101</xdr:row>
      <xdr:rowOff>0</xdr:rowOff>
    </xdr:from>
    <xdr:ext cx="304800" cy="304800"/>
    <xdr:sp macro="" textlink="">
      <xdr:nvSpPr>
        <xdr:cNvPr id="51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E60F7E2-51EF-4E2E-AD07-35DBF342A815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345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101</xdr:row>
      <xdr:rowOff>0</xdr:rowOff>
    </xdr:from>
    <xdr:ext cx="304800" cy="304800"/>
    <xdr:sp macro="" textlink="">
      <xdr:nvSpPr>
        <xdr:cNvPr id="51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E11996E-90C8-4BFC-9C63-8C99E63DFE0B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345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101</xdr:row>
      <xdr:rowOff>0</xdr:rowOff>
    </xdr:from>
    <xdr:ext cx="304800" cy="304800"/>
    <xdr:sp macro="" textlink="">
      <xdr:nvSpPr>
        <xdr:cNvPr id="51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265662B-6801-4277-8C9D-E88D3ABFFF0E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345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101</xdr:row>
      <xdr:rowOff>0</xdr:rowOff>
    </xdr:from>
    <xdr:ext cx="304800" cy="304800"/>
    <xdr:sp macro="" textlink="">
      <xdr:nvSpPr>
        <xdr:cNvPr id="51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CB217F2-513F-4185-9B72-7733FB0D4857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345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101</xdr:row>
      <xdr:rowOff>0</xdr:rowOff>
    </xdr:from>
    <xdr:ext cx="304800" cy="304800"/>
    <xdr:sp macro="" textlink="">
      <xdr:nvSpPr>
        <xdr:cNvPr id="51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912A9F8-5718-457E-A907-0C1485170567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345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101</xdr:row>
      <xdr:rowOff>0</xdr:rowOff>
    </xdr:from>
    <xdr:ext cx="304800" cy="304800"/>
    <xdr:sp macro="" textlink="">
      <xdr:nvSpPr>
        <xdr:cNvPr id="51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5FAC7C5-C51E-4CC6-8FA8-87F25899594D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345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101</xdr:row>
      <xdr:rowOff>0</xdr:rowOff>
    </xdr:from>
    <xdr:ext cx="304800" cy="304800"/>
    <xdr:sp macro="" textlink="">
      <xdr:nvSpPr>
        <xdr:cNvPr id="52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48B9245-EEF0-4508-B18E-8230BAA251E8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345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101</xdr:row>
      <xdr:rowOff>0</xdr:rowOff>
    </xdr:from>
    <xdr:ext cx="304800" cy="304800"/>
    <xdr:sp macro="" textlink="">
      <xdr:nvSpPr>
        <xdr:cNvPr id="52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B6D524E-2579-4DF5-8763-7B3C7F88FEE5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345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101</xdr:row>
      <xdr:rowOff>0</xdr:rowOff>
    </xdr:from>
    <xdr:ext cx="304800" cy="304800"/>
    <xdr:sp macro="" textlink="">
      <xdr:nvSpPr>
        <xdr:cNvPr id="52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B492A91-39DD-492D-8A87-3812FF837BD1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345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101</xdr:row>
      <xdr:rowOff>0</xdr:rowOff>
    </xdr:from>
    <xdr:ext cx="304800" cy="304800"/>
    <xdr:sp macro="" textlink="">
      <xdr:nvSpPr>
        <xdr:cNvPr id="52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920FB9F-2091-49CD-8728-AEE9AE831A08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345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101</xdr:row>
      <xdr:rowOff>0</xdr:rowOff>
    </xdr:from>
    <xdr:ext cx="304800" cy="304800"/>
    <xdr:sp macro="" textlink="">
      <xdr:nvSpPr>
        <xdr:cNvPr id="52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E8BD9DA-B35F-4621-A4BA-A52D01C4D61B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345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101</xdr:row>
      <xdr:rowOff>0</xdr:rowOff>
    </xdr:from>
    <xdr:ext cx="304800" cy="304800"/>
    <xdr:sp macro="" textlink="">
      <xdr:nvSpPr>
        <xdr:cNvPr id="52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7A8E7FF-49BA-479F-85E7-6A83A378B2D0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345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101</xdr:row>
      <xdr:rowOff>0</xdr:rowOff>
    </xdr:from>
    <xdr:ext cx="304800" cy="304800"/>
    <xdr:sp macro="" textlink="">
      <xdr:nvSpPr>
        <xdr:cNvPr id="52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7D2432C-CDF8-4243-B851-CF3F6AA9011C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345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101</xdr:row>
      <xdr:rowOff>0</xdr:rowOff>
    </xdr:from>
    <xdr:ext cx="304800" cy="304800"/>
    <xdr:sp macro="" textlink="">
      <xdr:nvSpPr>
        <xdr:cNvPr id="52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C4DFA49-C652-4B6A-879D-253A940B2222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345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101</xdr:row>
      <xdr:rowOff>0</xdr:rowOff>
    </xdr:from>
    <xdr:ext cx="304800" cy="304800"/>
    <xdr:sp macro="" textlink="">
      <xdr:nvSpPr>
        <xdr:cNvPr id="52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6B407CF-77F3-48CA-A253-E44E9046BE11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345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101</xdr:row>
      <xdr:rowOff>0</xdr:rowOff>
    </xdr:from>
    <xdr:ext cx="304800" cy="304800"/>
    <xdr:sp macro="" textlink="">
      <xdr:nvSpPr>
        <xdr:cNvPr id="52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2BE0697-F3A5-4049-A5E0-206DD9021736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345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101</xdr:row>
      <xdr:rowOff>0</xdr:rowOff>
    </xdr:from>
    <xdr:ext cx="304800" cy="304800"/>
    <xdr:sp macro="" textlink="">
      <xdr:nvSpPr>
        <xdr:cNvPr id="53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8EF0F8C-0778-442E-882D-E103BA9AA2E1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345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101</xdr:row>
      <xdr:rowOff>0</xdr:rowOff>
    </xdr:from>
    <xdr:ext cx="304800" cy="304800"/>
    <xdr:sp macro="" textlink="">
      <xdr:nvSpPr>
        <xdr:cNvPr id="53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A3F8907-F514-4D61-ABBB-9F80C75CED4E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345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101</xdr:row>
      <xdr:rowOff>0</xdr:rowOff>
    </xdr:from>
    <xdr:ext cx="304800" cy="304800"/>
    <xdr:sp macro="" textlink="">
      <xdr:nvSpPr>
        <xdr:cNvPr id="53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5C7259E-BC75-4122-8286-A9D85300A831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345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101</xdr:row>
      <xdr:rowOff>0</xdr:rowOff>
    </xdr:from>
    <xdr:ext cx="304800" cy="304800"/>
    <xdr:sp macro="" textlink="">
      <xdr:nvSpPr>
        <xdr:cNvPr id="53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84BB4B0-00C4-4B3D-92AE-3D1492FC94C1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345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101</xdr:row>
      <xdr:rowOff>0</xdr:rowOff>
    </xdr:from>
    <xdr:ext cx="304800" cy="304800"/>
    <xdr:sp macro="" textlink="">
      <xdr:nvSpPr>
        <xdr:cNvPr id="53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9819774-0E81-4BA2-984D-2029675F10F3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345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101</xdr:row>
      <xdr:rowOff>0</xdr:rowOff>
    </xdr:from>
    <xdr:ext cx="304800" cy="304800"/>
    <xdr:sp macro="" textlink="">
      <xdr:nvSpPr>
        <xdr:cNvPr id="53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32CE3F8-6EF2-41CA-A832-207F337C9F38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345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101</xdr:row>
      <xdr:rowOff>0</xdr:rowOff>
    </xdr:from>
    <xdr:ext cx="304800" cy="304800"/>
    <xdr:sp macro="" textlink="">
      <xdr:nvSpPr>
        <xdr:cNvPr id="53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27604D3-9448-4F68-A189-0B9AE550DFE3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345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101</xdr:row>
      <xdr:rowOff>0</xdr:rowOff>
    </xdr:from>
    <xdr:ext cx="304800" cy="304800"/>
    <xdr:sp macro="" textlink="">
      <xdr:nvSpPr>
        <xdr:cNvPr id="53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8D25542-D31F-4174-84D8-A6D4C54EA729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345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101</xdr:row>
      <xdr:rowOff>0</xdr:rowOff>
    </xdr:from>
    <xdr:ext cx="304800" cy="304800"/>
    <xdr:sp macro="" textlink="">
      <xdr:nvSpPr>
        <xdr:cNvPr id="53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15924CC-6D7D-4AAA-AE52-15A9E9DC5EEE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345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101</xdr:row>
      <xdr:rowOff>0</xdr:rowOff>
    </xdr:from>
    <xdr:ext cx="304800" cy="304800"/>
    <xdr:sp macro="" textlink="">
      <xdr:nvSpPr>
        <xdr:cNvPr id="53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D3D6A3F-86D6-40EE-9058-49180A3952B5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345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101</xdr:row>
      <xdr:rowOff>0</xdr:rowOff>
    </xdr:from>
    <xdr:ext cx="304800" cy="304800"/>
    <xdr:sp macro="" textlink="">
      <xdr:nvSpPr>
        <xdr:cNvPr id="54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6D3CE2D-FD0A-4C91-A8C6-BAB0C943F95E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345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101</xdr:row>
      <xdr:rowOff>0</xdr:rowOff>
    </xdr:from>
    <xdr:ext cx="304800" cy="304800"/>
    <xdr:sp macro="" textlink="">
      <xdr:nvSpPr>
        <xdr:cNvPr id="54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E4801C7-B9BC-476D-AE87-BD08D886EDED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345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101</xdr:row>
      <xdr:rowOff>0</xdr:rowOff>
    </xdr:from>
    <xdr:ext cx="304800" cy="304800"/>
    <xdr:sp macro="" textlink="">
      <xdr:nvSpPr>
        <xdr:cNvPr id="54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933ACA5-0297-4022-AA83-AA8D27AAFBD8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345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101</xdr:row>
      <xdr:rowOff>0</xdr:rowOff>
    </xdr:from>
    <xdr:ext cx="304800" cy="304800"/>
    <xdr:sp macro="" textlink="">
      <xdr:nvSpPr>
        <xdr:cNvPr id="54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ACF4B96-DF15-4B61-908F-DB0F183E86F9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345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101</xdr:row>
      <xdr:rowOff>0</xdr:rowOff>
    </xdr:from>
    <xdr:ext cx="304800" cy="304800"/>
    <xdr:sp macro="" textlink="">
      <xdr:nvSpPr>
        <xdr:cNvPr id="54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7993F7F-93A8-400A-8EA0-6D59164A2DD9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345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101</xdr:row>
      <xdr:rowOff>0</xdr:rowOff>
    </xdr:from>
    <xdr:ext cx="304800" cy="304800"/>
    <xdr:sp macro="" textlink="">
      <xdr:nvSpPr>
        <xdr:cNvPr id="54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3720E19-766A-4C17-B0B0-7BB9104A3929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345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101</xdr:row>
      <xdr:rowOff>0</xdr:rowOff>
    </xdr:from>
    <xdr:ext cx="304800" cy="304800"/>
    <xdr:sp macro="" textlink="">
      <xdr:nvSpPr>
        <xdr:cNvPr id="54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19601B9-BE22-4FC0-A719-37D09E4BF868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345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101</xdr:row>
      <xdr:rowOff>0</xdr:rowOff>
    </xdr:from>
    <xdr:ext cx="304800" cy="304800"/>
    <xdr:sp macro="" textlink="">
      <xdr:nvSpPr>
        <xdr:cNvPr id="54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CD8A2F5-D353-4748-931B-CC440910544A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345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101</xdr:row>
      <xdr:rowOff>0</xdr:rowOff>
    </xdr:from>
    <xdr:ext cx="304800" cy="304800"/>
    <xdr:sp macro="" textlink="">
      <xdr:nvSpPr>
        <xdr:cNvPr id="54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68C157D-B175-49AD-A7C9-8BECC7CA7D24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345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101</xdr:row>
      <xdr:rowOff>0</xdr:rowOff>
    </xdr:from>
    <xdr:ext cx="304800" cy="304800"/>
    <xdr:sp macro="" textlink="">
      <xdr:nvSpPr>
        <xdr:cNvPr id="54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AD912EE-CA40-4E75-B13E-674E20684626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345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101</xdr:row>
      <xdr:rowOff>0</xdr:rowOff>
    </xdr:from>
    <xdr:ext cx="304800" cy="304800"/>
    <xdr:sp macro="" textlink="">
      <xdr:nvSpPr>
        <xdr:cNvPr id="55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0FCE437-CF8B-48FA-8512-06FA879B4C3C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345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101</xdr:row>
      <xdr:rowOff>0</xdr:rowOff>
    </xdr:from>
    <xdr:ext cx="304800" cy="304800"/>
    <xdr:sp macro="" textlink="">
      <xdr:nvSpPr>
        <xdr:cNvPr id="55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DBA254D-E20A-48AE-A7B8-269C5CB3A50F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345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101</xdr:row>
      <xdr:rowOff>0</xdr:rowOff>
    </xdr:from>
    <xdr:ext cx="304800" cy="304800"/>
    <xdr:sp macro="" textlink="">
      <xdr:nvSpPr>
        <xdr:cNvPr id="55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03C0C22-4319-4B34-8DBA-7BB40693A5F0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345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101</xdr:row>
      <xdr:rowOff>0</xdr:rowOff>
    </xdr:from>
    <xdr:ext cx="304800" cy="304800"/>
    <xdr:sp macro="" textlink="">
      <xdr:nvSpPr>
        <xdr:cNvPr id="55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5A76061-2EEE-4E61-A72F-FE6049EF05D2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345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101</xdr:row>
      <xdr:rowOff>0</xdr:rowOff>
    </xdr:from>
    <xdr:ext cx="304800" cy="304800"/>
    <xdr:sp macro="" textlink="">
      <xdr:nvSpPr>
        <xdr:cNvPr id="55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A017E91-CF72-4286-8DF9-DAECE545AAEE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345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101</xdr:row>
      <xdr:rowOff>0</xdr:rowOff>
    </xdr:from>
    <xdr:ext cx="304800" cy="304800"/>
    <xdr:sp macro="" textlink="">
      <xdr:nvSpPr>
        <xdr:cNvPr id="55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17CE217-65AB-4EF4-816B-D95C2895EA8B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345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101</xdr:row>
      <xdr:rowOff>0</xdr:rowOff>
    </xdr:from>
    <xdr:ext cx="304800" cy="304800"/>
    <xdr:sp macro="" textlink="">
      <xdr:nvSpPr>
        <xdr:cNvPr id="55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E4B5D51-1A7B-4FD9-951B-2C8DF19A70A0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345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101</xdr:row>
      <xdr:rowOff>0</xdr:rowOff>
    </xdr:from>
    <xdr:ext cx="304800" cy="304800"/>
    <xdr:sp macro="" textlink="">
      <xdr:nvSpPr>
        <xdr:cNvPr id="55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5BDF485-CF95-4DE8-9CEF-6E301F755E13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345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101</xdr:row>
      <xdr:rowOff>0</xdr:rowOff>
    </xdr:from>
    <xdr:ext cx="304800" cy="304800"/>
    <xdr:sp macro="" textlink="">
      <xdr:nvSpPr>
        <xdr:cNvPr id="55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D7B33E7-237B-4B72-89F8-3C520220F368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345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101</xdr:row>
      <xdr:rowOff>0</xdr:rowOff>
    </xdr:from>
    <xdr:ext cx="304800" cy="304800"/>
    <xdr:sp macro="" textlink="">
      <xdr:nvSpPr>
        <xdr:cNvPr id="55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D5C36A3-1718-43C1-8064-C944CA96658C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345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101</xdr:row>
      <xdr:rowOff>0</xdr:rowOff>
    </xdr:from>
    <xdr:ext cx="304800" cy="304800"/>
    <xdr:sp macro="" textlink="">
      <xdr:nvSpPr>
        <xdr:cNvPr id="56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B39788E-A077-465E-9BE3-A348A04488FF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345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101</xdr:row>
      <xdr:rowOff>0</xdr:rowOff>
    </xdr:from>
    <xdr:ext cx="304800" cy="304800"/>
    <xdr:sp macro="" textlink="">
      <xdr:nvSpPr>
        <xdr:cNvPr id="56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708543F-7570-4804-90C4-99F25309D769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345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101</xdr:row>
      <xdr:rowOff>0</xdr:rowOff>
    </xdr:from>
    <xdr:ext cx="304800" cy="304800"/>
    <xdr:sp macro="" textlink="">
      <xdr:nvSpPr>
        <xdr:cNvPr id="56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38D564B-B39D-44EA-820A-C094B7075A8B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345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101</xdr:row>
      <xdr:rowOff>0</xdr:rowOff>
    </xdr:from>
    <xdr:ext cx="304800" cy="304800"/>
    <xdr:sp macro="" textlink="">
      <xdr:nvSpPr>
        <xdr:cNvPr id="56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D24071C-4103-4B58-9B26-98BE8CDB127F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345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101</xdr:row>
      <xdr:rowOff>0</xdr:rowOff>
    </xdr:from>
    <xdr:ext cx="304800" cy="304800"/>
    <xdr:sp macro="" textlink="">
      <xdr:nvSpPr>
        <xdr:cNvPr id="56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BB9A2CE-C861-4EA7-82AE-5FA12665FEC4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345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101</xdr:row>
      <xdr:rowOff>0</xdr:rowOff>
    </xdr:from>
    <xdr:ext cx="304800" cy="304800"/>
    <xdr:sp macro="" textlink="">
      <xdr:nvSpPr>
        <xdr:cNvPr id="56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8B6BBF6-2189-422C-9E16-B961570398A9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345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101</xdr:row>
      <xdr:rowOff>0</xdr:rowOff>
    </xdr:from>
    <xdr:ext cx="304800" cy="304800"/>
    <xdr:sp macro="" textlink="">
      <xdr:nvSpPr>
        <xdr:cNvPr id="56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9B15C13-70EE-4980-AD45-45779DEBE63D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345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101</xdr:row>
      <xdr:rowOff>0</xdr:rowOff>
    </xdr:from>
    <xdr:ext cx="304800" cy="304800"/>
    <xdr:sp macro="" textlink="">
      <xdr:nvSpPr>
        <xdr:cNvPr id="56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C69A08E-7D1C-48BE-B592-4B43C7696951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345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101</xdr:row>
      <xdr:rowOff>0</xdr:rowOff>
    </xdr:from>
    <xdr:ext cx="304800" cy="304800"/>
    <xdr:sp macro="" textlink="">
      <xdr:nvSpPr>
        <xdr:cNvPr id="56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943624F-51A8-46A7-BE4D-2DB12D0CD403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345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101</xdr:row>
      <xdr:rowOff>0</xdr:rowOff>
    </xdr:from>
    <xdr:ext cx="304800" cy="304800"/>
    <xdr:sp macro="" textlink="">
      <xdr:nvSpPr>
        <xdr:cNvPr id="56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C6E014C-F4FD-4137-8DAE-8DFC5D5EA8B0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345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101</xdr:row>
      <xdr:rowOff>0</xdr:rowOff>
    </xdr:from>
    <xdr:ext cx="304800" cy="304800"/>
    <xdr:sp macro="" textlink="">
      <xdr:nvSpPr>
        <xdr:cNvPr id="57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24C22A4-6685-4BFD-9739-B52CF15941AD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345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101</xdr:row>
      <xdr:rowOff>0</xdr:rowOff>
    </xdr:from>
    <xdr:ext cx="304800" cy="304800"/>
    <xdr:sp macro="" textlink="">
      <xdr:nvSpPr>
        <xdr:cNvPr id="57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77D40ED-FF46-41B2-AFFC-D5A45F16987B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345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101</xdr:row>
      <xdr:rowOff>0</xdr:rowOff>
    </xdr:from>
    <xdr:ext cx="304800" cy="304800"/>
    <xdr:sp macro="" textlink="">
      <xdr:nvSpPr>
        <xdr:cNvPr id="57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0DE5F39-BE87-4609-8B4A-F92EFC42D3F8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345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101</xdr:row>
      <xdr:rowOff>0</xdr:rowOff>
    </xdr:from>
    <xdr:ext cx="304800" cy="304800"/>
    <xdr:sp macro="" textlink="">
      <xdr:nvSpPr>
        <xdr:cNvPr id="57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15782AF-646C-4303-A7B6-93841819D01A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345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101</xdr:row>
      <xdr:rowOff>0</xdr:rowOff>
    </xdr:from>
    <xdr:ext cx="304800" cy="304800"/>
    <xdr:sp macro="" textlink="">
      <xdr:nvSpPr>
        <xdr:cNvPr id="57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CFF3499-FA9F-47D0-A195-9CD198710B2E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345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101</xdr:row>
      <xdr:rowOff>0</xdr:rowOff>
    </xdr:from>
    <xdr:ext cx="304800" cy="304800"/>
    <xdr:sp macro="" textlink="">
      <xdr:nvSpPr>
        <xdr:cNvPr id="57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06B100A-52AB-42D7-B816-4797B02FFE2C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345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101</xdr:row>
      <xdr:rowOff>0</xdr:rowOff>
    </xdr:from>
    <xdr:ext cx="304800" cy="304800"/>
    <xdr:sp macro="" textlink="">
      <xdr:nvSpPr>
        <xdr:cNvPr id="57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3C882E0-5F35-4C1F-97A8-79139870046D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345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101</xdr:row>
      <xdr:rowOff>0</xdr:rowOff>
    </xdr:from>
    <xdr:ext cx="304800" cy="304800"/>
    <xdr:sp macro="" textlink="">
      <xdr:nvSpPr>
        <xdr:cNvPr id="57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5540641-7A14-4DAF-927F-EF5A6CFD4EB0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345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101</xdr:row>
      <xdr:rowOff>0</xdr:rowOff>
    </xdr:from>
    <xdr:ext cx="304800" cy="304800"/>
    <xdr:sp macro="" textlink="">
      <xdr:nvSpPr>
        <xdr:cNvPr id="57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1D5BD67-9CE7-47FB-818A-0F13E7713F6D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345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101</xdr:row>
      <xdr:rowOff>0</xdr:rowOff>
    </xdr:from>
    <xdr:ext cx="304800" cy="304800"/>
    <xdr:sp macro="" textlink="">
      <xdr:nvSpPr>
        <xdr:cNvPr id="57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3FD0E37-C4C1-4CAE-9227-B591FC2A4B54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345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101</xdr:row>
      <xdr:rowOff>0</xdr:rowOff>
    </xdr:from>
    <xdr:ext cx="304800" cy="304800"/>
    <xdr:sp macro="" textlink="">
      <xdr:nvSpPr>
        <xdr:cNvPr id="58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9045A7A-41F0-45DC-8D11-46658E850058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345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101</xdr:row>
      <xdr:rowOff>0</xdr:rowOff>
    </xdr:from>
    <xdr:ext cx="304800" cy="304800"/>
    <xdr:sp macro="" textlink="">
      <xdr:nvSpPr>
        <xdr:cNvPr id="58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1EA96BC-90E4-4874-BB81-04DA7A996C96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345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101</xdr:row>
      <xdr:rowOff>0</xdr:rowOff>
    </xdr:from>
    <xdr:ext cx="304800" cy="304800"/>
    <xdr:sp macro="" textlink="">
      <xdr:nvSpPr>
        <xdr:cNvPr id="58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F3F490D-090B-4BE3-91E5-93FDD50905DF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345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101</xdr:row>
      <xdr:rowOff>0</xdr:rowOff>
    </xdr:from>
    <xdr:ext cx="304800" cy="304800"/>
    <xdr:sp macro="" textlink="">
      <xdr:nvSpPr>
        <xdr:cNvPr id="58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51D65CB-AA01-4D8D-8AB2-87545596A896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345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101</xdr:row>
      <xdr:rowOff>0</xdr:rowOff>
    </xdr:from>
    <xdr:ext cx="304800" cy="304800"/>
    <xdr:sp macro="" textlink="">
      <xdr:nvSpPr>
        <xdr:cNvPr id="58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01A0EE0-0145-4C17-ACEA-5138736A86FD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345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101</xdr:row>
      <xdr:rowOff>0</xdr:rowOff>
    </xdr:from>
    <xdr:ext cx="304800" cy="304800"/>
    <xdr:sp macro="" textlink="">
      <xdr:nvSpPr>
        <xdr:cNvPr id="58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8D2D7CD-C04A-4705-915A-BDE6F6C55254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345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101</xdr:row>
      <xdr:rowOff>0</xdr:rowOff>
    </xdr:from>
    <xdr:ext cx="304800" cy="304800"/>
    <xdr:sp macro="" textlink="">
      <xdr:nvSpPr>
        <xdr:cNvPr id="58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0120807-757B-4550-8DCB-78D3DA2BF09D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345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101</xdr:row>
      <xdr:rowOff>0</xdr:rowOff>
    </xdr:from>
    <xdr:ext cx="304800" cy="304800"/>
    <xdr:sp macro="" textlink="">
      <xdr:nvSpPr>
        <xdr:cNvPr id="58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E91D7DF-55C1-44B5-A9D2-6829910B446E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345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101</xdr:row>
      <xdr:rowOff>0</xdr:rowOff>
    </xdr:from>
    <xdr:ext cx="304800" cy="304800"/>
    <xdr:sp macro="" textlink="">
      <xdr:nvSpPr>
        <xdr:cNvPr id="58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731C3B9-56C4-4F4B-9AAC-1A5EEF0B706D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345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101</xdr:row>
      <xdr:rowOff>0</xdr:rowOff>
    </xdr:from>
    <xdr:ext cx="304800" cy="304800"/>
    <xdr:sp macro="" textlink="">
      <xdr:nvSpPr>
        <xdr:cNvPr id="58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771EC9B-E8F5-495F-9C15-03C154A9EB1F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345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101</xdr:row>
      <xdr:rowOff>0</xdr:rowOff>
    </xdr:from>
    <xdr:ext cx="304800" cy="304800"/>
    <xdr:sp macro="" textlink="">
      <xdr:nvSpPr>
        <xdr:cNvPr id="59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F0008E3-F68B-4A23-A671-83E07B7B59BA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345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101</xdr:row>
      <xdr:rowOff>0</xdr:rowOff>
    </xdr:from>
    <xdr:ext cx="304800" cy="304800"/>
    <xdr:sp macro="" textlink="">
      <xdr:nvSpPr>
        <xdr:cNvPr id="59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7128058-DE8C-406C-91FB-97CB7E9464C2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345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101</xdr:row>
      <xdr:rowOff>0</xdr:rowOff>
    </xdr:from>
    <xdr:ext cx="304800" cy="304800"/>
    <xdr:sp macro="" textlink="">
      <xdr:nvSpPr>
        <xdr:cNvPr id="59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543BAE7-64D9-4799-AE04-8D0927261543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345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101</xdr:row>
      <xdr:rowOff>0</xdr:rowOff>
    </xdr:from>
    <xdr:ext cx="304800" cy="304800"/>
    <xdr:sp macro="" textlink="">
      <xdr:nvSpPr>
        <xdr:cNvPr id="59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C09CFD6-AE82-4296-9A68-CB9C9E038B4B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345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101</xdr:row>
      <xdr:rowOff>0</xdr:rowOff>
    </xdr:from>
    <xdr:ext cx="304800" cy="304800"/>
    <xdr:sp macro="" textlink="">
      <xdr:nvSpPr>
        <xdr:cNvPr id="59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09EBFDE-AF09-4610-99E5-A541A5FF3547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345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101</xdr:row>
      <xdr:rowOff>0</xdr:rowOff>
    </xdr:from>
    <xdr:ext cx="304800" cy="304800"/>
    <xdr:sp macro="" textlink="">
      <xdr:nvSpPr>
        <xdr:cNvPr id="59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1A05CE5-A885-41CB-81E2-505956A201D0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345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101</xdr:row>
      <xdr:rowOff>0</xdr:rowOff>
    </xdr:from>
    <xdr:ext cx="304800" cy="304800"/>
    <xdr:sp macro="" textlink="">
      <xdr:nvSpPr>
        <xdr:cNvPr id="59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A4EEB7B-5CC4-4BF6-BB0E-DBEA9F3EA62A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345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101</xdr:row>
      <xdr:rowOff>0</xdr:rowOff>
    </xdr:from>
    <xdr:ext cx="304800" cy="304800"/>
    <xdr:sp macro="" textlink="">
      <xdr:nvSpPr>
        <xdr:cNvPr id="59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2A055EA-8389-4DBA-98BC-9B62D3F3A03E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345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101</xdr:row>
      <xdr:rowOff>0</xdr:rowOff>
    </xdr:from>
    <xdr:ext cx="304800" cy="304800"/>
    <xdr:sp macro="" textlink="">
      <xdr:nvSpPr>
        <xdr:cNvPr id="59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1620DA0-3199-4570-8FB0-C3F658CE3EAB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345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101</xdr:row>
      <xdr:rowOff>0</xdr:rowOff>
    </xdr:from>
    <xdr:ext cx="304800" cy="304800"/>
    <xdr:sp macro="" textlink="">
      <xdr:nvSpPr>
        <xdr:cNvPr id="59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2393654-3128-4042-A1E3-F01D540B0AEA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345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101</xdr:row>
      <xdr:rowOff>0</xdr:rowOff>
    </xdr:from>
    <xdr:ext cx="304800" cy="304800"/>
    <xdr:sp macro="" textlink="">
      <xdr:nvSpPr>
        <xdr:cNvPr id="60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79D5229-84FB-4148-8B16-4D258797180C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345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101</xdr:row>
      <xdr:rowOff>0</xdr:rowOff>
    </xdr:from>
    <xdr:ext cx="304800" cy="304800"/>
    <xdr:sp macro="" textlink="">
      <xdr:nvSpPr>
        <xdr:cNvPr id="60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96B9D8F-95F1-4DEA-9A51-FAD577344982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345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101</xdr:row>
      <xdr:rowOff>0</xdr:rowOff>
    </xdr:from>
    <xdr:ext cx="304800" cy="304800"/>
    <xdr:sp macro="" textlink="">
      <xdr:nvSpPr>
        <xdr:cNvPr id="60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7074122-CC49-48E2-B454-CF5B53ACC99F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345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101</xdr:row>
      <xdr:rowOff>0</xdr:rowOff>
    </xdr:from>
    <xdr:ext cx="304800" cy="304800"/>
    <xdr:sp macro="" textlink="">
      <xdr:nvSpPr>
        <xdr:cNvPr id="60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FBB0FB0-A61E-4B77-B7A0-957BB76198B4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345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101</xdr:row>
      <xdr:rowOff>0</xdr:rowOff>
    </xdr:from>
    <xdr:ext cx="304800" cy="304800"/>
    <xdr:sp macro="" textlink="">
      <xdr:nvSpPr>
        <xdr:cNvPr id="60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6429AFB-BDF1-4F28-9156-A183EB634835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345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101</xdr:row>
      <xdr:rowOff>0</xdr:rowOff>
    </xdr:from>
    <xdr:ext cx="304800" cy="304800"/>
    <xdr:sp macro="" textlink="">
      <xdr:nvSpPr>
        <xdr:cNvPr id="60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EFB09A6-675E-4E9B-B0D2-1791D65613AB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345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101</xdr:row>
      <xdr:rowOff>0</xdr:rowOff>
    </xdr:from>
    <xdr:ext cx="304800" cy="304800"/>
    <xdr:sp macro="" textlink="">
      <xdr:nvSpPr>
        <xdr:cNvPr id="60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DB2AA01-FFEF-413C-93D5-9DF2D20EF273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345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101</xdr:row>
      <xdr:rowOff>0</xdr:rowOff>
    </xdr:from>
    <xdr:ext cx="304800" cy="304800"/>
    <xdr:sp macro="" textlink="">
      <xdr:nvSpPr>
        <xdr:cNvPr id="60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2603A43-AF38-4B1F-8A29-39860E2F80A2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345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101</xdr:row>
      <xdr:rowOff>0</xdr:rowOff>
    </xdr:from>
    <xdr:ext cx="304800" cy="304800"/>
    <xdr:sp macro="" textlink="">
      <xdr:nvSpPr>
        <xdr:cNvPr id="60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BA09339-9FC9-438E-8D8E-05053B808DA2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345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101</xdr:row>
      <xdr:rowOff>0</xdr:rowOff>
    </xdr:from>
    <xdr:ext cx="304800" cy="304800"/>
    <xdr:sp macro="" textlink="">
      <xdr:nvSpPr>
        <xdr:cNvPr id="60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B72FB8A-4CDC-47E6-930B-6282F3926CE9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345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101</xdr:row>
      <xdr:rowOff>0</xdr:rowOff>
    </xdr:from>
    <xdr:ext cx="304800" cy="304800"/>
    <xdr:sp macro="" textlink="">
      <xdr:nvSpPr>
        <xdr:cNvPr id="61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ADBF0E6-2A5F-4B73-823D-1723AC899B0F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345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101</xdr:row>
      <xdr:rowOff>0</xdr:rowOff>
    </xdr:from>
    <xdr:ext cx="304800" cy="304800"/>
    <xdr:sp macro="" textlink="">
      <xdr:nvSpPr>
        <xdr:cNvPr id="61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9054F77-15A6-44DB-BF47-E2CEE5E7BB2D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345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101</xdr:row>
      <xdr:rowOff>0</xdr:rowOff>
    </xdr:from>
    <xdr:ext cx="304800" cy="304800"/>
    <xdr:sp macro="" textlink="">
      <xdr:nvSpPr>
        <xdr:cNvPr id="61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BC2360B-6FA0-4CD6-91F1-41C21847F29B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345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101</xdr:row>
      <xdr:rowOff>0</xdr:rowOff>
    </xdr:from>
    <xdr:ext cx="304800" cy="304800"/>
    <xdr:sp macro="" textlink="">
      <xdr:nvSpPr>
        <xdr:cNvPr id="61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F2BA4F7-4D71-4BEA-8375-BB7BED33429E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345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101</xdr:row>
      <xdr:rowOff>0</xdr:rowOff>
    </xdr:from>
    <xdr:ext cx="304800" cy="304800"/>
    <xdr:sp macro="" textlink="">
      <xdr:nvSpPr>
        <xdr:cNvPr id="61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F9FC67A-0C06-49A2-8A28-800DE1F90A0B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345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101</xdr:row>
      <xdr:rowOff>0</xdr:rowOff>
    </xdr:from>
    <xdr:ext cx="304800" cy="304800"/>
    <xdr:sp macro="" textlink="">
      <xdr:nvSpPr>
        <xdr:cNvPr id="61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F764950-6E5F-4F32-A551-6694CB0DFC2A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345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101</xdr:row>
      <xdr:rowOff>0</xdr:rowOff>
    </xdr:from>
    <xdr:ext cx="304800" cy="304800"/>
    <xdr:sp macro="" textlink="">
      <xdr:nvSpPr>
        <xdr:cNvPr id="61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617C93F-DB55-423F-88C9-3F33F595BC42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345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101</xdr:row>
      <xdr:rowOff>0</xdr:rowOff>
    </xdr:from>
    <xdr:ext cx="304800" cy="304800"/>
    <xdr:sp macro="" textlink="">
      <xdr:nvSpPr>
        <xdr:cNvPr id="61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09C9E33-1B44-4FBA-9C0B-F1F45B9B39A1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345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101</xdr:row>
      <xdr:rowOff>0</xdr:rowOff>
    </xdr:from>
    <xdr:ext cx="304800" cy="304800"/>
    <xdr:sp macro="" textlink="">
      <xdr:nvSpPr>
        <xdr:cNvPr id="61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BAEA850-863D-4C62-9852-77F4E58A3D6D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345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101</xdr:row>
      <xdr:rowOff>0</xdr:rowOff>
    </xdr:from>
    <xdr:ext cx="304800" cy="304800"/>
    <xdr:sp macro="" textlink="">
      <xdr:nvSpPr>
        <xdr:cNvPr id="61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3D0A073-33D6-4644-95CB-A0BA4443E6EF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345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101</xdr:row>
      <xdr:rowOff>0</xdr:rowOff>
    </xdr:from>
    <xdr:ext cx="304800" cy="304800"/>
    <xdr:sp macro="" textlink="">
      <xdr:nvSpPr>
        <xdr:cNvPr id="62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EA77084-1462-4C95-A3FE-AD5F66ECF96D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345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101</xdr:row>
      <xdr:rowOff>0</xdr:rowOff>
    </xdr:from>
    <xdr:ext cx="304800" cy="304800"/>
    <xdr:sp macro="" textlink="">
      <xdr:nvSpPr>
        <xdr:cNvPr id="62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3B33784-9745-42C5-A70B-A031F54DA7BF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345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101</xdr:row>
      <xdr:rowOff>0</xdr:rowOff>
    </xdr:from>
    <xdr:ext cx="304800" cy="304800"/>
    <xdr:sp macro="" textlink="">
      <xdr:nvSpPr>
        <xdr:cNvPr id="62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7A53DDF-2D68-41AB-A45E-5C1DBA41F20C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345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101</xdr:row>
      <xdr:rowOff>0</xdr:rowOff>
    </xdr:from>
    <xdr:ext cx="304800" cy="304800"/>
    <xdr:sp macro="" textlink="">
      <xdr:nvSpPr>
        <xdr:cNvPr id="62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9859468-F646-4023-8F4D-FF756A855DB2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345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101</xdr:row>
      <xdr:rowOff>0</xdr:rowOff>
    </xdr:from>
    <xdr:ext cx="304800" cy="304800"/>
    <xdr:sp macro="" textlink="">
      <xdr:nvSpPr>
        <xdr:cNvPr id="62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CF85BFD-B179-415A-9FC1-1D4F1E55B16A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345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101</xdr:row>
      <xdr:rowOff>0</xdr:rowOff>
    </xdr:from>
    <xdr:ext cx="304800" cy="304800"/>
    <xdr:sp macro="" textlink="">
      <xdr:nvSpPr>
        <xdr:cNvPr id="62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5C87B44-697B-4B99-91E6-C58CB41A50C2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345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101</xdr:row>
      <xdr:rowOff>0</xdr:rowOff>
    </xdr:from>
    <xdr:ext cx="304800" cy="304800"/>
    <xdr:sp macro="" textlink="">
      <xdr:nvSpPr>
        <xdr:cNvPr id="62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22D44F8-F304-4972-AEFF-A7EE0D30A62B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345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101</xdr:row>
      <xdr:rowOff>0</xdr:rowOff>
    </xdr:from>
    <xdr:ext cx="304800" cy="304800"/>
    <xdr:sp macro="" textlink="">
      <xdr:nvSpPr>
        <xdr:cNvPr id="62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48AE7DC-7D87-454B-87B3-7ABF4106141F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345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101</xdr:row>
      <xdr:rowOff>0</xdr:rowOff>
    </xdr:from>
    <xdr:ext cx="304800" cy="304800"/>
    <xdr:sp macro="" textlink="">
      <xdr:nvSpPr>
        <xdr:cNvPr id="62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37FF5F4-3F8D-4E02-B95F-B5C916B20E58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345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101</xdr:row>
      <xdr:rowOff>0</xdr:rowOff>
    </xdr:from>
    <xdr:ext cx="304800" cy="304800"/>
    <xdr:sp macro="" textlink="">
      <xdr:nvSpPr>
        <xdr:cNvPr id="62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8A02446-EC35-416A-8BF9-E1894B257DFF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345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101</xdr:row>
      <xdr:rowOff>0</xdr:rowOff>
    </xdr:from>
    <xdr:ext cx="304800" cy="304800"/>
    <xdr:sp macro="" textlink="">
      <xdr:nvSpPr>
        <xdr:cNvPr id="63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58D448C-82A4-4D4C-924D-213FFFFC11F2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345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101</xdr:row>
      <xdr:rowOff>0</xdr:rowOff>
    </xdr:from>
    <xdr:ext cx="304800" cy="304800"/>
    <xdr:sp macro="" textlink="">
      <xdr:nvSpPr>
        <xdr:cNvPr id="63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5C676D5-8321-4FF2-AB20-B557A1EF35E3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345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101</xdr:row>
      <xdr:rowOff>0</xdr:rowOff>
    </xdr:from>
    <xdr:ext cx="304800" cy="304800"/>
    <xdr:sp macro="" textlink="">
      <xdr:nvSpPr>
        <xdr:cNvPr id="63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87E97A1-C16E-4D23-89B4-CF9C84C2607F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345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101</xdr:row>
      <xdr:rowOff>0</xdr:rowOff>
    </xdr:from>
    <xdr:ext cx="304800" cy="304800"/>
    <xdr:sp macro="" textlink="">
      <xdr:nvSpPr>
        <xdr:cNvPr id="63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C15305A-5624-47D3-B551-5D21F718DAF2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345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101</xdr:row>
      <xdr:rowOff>0</xdr:rowOff>
    </xdr:from>
    <xdr:ext cx="304800" cy="304800"/>
    <xdr:sp macro="" textlink="">
      <xdr:nvSpPr>
        <xdr:cNvPr id="63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6254EAE-FDEF-4803-B726-4773EB4A0227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345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101</xdr:row>
      <xdr:rowOff>0</xdr:rowOff>
    </xdr:from>
    <xdr:ext cx="304800" cy="304800"/>
    <xdr:sp macro="" textlink="">
      <xdr:nvSpPr>
        <xdr:cNvPr id="63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67E6EAB-F2C1-457A-8757-BEF10E3D0D58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345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101</xdr:row>
      <xdr:rowOff>0</xdr:rowOff>
    </xdr:from>
    <xdr:ext cx="304800" cy="304800"/>
    <xdr:sp macro="" textlink="">
      <xdr:nvSpPr>
        <xdr:cNvPr id="63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95E2CFD-D32A-4CD6-A91A-F39AAC2CA706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345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101</xdr:row>
      <xdr:rowOff>0</xdr:rowOff>
    </xdr:from>
    <xdr:ext cx="304800" cy="304800"/>
    <xdr:sp macro="" textlink="">
      <xdr:nvSpPr>
        <xdr:cNvPr id="63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403FE5C-010E-4899-8890-0290F684C754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345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101</xdr:row>
      <xdr:rowOff>0</xdr:rowOff>
    </xdr:from>
    <xdr:ext cx="304800" cy="304800"/>
    <xdr:sp macro="" textlink="">
      <xdr:nvSpPr>
        <xdr:cNvPr id="63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E7CC8F2-BE53-4C34-8FC2-B9CB37545B11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345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101</xdr:row>
      <xdr:rowOff>0</xdr:rowOff>
    </xdr:from>
    <xdr:ext cx="304800" cy="304800"/>
    <xdr:sp macro="" textlink="">
      <xdr:nvSpPr>
        <xdr:cNvPr id="63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B2EC6EA-E642-47C3-B6A9-D2A8EB81998F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345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101</xdr:row>
      <xdr:rowOff>0</xdr:rowOff>
    </xdr:from>
    <xdr:ext cx="304800" cy="304800"/>
    <xdr:sp macro="" textlink="">
      <xdr:nvSpPr>
        <xdr:cNvPr id="64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97597C0-2817-4B83-A641-4167D13C8A3C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345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101</xdr:row>
      <xdr:rowOff>0</xdr:rowOff>
    </xdr:from>
    <xdr:ext cx="304800" cy="304800"/>
    <xdr:sp macro="" textlink="">
      <xdr:nvSpPr>
        <xdr:cNvPr id="64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8FA4DA6-B9F7-4661-85E0-C2AC924E32A0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345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101</xdr:row>
      <xdr:rowOff>0</xdr:rowOff>
    </xdr:from>
    <xdr:ext cx="304800" cy="304800"/>
    <xdr:sp macro="" textlink="">
      <xdr:nvSpPr>
        <xdr:cNvPr id="64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7055B2B-EF86-48A2-8CF9-AFCA327FF81E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345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101</xdr:row>
      <xdr:rowOff>0</xdr:rowOff>
    </xdr:from>
    <xdr:ext cx="304800" cy="304800"/>
    <xdr:sp macro="" textlink="">
      <xdr:nvSpPr>
        <xdr:cNvPr id="64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CF868C4-14DF-4BB2-9CFD-51835EBB9DDD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345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101</xdr:row>
      <xdr:rowOff>0</xdr:rowOff>
    </xdr:from>
    <xdr:ext cx="304800" cy="304800"/>
    <xdr:sp macro="" textlink="">
      <xdr:nvSpPr>
        <xdr:cNvPr id="64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86F12CE-1E83-4CAC-8725-598BEC07C9ED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345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101</xdr:row>
      <xdr:rowOff>0</xdr:rowOff>
    </xdr:from>
    <xdr:ext cx="304800" cy="304800"/>
    <xdr:sp macro="" textlink="">
      <xdr:nvSpPr>
        <xdr:cNvPr id="64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D9C71C0-117E-4960-877E-4E24B25438A8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345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101</xdr:row>
      <xdr:rowOff>0</xdr:rowOff>
    </xdr:from>
    <xdr:ext cx="304800" cy="304800"/>
    <xdr:sp macro="" textlink="">
      <xdr:nvSpPr>
        <xdr:cNvPr id="64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571CBC3-41BA-4C68-A7F0-31CCBDC7A033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345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101</xdr:row>
      <xdr:rowOff>0</xdr:rowOff>
    </xdr:from>
    <xdr:ext cx="304800" cy="304800"/>
    <xdr:sp macro="" textlink="">
      <xdr:nvSpPr>
        <xdr:cNvPr id="64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A466FDA-6217-4F97-9DBE-DFFE65D1C797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345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101</xdr:row>
      <xdr:rowOff>0</xdr:rowOff>
    </xdr:from>
    <xdr:ext cx="304800" cy="304800"/>
    <xdr:sp macro="" textlink="">
      <xdr:nvSpPr>
        <xdr:cNvPr id="64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39BDA44-73B1-49F7-B7E4-88DB62801550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345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101</xdr:row>
      <xdr:rowOff>0</xdr:rowOff>
    </xdr:from>
    <xdr:ext cx="304800" cy="304800"/>
    <xdr:sp macro="" textlink="">
      <xdr:nvSpPr>
        <xdr:cNvPr id="64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6F4146D-178E-490B-ABCD-5C2F3F83C47F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345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101</xdr:row>
      <xdr:rowOff>0</xdr:rowOff>
    </xdr:from>
    <xdr:ext cx="304800" cy="304800"/>
    <xdr:sp macro="" textlink="">
      <xdr:nvSpPr>
        <xdr:cNvPr id="65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DEE330A-BB0C-4207-BED5-30A0639BBC29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345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101</xdr:row>
      <xdr:rowOff>0</xdr:rowOff>
    </xdr:from>
    <xdr:ext cx="304800" cy="304800"/>
    <xdr:sp macro="" textlink="">
      <xdr:nvSpPr>
        <xdr:cNvPr id="65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840ACBE-D130-4A9B-9F7F-910780B49662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345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101</xdr:row>
      <xdr:rowOff>0</xdr:rowOff>
    </xdr:from>
    <xdr:ext cx="304800" cy="304800"/>
    <xdr:sp macro="" textlink="">
      <xdr:nvSpPr>
        <xdr:cNvPr id="65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1AE6B87-F699-4615-B634-D15A7400605C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345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101</xdr:row>
      <xdr:rowOff>0</xdr:rowOff>
    </xdr:from>
    <xdr:ext cx="304800" cy="304800"/>
    <xdr:sp macro="" textlink="">
      <xdr:nvSpPr>
        <xdr:cNvPr id="65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85E8D53-03AA-410D-B80F-9CE4658D3DE7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345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101</xdr:row>
      <xdr:rowOff>0</xdr:rowOff>
    </xdr:from>
    <xdr:ext cx="304800" cy="304800"/>
    <xdr:sp macro="" textlink="">
      <xdr:nvSpPr>
        <xdr:cNvPr id="65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6C801A0-DA31-4D41-A428-BD93AE8E8792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345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101</xdr:row>
      <xdr:rowOff>0</xdr:rowOff>
    </xdr:from>
    <xdr:ext cx="304800" cy="304800"/>
    <xdr:sp macro="" textlink="">
      <xdr:nvSpPr>
        <xdr:cNvPr id="65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2DF3C03-2A7B-4451-B35B-055ED71A34FD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345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101</xdr:row>
      <xdr:rowOff>0</xdr:rowOff>
    </xdr:from>
    <xdr:ext cx="304800" cy="304800"/>
    <xdr:sp macro="" textlink="">
      <xdr:nvSpPr>
        <xdr:cNvPr id="65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4426451-43AD-4F9B-BA68-B589D37E7D7D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345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101</xdr:row>
      <xdr:rowOff>0</xdr:rowOff>
    </xdr:from>
    <xdr:ext cx="304800" cy="304800"/>
    <xdr:sp macro="" textlink="">
      <xdr:nvSpPr>
        <xdr:cNvPr id="65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3D1FEF3-0184-40E3-804D-0379C62198BD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345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101</xdr:row>
      <xdr:rowOff>0</xdr:rowOff>
    </xdr:from>
    <xdr:ext cx="304800" cy="304800"/>
    <xdr:sp macro="" textlink="">
      <xdr:nvSpPr>
        <xdr:cNvPr id="65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579D10C-B32F-4009-9D75-6E418A1522CC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345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101</xdr:row>
      <xdr:rowOff>0</xdr:rowOff>
    </xdr:from>
    <xdr:ext cx="304800" cy="304800"/>
    <xdr:sp macro="" textlink="">
      <xdr:nvSpPr>
        <xdr:cNvPr id="65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47AAE99-D37B-44C3-B116-25CF97296115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345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101</xdr:row>
      <xdr:rowOff>0</xdr:rowOff>
    </xdr:from>
    <xdr:ext cx="304800" cy="304800"/>
    <xdr:sp macro="" textlink="">
      <xdr:nvSpPr>
        <xdr:cNvPr id="66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09DE597-33C5-4E8F-AEFD-DBE5E42F861D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345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101</xdr:row>
      <xdr:rowOff>0</xdr:rowOff>
    </xdr:from>
    <xdr:ext cx="304800" cy="304800"/>
    <xdr:sp macro="" textlink="">
      <xdr:nvSpPr>
        <xdr:cNvPr id="66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4C77A0D-B5C5-4FA1-A8E6-76E99710FF63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345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101</xdr:row>
      <xdr:rowOff>0</xdr:rowOff>
    </xdr:from>
    <xdr:ext cx="304800" cy="304800"/>
    <xdr:sp macro="" textlink="">
      <xdr:nvSpPr>
        <xdr:cNvPr id="66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22BEFB9-9715-4C69-8218-53BA62889BB9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345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101</xdr:row>
      <xdr:rowOff>0</xdr:rowOff>
    </xdr:from>
    <xdr:ext cx="304800" cy="304800"/>
    <xdr:sp macro="" textlink="">
      <xdr:nvSpPr>
        <xdr:cNvPr id="66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0C63E82-4C72-49CC-AAEE-992C9838926D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345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101</xdr:row>
      <xdr:rowOff>0</xdr:rowOff>
    </xdr:from>
    <xdr:ext cx="304800" cy="304800"/>
    <xdr:sp macro="" textlink="">
      <xdr:nvSpPr>
        <xdr:cNvPr id="66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7D0A878-FE4E-4B89-8E92-FB419ACD6B78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345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101</xdr:row>
      <xdr:rowOff>0</xdr:rowOff>
    </xdr:from>
    <xdr:ext cx="304800" cy="304800"/>
    <xdr:sp macro="" textlink="">
      <xdr:nvSpPr>
        <xdr:cNvPr id="66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9F8F377-2FF4-4911-85E3-A195CCB02FB7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345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101</xdr:row>
      <xdr:rowOff>0</xdr:rowOff>
    </xdr:from>
    <xdr:ext cx="304800" cy="304800"/>
    <xdr:sp macro="" textlink="">
      <xdr:nvSpPr>
        <xdr:cNvPr id="66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3659A15-D8BD-4D28-89AC-29E2A4349154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345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101</xdr:row>
      <xdr:rowOff>0</xdr:rowOff>
    </xdr:from>
    <xdr:ext cx="304800" cy="304800"/>
    <xdr:sp macro="" textlink="">
      <xdr:nvSpPr>
        <xdr:cNvPr id="66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277ADB3-B5B7-43A6-A8F2-1E515761356C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345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101</xdr:row>
      <xdr:rowOff>0</xdr:rowOff>
    </xdr:from>
    <xdr:ext cx="304800" cy="304800"/>
    <xdr:sp macro="" textlink="">
      <xdr:nvSpPr>
        <xdr:cNvPr id="66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6150C42-FCCF-4D1A-938E-8313ED8FB167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345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101</xdr:row>
      <xdr:rowOff>0</xdr:rowOff>
    </xdr:from>
    <xdr:ext cx="304800" cy="304800"/>
    <xdr:sp macro="" textlink="">
      <xdr:nvSpPr>
        <xdr:cNvPr id="66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C30BC2A-0C0A-4597-B297-8628CF02DD2E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345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101</xdr:row>
      <xdr:rowOff>0</xdr:rowOff>
    </xdr:from>
    <xdr:ext cx="304800" cy="304800"/>
    <xdr:sp macro="" textlink="">
      <xdr:nvSpPr>
        <xdr:cNvPr id="67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F0378BE-9153-4BE0-8B83-94FDBAF5A331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345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101</xdr:row>
      <xdr:rowOff>0</xdr:rowOff>
    </xdr:from>
    <xdr:ext cx="304800" cy="304800"/>
    <xdr:sp macro="" textlink="">
      <xdr:nvSpPr>
        <xdr:cNvPr id="67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C74D170-4953-4BF8-BF31-911339446CA0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345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101</xdr:row>
      <xdr:rowOff>0</xdr:rowOff>
    </xdr:from>
    <xdr:ext cx="304800" cy="304800"/>
    <xdr:sp macro="" textlink="">
      <xdr:nvSpPr>
        <xdr:cNvPr id="67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584A8DB-050F-42BD-AF2A-898E36D958C3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345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101</xdr:row>
      <xdr:rowOff>0</xdr:rowOff>
    </xdr:from>
    <xdr:ext cx="304800" cy="304800"/>
    <xdr:sp macro="" textlink="">
      <xdr:nvSpPr>
        <xdr:cNvPr id="67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5461C43-803C-4C85-8248-8D39B3BE7185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345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101</xdr:row>
      <xdr:rowOff>0</xdr:rowOff>
    </xdr:from>
    <xdr:ext cx="304800" cy="304800"/>
    <xdr:sp macro="" textlink="">
      <xdr:nvSpPr>
        <xdr:cNvPr id="67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810D8F8-2312-4E8F-90BE-5C585935FD7F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345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101</xdr:row>
      <xdr:rowOff>0</xdr:rowOff>
    </xdr:from>
    <xdr:ext cx="304800" cy="304800"/>
    <xdr:sp macro="" textlink="">
      <xdr:nvSpPr>
        <xdr:cNvPr id="67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CD25430-6180-43E1-ADD5-0EF9A47344F3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345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101</xdr:row>
      <xdr:rowOff>0</xdr:rowOff>
    </xdr:from>
    <xdr:ext cx="304800" cy="304800"/>
    <xdr:sp macro="" textlink="">
      <xdr:nvSpPr>
        <xdr:cNvPr id="67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5A9F9CA-2D7B-49B2-B8B0-D563F1F5E11F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345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101</xdr:row>
      <xdr:rowOff>0</xdr:rowOff>
    </xdr:from>
    <xdr:ext cx="304800" cy="304800"/>
    <xdr:sp macro="" textlink="">
      <xdr:nvSpPr>
        <xdr:cNvPr id="67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FD988B9-3B60-4652-B3BB-7BC4365414C0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345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101</xdr:row>
      <xdr:rowOff>0</xdr:rowOff>
    </xdr:from>
    <xdr:ext cx="304800" cy="304800"/>
    <xdr:sp macro="" textlink="">
      <xdr:nvSpPr>
        <xdr:cNvPr id="67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FC4D841-4D4F-4DFF-B8C0-A83F392EF55E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345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101</xdr:row>
      <xdr:rowOff>0</xdr:rowOff>
    </xdr:from>
    <xdr:ext cx="304800" cy="304800"/>
    <xdr:sp macro="" textlink="">
      <xdr:nvSpPr>
        <xdr:cNvPr id="67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B2CA1CF-6F18-4FA9-87E0-01D886CF5FB6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345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101</xdr:row>
      <xdr:rowOff>0</xdr:rowOff>
    </xdr:from>
    <xdr:ext cx="304800" cy="304800"/>
    <xdr:sp macro="" textlink="">
      <xdr:nvSpPr>
        <xdr:cNvPr id="68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597FA60-1207-4688-AC94-3886814F765D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345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101</xdr:row>
      <xdr:rowOff>0</xdr:rowOff>
    </xdr:from>
    <xdr:ext cx="304800" cy="304800"/>
    <xdr:sp macro="" textlink="">
      <xdr:nvSpPr>
        <xdr:cNvPr id="68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12D8051-6EB7-44C2-BB46-4DA16EF45B5B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345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101</xdr:row>
      <xdr:rowOff>0</xdr:rowOff>
    </xdr:from>
    <xdr:ext cx="304800" cy="304800"/>
    <xdr:sp macro="" textlink="">
      <xdr:nvSpPr>
        <xdr:cNvPr id="68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32B7718-D16E-4486-8A32-BB97AB027027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345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101</xdr:row>
      <xdr:rowOff>0</xdr:rowOff>
    </xdr:from>
    <xdr:ext cx="304800" cy="304800"/>
    <xdr:sp macro="" textlink="">
      <xdr:nvSpPr>
        <xdr:cNvPr id="68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B0D86CE-99E7-42CA-8923-34E503093995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345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101</xdr:row>
      <xdr:rowOff>0</xdr:rowOff>
    </xdr:from>
    <xdr:ext cx="304800" cy="304800"/>
    <xdr:sp macro="" textlink="">
      <xdr:nvSpPr>
        <xdr:cNvPr id="68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4515941-BD5A-4880-8ACB-A03DDFFED0A4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345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101</xdr:row>
      <xdr:rowOff>0</xdr:rowOff>
    </xdr:from>
    <xdr:ext cx="304800" cy="304800"/>
    <xdr:sp macro="" textlink="">
      <xdr:nvSpPr>
        <xdr:cNvPr id="68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F3354EF-A78A-4519-A817-EA24684AD6E6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345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101</xdr:row>
      <xdr:rowOff>0</xdr:rowOff>
    </xdr:from>
    <xdr:ext cx="304800" cy="304800"/>
    <xdr:sp macro="" textlink="">
      <xdr:nvSpPr>
        <xdr:cNvPr id="68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F7CC20A-91B3-4D09-AD02-E24D75F943CB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345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101</xdr:row>
      <xdr:rowOff>0</xdr:rowOff>
    </xdr:from>
    <xdr:ext cx="304800" cy="304800"/>
    <xdr:sp macro="" textlink="">
      <xdr:nvSpPr>
        <xdr:cNvPr id="68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2023401-7B37-4CB6-A134-00281BD79376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345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101</xdr:row>
      <xdr:rowOff>0</xdr:rowOff>
    </xdr:from>
    <xdr:ext cx="304800" cy="304800"/>
    <xdr:sp macro="" textlink="">
      <xdr:nvSpPr>
        <xdr:cNvPr id="68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F5FA0EA-07AC-47C1-879D-90357D1B3F6A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345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101</xdr:row>
      <xdr:rowOff>0</xdr:rowOff>
    </xdr:from>
    <xdr:ext cx="304800" cy="304800"/>
    <xdr:sp macro="" textlink="">
      <xdr:nvSpPr>
        <xdr:cNvPr id="68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F5A16DB-A861-4B4D-B9D2-2E419B89A78E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345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101</xdr:row>
      <xdr:rowOff>0</xdr:rowOff>
    </xdr:from>
    <xdr:ext cx="304800" cy="304800"/>
    <xdr:sp macro="" textlink="">
      <xdr:nvSpPr>
        <xdr:cNvPr id="69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D4B0D18-1EC3-4D3F-AA4A-90F32659AF88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345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101</xdr:row>
      <xdr:rowOff>0</xdr:rowOff>
    </xdr:from>
    <xdr:ext cx="304800" cy="304800"/>
    <xdr:sp macro="" textlink="">
      <xdr:nvSpPr>
        <xdr:cNvPr id="69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359F5C1-E8EC-441E-AA15-A1B5651DEA93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345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101</xdr:row>
      <xdr:rowOff>0</xdr:rowOff>
    </xdr:from>
    <xdr:ext cx="304800" cy="304800"/>
    <xdr:sp macro="" textlink="">
      <xdr:nvSpPr>
        <xdr:cNvPr id="69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7D81CE8-F2E3-44BA-8BED-80AD534EFD82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345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101</xdr:row>
      <xdr:rowOff>0</xdr:rowOff>
    </xdr:from>
    <xdr:ext cx="304800" cy="304800"/>
    <xdr:sp macro="" textlink="">
      <xdr:nvSpPr>
        <xdr:cNvPr id="69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F44690F-87E4-468C-93C4-6620AA25B4D1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345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101</xdr:row>
      <xdr:rowOff>0</xdr:rowOff>
    </xdr:from>
    <xdr:ext cx="304800" cy="304800"/>
    <xdr:sp macro="" textlink="">
      <xdr:nvSpPr>
        <xdr:cNvPr id="69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0AF9AC8-FBF4-4B01-903F-441CB2165779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345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101</xdr:row>
      <xdr:rowOff>0</xdr:rowOff>
    </xdr:from>
    <xdr:ext cx="304800" cy="304800"/>
    <xdr:sp macro="" textlink="">
      <xdr:nvSpPr>
        <xdr:cNvPr id="69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AC4C521-44EC-4FDE-B6FF-5160BB31D6AC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345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101</xdr:row>
      <xdr:rowOff>0</xdr:rowOff>
    </xdr:from>
    <xdr:ext cx="304800" cy="304800"/>
    <xdr:sp macro="" textlink="">
      <xdr:nvSpPr>
        <xdr:cNvPr id="69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6649861-3A7E-4C08-BF63-45F99E8D15F0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345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101</xdr:row>
      <xdr:rowOff>0</xdr:rowOff>
    </xdr:from>
    <xdr:ext cx="304800" cy="304800"/>
    <xdr:sp macro="" textlink="">
      <xdr:nvSpPr>
        <xdr:cNvPr id="69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01D8EE6-8C22-4F32-9D2C-92C45FA84184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345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101</xdr:row>
      <xdr:rowOff>0</xdr:rowOff>
    </xdr:from>
    <xdr:ext cx="304800" cy="304800"/>
    <xdr:sp macro="" textlink="">
      <xdr:nvSpPr>
        <xdr:cNvPr id="69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CABF205-E8A0-4B85-A909-2A35B1DD89CE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345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101</xdr:row>
      <xdr:rowOff>0</xdr:rowOff>
    </xdr:from>
    <xdr:ext cx="304800" cy="304800"/>
    <xdr:sp macro="" textlink="">
      <xdr:nvSpPr>
        <xdr:cNvPr id="69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6B5BCC5-9AF0-48AA-B422-04C2858FF7F5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345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101</xdr:row>
      <xdr:rowOff>0</xdr:rowOff>
    </xdr:from>
    <xdr:ext cx="304800" cy="304800"/>
    <xdr:sp macro="" textlink="">
      <xdr:nvSpPr>
        <xdr:cNvPr id="70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43D6F48-4F7F-4109-B66F-065066F62423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345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101</xdr:row>
      <xdr:rowOff>0</xdr:rowOff>
    </xdr:from>
    <xdr:ext cx="304800" cy="304800"/>
    <xdr:sp macro="" textlink="">
      <xdr:nvSpPr>
        <xdr:cNvPr id="70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F483615-B9EC-4224-8051-946B0448C890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345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101</xdr:row>
      <xdr:rowOff>0</xdr:rowOff>
    </xdr:from>
    <xdr:ext cx="304800" cy="304800"/>
    <xdr:sp macro="" textlink="">
      <xdr:nvSpPr>
        <xdr:cNvPr id="70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9BEBCB3-D2E2-4511-A5A2-95EAF172F177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345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101</xdr:row>
      <xdr:rowOff>0</xdr:rowOff>
    </xdr:from>
    <xdr:ext cx="304800" cy="304800"/>
    <xdr:sp macro="" textlink="">
      <xdr:nvSpPr>
        <xdr:cNvPr id="70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BAA2FB8-E9C5-4618-B503-1DCFC65DDA69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345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101</xdr:row>
      <xdr:rowOff>0</xdr:rowOff>
    </xdr:from>
    <xdr:ext cx="304800" cy="304800"/>
    <xdr:sp macro="" textlink="">
      <xdr:nvSpPr>
        <xdr:cNvPr id="70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D2AC9FE-7017-4CE9-A3F8-046E757CDEA6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345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101</xdr:row>
      <xdr:rowOff>0</xdr:rowOff>
    </xdr:from>
    <xdr:ext cx="304800" cy="304800"/>
    <xdr:sp macro="" textlink="">
      <xdr:nvSpPr>
        <xdr:cNvPr id="70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FC477E6-62C2-4477-BFC6-6C71239DE5E1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345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101</xdr:row>
      <xdr:rowOff>0</xdr:rowOff>
    </xdr:from>
    <xdr:ext cx="304800" cy="304800"/>
    <xdr:sp macro="" textlink="">
      <xdr:nvSpPr>
        <xdr:cNvPr id="70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E3C6566-89FB-4CCD-8FAC-7E8B514C4FE2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345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101</xdr:row>
      <xdr:rowOff>0</xdr:rowOff>
    </xdr:from>
    <xdr:ext cx="304800" cy="304800"/>
    <xdr:sp macro="" textlink="">
      <xdr:nvSpPr>
        <xdr:cNvPr id="70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9E3B514-38F0-4A45-9AD7-E4BA4DC238C5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345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101</xdr:row>
      <xdr:rowOff>0</xdr:rowOff>
    </xdr:from>
    <xdr:ext cx="304800" cy="304800"/>
    <xdr:sp macro="" textlink="">
      <xdr:nvSpPr>
        <xdr:cNvPr id="70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9F78989-A79B-4643-97CE-84E29F402A82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345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101</xdr:row>
      <xdr:rowOff>0</xdr:rowOff>
    </xdr:from>
    <xdr:ext cx="304800" cy="304800"/>
    <xdr:sp macro="" textlink="">
      <xdr:nvSpPr>
        <xdr:cNvPr id="70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4B57EF1-F59D-4642-896A-AC7F8FDC7F36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345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101</xdr:row>
      <xdr:rowOff>0</xdr:rowOff>
    </xdr:from>
    <xdr:ext cx="304800" cy="304800"/>
    <xdr:sp macro="" textlink="">
      <xdr:nvSpPr>
        <xdr:cNvPr id="71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CCF5C8A-A056-466D-A09D-5BE28C13E5C6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345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101</xdr:row>
      <xdr:rowOff>0</xdr:rowOff>
    </xdr:from>
    <xdr:ext cx="304800" cy="304800"/>
    <xdr:sp macro="" textlink="">
      <xdr:nvSpPr>
        <xdr:cNvPr id="71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5A32A9C-FDB5-4DF9-9D74-9EB7266CDB62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345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101</xdr:row>
      <xdr:rowOff>0</xdr:rowOff>
    </xdr:from>
    <xdr:ext cx="304800" cy="304800"/>
    <xdr:sp macro="" textlink="">
      <xdr:nvSpPr>
        <xdr:cNvPr id="71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77241DF-3E98-4018-96E4-0CD0F1A5CC1D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345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101</xdr:row>
      <xdr:rowOff>0</xdr:rowOff>
    </xdr:from>
    <xdr:ext cx="304800" cy="304800"/>
    <xdr:sp macro="" textlink="">
      <xdr:nvSpPr>
        <xdr:cNvPr id="71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6CBDBFC-E112-49C6-91DE-6A7A444FB49B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345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101</xdr:row>
      <xdr:rowOff>0</xdr:rowOff>
    </xdr:from>
    <xdr:ext cx="304800" cy="304800"/>
    <xdr:sp macro="" textlink="">
      <xdr:nvSpPr>
        <xdr:cNvPr id="71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D0DF37D-622C-4025-A34F-7927E94AD701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345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101</xdr:row>
      <xdr:rowOff>0</xdr:rowOff>
    </xdr:from>
    <xdr:ext cx="304800" cy="304800"/>
    <xdr:sp macro="" textlink="">
      <xdr:nvSpPr>
        <xdr:cNvPr id="71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BB1E10F-6C04-4A7B-A4B7-66A8CF0164F0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345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101</xdr:row>
      <xdr:rowOff>0</xdr:rowOff>
    </xdr:from>
    <xdr:ext cx="304800" cy="304800"/>
    <xdr:sp macro="" textlink="">
      <xdr:nvSpPr>
        <xdr:cNvPr id="71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A1CC8D5-CB85-4EE5-9605-5C5A28EDF2A7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345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101</xdr:row>
      <xdr:rowOff>0</xdr:rowOff>
    </xdr:from>
    <xdr:ext cx="304800" cy="304800"/>
    <xdr:sp macro="" textlink="">
      <xdr:nvSpPr>
        <xdr:cNvPr id="71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8E699DB-E254-402F-8F8E-E048CFB2446D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345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101</xdr:row>
      <xdr:rowOff>0</xdr:rowOff>
    </xdr:from>
    <xdr:ext cx="304800" cy="304800"/>
    <xdr:sp macro="" textlink="">
      <xdr:nvSpPr>
        <xdr:cNvPr id="71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44594CD-864E-47B6-906D-877412EE55F1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345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101</xdr:row>
      <xdr:rowOff>0</xdr:rowOff>
    </xdr:from>
    <xdr:ext cx="304800" cy="304800"/>
    <xdr:sp macro="" textlink="">
      <xdr:nvSpPr>
        <xdr:cNvPr id="71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280057B-25E4-40AD-98D0-572B9BD5F597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345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101</xdr:row>
      <xdr:rowOff>0</xdr:rowOff>
    </xdr:from>
    <xdr:ext cx="304800" cy="304800"/>
    <xdr:sp macro="" textlink="">
      <xdr:nvSpPr>
        <xdr:cNvPr id="72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B5075AA-F136-4EC9-A4EE-F5AB57D18E84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345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101</xdr:row>
      <xdr:rowOff>0</xdr:rowOff>
    </xdr:from>
    <xdr:ext cx="304800" cy="304800"/>
    <xdr:sp macro="" textlink="">
      <xdr:nvSpPr>
        <xdr:cNvPr id="72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07767EA-0DD4-4E03-88FE-7A29EA9F9C88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345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101</xdr:row>
      <xdr:rowOff>0</xdr:rowOff>
    </xdr:from>
    <xdr:ext cx="304800" cy="304800"/>
    <xdr:sp macro="" textlink="">
      <xdr:nvSpPr>
        <xdr:cNvPr id="72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5D07A35-EDAE-4EF4-82B5-61D0C5BE8BB1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345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101</xdr:row>
      <xdr:rowOff>0</xdr:rowOff>
    </xdr:from>
    <xdr:ext cx="304800" cy="304800"/>
    <xdr:sp macro="" textlink="">
      <xdr:nvSpPr>
        <xdr:cNvPr id="72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1FF37D8-4992-4215-B7B1-FC3E6F2D0003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345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101</xdr:row>
      <xdr:rowOff>0</xdr:rowOff>
    </xdr:from>
    <xdr:ext cx="304800" cy="304800"/>
    <xdr:sp macro="" textlink="">
      <xdr:nvSpPr>
        <xdr:cNvPr id="72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BB260E8-41C9-444F-8212-F3254C16951C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345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101</xdr:row>
      <xdr:rowOff>0</xdr:rowOff>
    </xdr:from>
    <xdr:ext cx="304800" cy="304800"/>
    <xdr:sp macro="" textlink="">
      <xdr:nvSpPr>
        <xdr:cNvPr id="72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A71BC06-F4F5-448B-85C8-568E79049144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345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101</xdr:row>
      <xdr:rowOff>0</xdr:rowOff>
    </xdr:from>
    <xdr:ext cx="304800" cy="304800"/>
    <xdr:sp macro="" textlink="">
      <xdr:nvSpPr>
        <xdr:cNvPr id="72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4B4FF9B-3656-4F52-B1CC-667FBADBBA5E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345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101</xdr:row>
      <xdr:rowOff>0</xdr:rowOff>
    </xdr:from>
    <xdr:ext cx="304800" cy="304800"/>
    <xdr:sp macro="" textlink="">
      <xdr:nvSpPr>
        <xdr:cNvPr id="72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93D3E7C-1D76-477C-BAB0-C1A83492C4CF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345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101</xdr:row>
      <xdr:rowOff>0</xdr:rowOff>
    </xdr:from>
    <xdr:ext cx="304800" cy="304800"/>
    <xdr:sp macro="" textlink="">
      <xdr:nvSpPr>
        <xdr:cNvPr id="72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DC6DC17-029E-4063-AA9E-19718429828A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345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101</xdr:row>
      <xdr:rowOff>0</xdr:rowOff>
    </xdr:from>
    <xdr:ext cx="304800" cy="304800"/>
    <xdr:sp macro="" textlink="">
      <xdr:nvSpPr>
        <xdr:cNvPr id="72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5AE5AC4-7EEC-4E2F-980A-C3D35A8DC57A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345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101</xdr:row>
      <xdr:rowOff>0</xdr:rowOff>
    </xdr:from>
    <xdr:ext cx="304800" cy="304800"/>
    <xdr:sp macro="" textlink="">
      <xdr:nvSpPr>
        <xdr:cNvPr id="73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AEBD0E0-E829-4FD7-9EEB-50C8082F1359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345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101</xdr:row>
      <xdr:rowOff>0</xdr:rowOff>
    </xdr:from>
    <xdr:ext cx="304800" cy="304800"/>
    <xdr:sp macro="" textlink="">
      <xdr:nvSpPr>
        <xdr:cNvPr id="73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3EFE7F5-912D-4C65-ADAB-9D86DCAD8CBA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345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73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877C21A-E408-4813-AF6B-2C52518C6DF1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73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B92E31F-480E-4BCF-A60F-9071800F57A3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73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4A66616-D348-4EB3-8B21-45506787F6F3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73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006DF4F-F6C2-4702-B901-193FBA317BF5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73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DD1827E-60C1-4C1B-8562-5C5ECC010EF9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73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FFB22E3-520F-4996-9907-5E35C9496F56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73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B48412B-6C02-4C91-915D-E00899451C62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73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497B45F-96BE-453C-9E76-A8449FA18C61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74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6C6BFC6-D34B-494A-8BD9-15B4F125302E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74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D46EB96-3D8D-48B9-91B2-42764BF89259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74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23118EF-CC43-49CE-AF05-BA0EAA67DF1F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74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512E645-938A-4842-9AA7-4E1E521456A5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74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884FAD2-D9A9-43EB-A16B-DA069309B41D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74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51AC7B8-4993-47CA-ADB8-FDCD6C938EF6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74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D243119-F6AB-4D3B-8BDB-5300EC7B6B25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74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4113B2F-064D-429A-B086-13ECFD417468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74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9207081-AF55-45BA-949F-1A03C1802C6E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74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0B1731E-28A5-4C27-9FC9-A4512EC39C7F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75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61B5F58-1405-491B-85D0-FCBF55CB8C5B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75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CB342FB-F964-4067-AE27-9320DB507370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75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444B748-C415-406D-AB68-EB817A12DF35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75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F192ECD-99DA-437D-8FB2-505D15D8583C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75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0AFDFAC-DF2F-4A76-A930-A3FFAE164EC5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75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302E79A-0E42-453D-B719-155014AC370E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75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1F6B311-1E70-4CCF-B72B-A43FD0BA681C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75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D80870E-2BE9-4B9B-AECE-B43270DCCA8F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75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AF49B79-41B7-4764-A644-BF77F021B873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75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F3B06F3-4FA6-4E3D-828D-44ABBC4106A1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76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A96CC90-E0D2-4C38-9560-9B7283BE1A44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76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B822DCA-DF1E-4B0B-83A9-59CB744A2505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76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E546DE5-75EC-4DBB-B51C-4617F53BDFF5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76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5E51BAC-2AC0-41F7-B215-7A78E9E83599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76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1992B08-82A2-4A7E-AF16-104E17D4CD57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76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51E8864-32BF-45DD-B6F2-B90B4C97702D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76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CA3DDE8-7C18-4634-A94F-552372F5D123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76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061A90D-CE14-41E4-A6C4-70B41B4770C4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76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4AE1708-4E9E-4DDF-AC18-A2FEB537E82E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76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B3CDB2D-5756-4753-8712-E4B1E5015981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77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1754391-075A-4803-BD07-457197024739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77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D77A4F8-B892-4BA8-A248-5D6C579EE9E9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77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5A1EF0F-C91C-4F74-9B20-FD87C6711FAF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77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F16DBEF-ED13-43CC-9BE9-1276A76E82A1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77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47F8D1C-5F31-4510-B0D7-B455DE7A7B91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77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1BF3389-7478-4F52-8F59-1A0671FC0283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77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E074DD6-19CE-4A15-996E-DAA80993B5BE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77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D44709F-5FEC-42B6-A102-D15E4C480D01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77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69040B7-194A-4756-A5A9-7007EB0A2D93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77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B397D7C-EFB3-402B-ACA0-3FE520D2123C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78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DC654CA-0284-4E14-B57C-201E2D76F0E1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78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5C79493-3AF0-4A3F-96DC-6AEC894CD0C3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78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C601D65-E1F4-4210-BE02-2C2967985548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78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7058C3A-A4E7-473B-949F-CE30CA7DCEF7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78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CC8A25D-1F5E-42E9-B954-C16881FBF1E3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78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4A20308-5A6E-41F3-B68F-C00646083344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78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3E98FB7-42FE-4A84-81A6-335D6554F509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78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878B795-1B42-478C-A340-55D16CE59F65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78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88F4C0F-AF4A-4605-A1CB-048D5E174DEB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78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58DA9D7-E881-40F9-A586-E97F80A86C6E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79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684D95A-2214-45B0-8EB4-63825A4B6858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79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B06A2F9-378B-4546-AD1C-F479115F701F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79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99E25E4-C329-4F84-8EFF-3C5D28117AE5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79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4ED7585-52DF-4968-BB46-29C2F3423890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79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5395BB6-93A4-4B91-9CF4-3D099221DB55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79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18CB8CC-F9B4-4B00-BB0F-82902D4DA71E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79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8B8BA06-BFDA-4B40-AE31-9838BD3EE76B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79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0FD4E01-6E0B-40D8-BFF2-BC62B5FD8339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79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00D5AFA-9FE3-4D50-89CC-7FF63EA020E4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79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EC33054-9C7C-432B-9180-F59DF85D5D19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80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77B21BA-038C-48E8-A1AD-620FC6EAEA73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80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F331F2D-053B-4B93-86D7-4C8B185E08FB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80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6B54D0D-DCAD-4EC7-B369-877251E100B6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80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D537B71-8446-4F5E-909D-CA121F99B39A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80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0904FB5-3214-4AC7-A9B8-AAB09579A7D7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80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89400EC-9BE9-454E-8DD7-0106FDC45027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80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8C182F8-3E23-483F-A2B1-9DE7D7FC6E83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80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7D3011C-D50C-44C8-ABFB-806C9658C4D2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80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17AE16D-66C7-4456-92E1-A1C9F36C1565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80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9AF0D6F-B4A1-4CA2-9A19-467102D3AB52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81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C436231-993E-4065-967A-F9903D01909B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81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3984F36-3D3D-4C12-97C1-D9AB662D1D4D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81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8F6EE12-98EF-4DD8-9064-AA50FFD8A312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81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1929DCA-7A83-4E40-8A04-F1AF1131EE57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81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DC81315-245C-4F44-9BCE-883C65E60787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81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6056859-FA93-471C-BD11-C239C6E16453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81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E65B342-3111-4805-A3C8-82D5ACA92383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81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A2043A8-7424-4FCE-9B7E-DFC4641364EB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81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B042792-29D8-402F-AE73-53450C2EA455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81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0809008-7332-46A5-BAA2-11EB0E595CE1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82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3801F4A-4624-45FD-A8DB-D53AB43B87B7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82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30E6AE5-5D9B-4535-A8B6-729D459CA5F8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82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DA6EF0F-C6DC-4687-A4A2-FA2E5394066A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82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DC34428-2EFF-4117-AFF6-FFB78EF0EEBA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82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97C5E12-29DA-46E0-BC6F-459C1D60D0C6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82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7B1E04E-5969-4101-BCEC-96AC5AB23082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82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7DCDB33-3B46-4F37-A85F-E506B11CE01A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82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ED23DA9-4CBE-4AA8-A543-307A62752E47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82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A045D4F-E24C-4969-A721-2D16582D4553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82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F9BD48D-07C8-444A-BD7E-7D0B516D5BF5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83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5466B4F-E32D-40B9-84A0-B3BE4AC468AA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83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FF55983-D73C-4707-95D5-4908C8ACF5B4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83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F659703-4453-4EF9-AEFA-E364200D0EAC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83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E37CB61-D337-49AF-828D-2FB3A65FEC1B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83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2A1D93D-FC41-4AD9-B632-5706898519B1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83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3A40A93-24A3-4216-92F3-944471DB32FB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83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4084AD1-F495-4658-97D4-7B1A989BC253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83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A358E97-F3AF-4192-AF86-AE585F6E000D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83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5BDB801-1CAF-4DBB-A1BF-F93D1A720457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83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48E1055-E0F4-4995-83C9-0DBE19C4DBB2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84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2E8D857-47A2-4480-A0D7-4B5A20BE0223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84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58996E8-539C-4E5E-B3E5-6A165753EEB6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84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31EC0A0-DA2D-45EF-B8BF-36499AAE9B53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84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DE64922-75CF-43DD-8C8F-FF369BA62DEB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84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40136F0-74FB-48E6-9069-719D30C5B166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84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58046A1-8BEE-4F89-A7B7-691659A4C3A5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84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723BDED-043C-47D9-8FF1-F627C205350F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84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6AE945B-8320-4F37-8490-217BE9DEE408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84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9D87BC3-1E1A-4D9A-8ED7-B49F72B2B6DC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84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B7BFD4C-C003-41FD-B24B-AD843DBE7B97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85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74D9F79-D93F-45E0-BC95-68463E5AED62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85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EF4C250-E28D-4FDD-8792-682CB3F4F63B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85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DA917B8-0AA1-476A-8C55-10DE2E04D71C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85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0215C2D-B529-4486-941C-FB2D839ACFA0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85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9882A77-91E2-4F88-A2DC-C5C86A548505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85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B76C15F-369D-4B3D-97D8-78D49515A9F6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85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0A1A505-2AB0-4616-B8BF-E6877C312DA9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85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1E814C1-87E6-473E-B731-B730C97A6A7E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85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E707B26-543C-475C-B3CC-3145F768533D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85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936C81D-7C66-4047-ACE4-4FBAE55EF688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86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A40D127-2DB3-4278-81B4-BA54C86F8916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86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3368AE5-5A4B-4AE4-9CFF-3F4C70025F68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86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F564254-5233-4731-B973-52C29EEDC61C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86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D2DBCAC-3BBB-4845-8FE3-BB3419DD2E2B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86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B3AFD93-AEC6-4CD2-AD51-F6ED02C5A000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86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E1BE21C-52D4-40A7-B3DE-656139DCD512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86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10C2F12-EBF6-4E10-8536-994A10A41367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86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BA01620-81A5-42F8-9EE4-1AA6D90E29A4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86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235839C-27C3-43C3-8EDB-35634210C79C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86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D271EF4-A705-4B3B-9372-43F66BAAC986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87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CCE56A0-73F5-48AF-9987-20363D055143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87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D987539-EEB7-4187-8A3A-69BACD43C15F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87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1A74065-3A88-4C68-AC3F-4813B347BCD3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87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096EE98-5C1B-4871-8C9D-245A4DB4EFB5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87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555FA41-ECEC-425D-A121-C0A0362FE12E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87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A3A7AC1-F25C-4124-B0D1-9F48F3DD15A1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87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3BC316F-D498-448C-B48C-D11257FC0588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87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3CBA57B-329A-46E8-8A19-9A3FF2C2DA7B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87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A1A8FED-CF4B-4014-850C-12B630CF9329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87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2B20D57-0D39-4399-9122-0FE6B3DADDAC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88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BD7FABC-968E-4CED-AB6C-65AA06708EC9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88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BFC2992-87E1-4478-B551-0FE23759A43E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88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B5D8386-B34A-4E84-94AF-0CE6ABE3C2EB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88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7E6D27F-FFEA-4BF3-B6F8-0C527780A906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88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C4EA303-FE32-4B55-90E9-1E42B07E8E7E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88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793FA30-918C-4AC9-A003-5A86968DDB2B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88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8A1C475-ED2E-4B34-AE3C-21824290B60D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88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70A8CFB-D567-436C-9BE6-E2C542A7E957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88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D5AEADD-BFDF-4F3C-8B9F-F4F3C261AF89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88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078DBE2-052D-4A92-BC2F-09335309E2DC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89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1518414-51BB-440E-A357-AEC29049EC5A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89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C0BA074-02C2-46C6-9CF2-79B35D358044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89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F115920-A565-483E-8389-7FB518B8D754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89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3E50553-2BFB-47DF-83D8-B07B238F8360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89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31E8072-F76A-4051-B870-65F47F17BE8E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89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1378D87-7474-4349-AD5A-CAF24902AFF0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89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4C743C0-82E4-4936-A00D-9834279468CA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89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9693E33-AA94-46F4-B2AE-54BB68F8C085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89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2D30DBE-67AE-4EBE-B382-78017D5195A9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89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5B5F2F7-D912-451B-9E04-E67AC7664DDE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90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B666B13-87DB-4804-A0CE-0E143907B2D6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90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E3348FC-7693-41AF-85FA-26612F4AC7B3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90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7DA822A-FDA5-401C-9C8C-903C10CFB9BD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90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2473CFC-F17A-4315-BC04-AC3BE545AC0C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90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497A9C6-FBE2-44D7-8062-B5A340E6C42A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90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7A29E66-7B2E-44A1-95D9-A90FF9F21E4B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90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E0E4024-B2B8-4C50-9C9C-179B2B4343A7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90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C57C091-DE3E-497E-AC6B-CA470C696663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90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2B07D0E-DE32-41A4-8C36-3F10FD59AC57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90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C8E8832-6EBB-4C5D-A6C5-D4E33D4F7B82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91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E033F13-33F8-48AB-A3A9-25F9277624DE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91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44EE537-7CB6-486E-BC27-EFBE44796F62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91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8787FA7-DBF4-4B0B-9D7B-287152B329F5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91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F3032EE-CA87-47B9-9A3D-FFCE0626FE51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91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60D8D2A-2B98-424D-A66C-5302234B5BF6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91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526F03B-BC74-4B0E-A279-965F848CFEA1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91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92BE073-8046-47CD-9227-BEF94EFA61A5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91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CB47E38-CEEB-49D0-A4FB-C39E4C776BE3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91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14699BB-D839-4241-AC0D-1B2AEDFA2E59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91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342AC88-C761-4846-B1E9-DC244D7B55FD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92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988ADA6-0DFC-44DC-8C31-12E3A52FBBD1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92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4656A54-F04C-4A6F-9A27-03447B005091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92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B28243B-A0AE-4F73-A67D-93813E4E7A7E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92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79BC93E-43F5-4515-B2F1-D81845A406BB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92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6AC48E1-027E-4B3A-9E1E-4E26786A2D5C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92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9AB1668-7B73-40A0-806C-1C2CBE0FC8BD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92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D9F1E62-EA81-447B-B01E-7EF6044B872B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92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C43C637-BD1C-4B1B-9532-681F76D18B8C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92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7DC2C80-8306-44CC-B908-7CE67AD3EF68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92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B38D9CE-982B-41F9-85D6-EE2AF6E94113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93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0D280BA-E493-49E5-89EE-BC220DDEA4F1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93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A17CEC0-9908-45EF-A691-9574DEEFA5E3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93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C3E3917-4C2F-434A-8768-CCB635CFF368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93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95BE1C2-640F-415D-BBA6-8E8FB56FF13E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93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9BC58DC-C03D-46B2-84ED-56661DFDD495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93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6132F60-60CC-431D-9720-A382E7683572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93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5ABA41A-88AE-4079-ADC3-DC3D8F978E55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93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8B1B333-B835-47D1-BF35-AABB245F47DE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93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355F740-0AF7-44E2-9DFE-334C8ED4213E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93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3252019-C2B6-45A0-ADA5-85CB51166136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94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E10FA03-1415-434C-87F1-5EFFF3AD5B6E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94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ABAB08A-0B75-4543-A9F4-BB6FD6588855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94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2723C3B-C6C3-409E-9DF1-C7BF10159CF9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94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9AF65CD-8A23-4A8A-8D59-9CA2062A8E69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94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D2220A1-7AA0-4970-8071-638879B6130F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94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BE5F4FF-E7D6-4A3F-B85E-975BBAF1E153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94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A55C56C-0992-4B15-80FE-990D32D5F41E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94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96F5663-9C41-4B39-ADBF-680F7721B390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94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6FE1873-2A78-439F-94FA-88B551609AA8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94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B1957FF-E41D-40D9-BC0D-060B70B00829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95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62728FF-B72C-43EB-B654-860206CD301C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95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5BADE1E-D8E7-4593-86C1-4A47E51368E1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95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CACE008-F296-475A-9010-6B11E0497686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95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D9D1AA9-D20E-4AA1-9F27-65279E8FCC38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95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45B6582-CF16-44F8-944E-EE2C3216B6E9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95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9A399E3-5D9A-4674-9D33-B5547125616A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95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A3E5C02-703A-49C3-AD6C-93B03B51C16C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95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4E7B929-499A-4E91-9E6D-8F75BAA0B778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95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35D5ABA-D4C4-4D9A-AAAF-1ADFA431489C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95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A3D2660-53D6-4FEF-8714-18CC6A7E30F3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96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503FCC0-4956-47FB-B688-6A2445AD1B00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96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E533C69-DF9D-4461-9843-FB1AEDD31586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96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DB0AE2B-A333-457C-8257-CE00EEC422A6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96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CCBF747-68F8-4A54-903B-E455C2CC72CA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96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037DE31-B5F3-49F0-BFBB-11C6BBDEEFC7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96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F8763CD-7C42-4AFB-986B-538A4F446132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96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492BAAB-6D8C-482A-B58A-C7D44989CB3F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96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189EBA8-C777-4F2A-830B-73F8B0B6B6FD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96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C81B606-12F8-4BE7-B40C-952951122692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96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D2C234C-C86C-43B4-BFB8-BDADC85324B8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97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C91DE5F-3D5A-4A27-9C42-A172F4DD97DA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97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3E0B25F-22B9-49A8-813C-ADA9CD74019C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97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7D1BE63-B90F-413D-ADEC-8BBC1739B8E6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97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4E0BABE-3A21-4EE2-8D43-BFA7768D4BAA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97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E8648C2-C164-4D8A-B380-64BD13311B92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97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4F9896F-C56B-4046-8EC2-A31A4238D382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97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17CA3B2-BB34-4F54-9C8D-C3AB9D69B9C4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97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E349E81-3071-40F6-A562-1C6BB2B90CB3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97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5950E39-2925-4D94-8F9B-BEB6FCD596AF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97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320090A-F975-4675-83B1-1B3FCFA92838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98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116C89C-C9DB-4738-92FB-ED572E565884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98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237F25C-F5DC-4CEB-9616-1088EEF63147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98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71F1615-ABD9-4014-8147-9B7B67F6A02A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98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7283409-25BA-4FF1-B37D-31B73880B60F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98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CD34426-10E0-4C4A-9F05-6A9B759C50EC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98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18CC17C-74A1-4FDD-9262-5199AF5DE050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98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CDB9F6B-07BF-4E88-ACC3-2B91DB9AEFA1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98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A155FA2-6615-4A78-9BA1-0394DB930F9A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98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093ADC7-46C1-4CE0-A16C-95E7D5CB64F7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98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89375C9-A222-4005-853E-8FD803123E24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99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5B61728-1810-4164-80A7-174ECBDAC852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99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91D4F5A-763A-40FA-8CC4-662CF3A590F3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99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301FA56-910D-49FA-A460-0D1F6EC8D8D1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99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F797249-EF8F-4753-8243-C2CDC57B665F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99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E865509-EEF8-4229-BFC4-B47D4F87605D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99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5600D95-F878-4406-BEC2-082F30894013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99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B86DF0C-0CD6-418A-9942-9C707D2E2B8E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99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19E73FA-69D4-4E46-B676-9C570F7C25CA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99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781C41B-3DB9-42F0-8757-C2E964CE35F5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99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DB29BE1-11C6-4635-A05F-BB4CC336425E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00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AF28E3D-8850-498B-9700-6DA5E0878E28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00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6E2C62F-67E4-4D49-AFD0-D7C86A7E6B01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00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F18B3B4-C7D6-4A01-8A39-CD4C8F6D2E00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00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05B408B-F1B5-45EE-A8C7-0C6CFC262F5D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00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36DF954-AA51-4ED5-880D-497B33618EE8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00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1F88141-C561-4D60-B05A-D8C7F7B3847C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00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6E5CF04-D985-4820-AD0C-52A3BF118E56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00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4F494EA-81EE-4158-9F11-B475AA08B55D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00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60922E6-657D-4CCC-886C-DDF61F957907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00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9E3713C-7161-4B30-81EB-5B673F1B2953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01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F59E2AF-571B-4A36-BC0D-B06217963B02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01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3A6F92F-E064-48DE-97A0-E42480A47BF2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01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38CB1CC-3940-4592-AD8A-329DEC94483B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01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FD1A520-23FF-409D-B7A8-0F07FED0A575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01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DD3D933-4F05-4FE5-A394-2D2EB16D5A7F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01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7986C21-4357-47B2-90FD-92BEF9DFE4F7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01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909BF19-3A68-4C07-933B-9AEB9C89C8A6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01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DC18928-3215-416C-A311-707BDF23E84D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01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DBA26E9-C7D9-487B-9608-56EE5D2A1098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01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953C400-E2BD-4CD1-97D4-C437CEFA8FBF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02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D79ED16-EBB2-42F7-B89D-11276AFD513C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02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1C28AEC-26B0-49D7-BDB5-5CA3209522E7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02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F34786A-F072-4878-B30B-6CBFED8417D5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02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1EE0356-DA91-4F7C-B386-A62E256AA715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02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1A3E040-6545-46CB-931E-265798DEED68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02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0CBC094-3DDB-45D3-B180-37FDA2B6D2AB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02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10A4BF2-BE1A-4E81-984B-DB3417F7F4C2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02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94A042C-906C-455E-A0E5-D1D5A64FE8CD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02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84ACBF3-BF4E-41AF-9A4C-D54565816020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02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D0A7D0B-C060-4F1A-950D-F4775086EBF0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03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EA29D43-135E-43D1-ACCE-B9153428ACAE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03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C40E887-14B5-4EDB-AB60-1E339818F1BD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03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A567330-29DE-4A58-8C5C-7AFA0CB2E2E8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03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7237D98-7A39-49FC-A637-020867D4C8AA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03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36C365B-98B7-43EF-8307-4761F80E5CCC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03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D77587D-8D65-495A-9BAE-8CD474DA4517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03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2CDFC1F-850B-44EF-A146-76C9A0CB3382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03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33EABA6-40E8-4F86-A9C1-B8305250D9E7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03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B536127-CA21-45F5-93FB-0BB18AA1DD40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03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CD50368-97A6-4449-ABAC-8F9BD7FCE0A6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04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3DA4611-9F84-4C3B-941C-615B414456F6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04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38C6F32-C3A8-4630-813C-952B3A0CFD8D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04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B7B15F8-6DF3-4D0A-87DC-209B6CEBECCD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04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44E55E1-F83E-4E84-8108-FD22C3B0C45F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04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7667435-7F02-49D2-A48E-F1436292132F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04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7D35896-788E-4E4A-B70C-A24F278334C3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04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CE9831F-0C74-4103-93D9-F7B16F65A9B3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04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D13C3D4-B680-42AA-B99F-9E914AD44187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04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DAC5BEC-C1A0-4564-BE92-AE7242D0444F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04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F8B1E4F-B547-41F6-87ED-51781644F0F6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05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D28B650-BDB3-40A6-A910-5CE94020B27F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05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6A3DD02-9544-4E71-AC8F-4D28C2A5B788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05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685B29B-33B7-4F58-A66D-DEE441FAC27C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05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D6742E2-5AB9-461F-A332-4256A5C8D0E9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05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F446D57-C9BF-4786-AE2E-22309AABBCE0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05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20CE5B3-E2D9-4C87-B741-D5B109B3521E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05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20D33BE-31A4-4554-81E3-E67E82B21478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05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2C52BCE-6221-4DC9-896C-3345A44E7592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05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6E8689E-3F0E-47B8-B5E4-F53D4B401CD1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05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D617567-12B8-4257-8EFF-CA2B8EBFE7A9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06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EC2D78B-18D7-476D-86A6-D81842C07838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06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81BC2DB-01E0-488A-B566-305694BD301F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06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459053A-BA25-4427-9E9A-F082F51C6518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06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9C4C774-B381-45B2-A77D-3DA9B1FDAF08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06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E4B405C-BE9E-43EE-8784-1DCD1F989212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06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F93EBC0-C2A3-400C-8A3C-58986D6CE659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06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62EEEF9-1495-4579-A483-589CBCC2C810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06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0D357AC-FC28-45A3-8A61-738256BE9DFB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06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C04977E-B2A5-4AA7-B46F-048C4C6AC8F4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06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23F6762-EE3A-4157-B8DC-E0B0A75563D4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07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9DD8376-7DBB-49C3-8AC6-C97D54BBD911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07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BA88C30-F81E-43FE-8F4C-E8CA9B847F84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07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3D99AA7-CFE7-4FBE-B199-BAFDEC520240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07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1FCFDFB-F3C0-40A2-8514-88305CB729CD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07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6B9EDF9-ECEA-4180-8DA0-B0DA0AA1EFAB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07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166EFF1-6967-4EA4-9AB2-E989B45FB192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07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F8C0D25-8FAB-4AA8-A950-12A8F59B8224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07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F6BC45E-F94C-4169-B559-4125EBFA9AE7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07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BB40EB8-BAAD-4D92-9DE6-4BEF3B6C2118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07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B0A97BE-68E2-44F5-B3D1-9F9E06E667E4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08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A4E9736-5F47-4D40-A049-82DE4D4ED6E9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08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940E93E-70B5-4E85-B32C-369E8B0506BA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08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8CE1E6E-2799-4AF5-A695-42354A14E37C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08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FCCD732-CA30-484C-A3C1-9EAAA3104320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08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2B4386C-296F-4B21-8410-43FE3A83F595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08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3C2ED5B-F80F-417D-BDBB-175237F42BA9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08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6D54768-D31D-4C28-BA9D-226F47DBED4C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08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5CED2DE-FB0A-4EE9-8AA6-9FE42491349B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08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31B7B2D-5FCC-456D-86A1-7903F2DDA64C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08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A843EF0-07E9-40A4-A84D-51448382F3F1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09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1D88E0C-27E7-412C-A879-58EA3D2F6B62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09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1B33390-B31C-4C26-909B-50BB49BFBD10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09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9D75BB4-760F-4D4B-99DD-476D6305E4B5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09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28B9D14-00E0-43ED-A192-D59A746C431A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09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294FDFE-AE7F-488C-ADC0-E222CF987A86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09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4C11C28-EB40-4F96-8B40-BE3A506D4913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09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30C8896-BB68-4456-ACF5-89F133BA0B64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09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193B254-DD75-4E0B-A8F0-7977C81F9CFE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09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EB01776-FE6B-4968-BF2C-A9C3D4BF47E2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09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E8E0536-26A1-449C-A546-A1C3BFB38CAC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10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39C03F4-D708-4BE0-B43D-1F037061815E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10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2760ECF-198E-4786-B467-33E8230CF5E4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10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D23CAEC-08FB-41D9-998B-4305E67298C2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10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2D22494-61C6-441D-A05E-6EF364BFF61A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10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CFE409B-B33A-4EAB-985D-90019173EA6B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10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9F9D6FB-638A-4776-8745-BDCBE41D6F57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10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8F432FE-51EE-4B8E-8022-EAF1A7089730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10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885AE9E-D4C4-4D86-877D-EC4A9AD22DB2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10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25E9654-7C43-489A-A363-88CFB9F5EF4F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10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933A6CA-8982-40CA-A344-7F7D7B2F256C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11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0D13FB1-5432-44A8-ADF0-9BADD3525062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11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C95952A-217B-4C27-A0AA-5264B27F0253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11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1C927DB-9C53-464F-919A-68D8BA686331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11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AF79185-4330-4050-B7C8-3187840DA38F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11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6CD6562-24FA-48CD-A9C6-725BE16695F7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11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B2EF4E3-66DD-4F56-ACFB-A50C5986EF43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11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29F7E33-E8A8-4414-BBF6-B2DD37CC3298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11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0E37487-7F3F-4B53-A8BE-4A8DEAD223D5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11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DDA2695-D1E9-498E-A337-B1FEC61A69EE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11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0AB2D1E-C991-439D-94E6-342DAC76DD1C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12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250D56B-CCF0-4954-AEDD-0C342D203E75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12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2516220-241D-4401-B3B3-A836F7CAE016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12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38600C2-C7BF-429C-883B-66E34E5B3DE8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12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C86C324-F7D2-4800-9614-6F008F8EA9EF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12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94639CB-E120-4B5E-96DD-B1A75C2EFD76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12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76B3891-56EB-4CB6-9E8F-A191235CC054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12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CFF56B3-D4FF-465E-9C6A-17678DC3394A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12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F2BED2F-00EE-491D-8253-3506E7B04886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12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C50BE7A-4F05-402C-9C45-F7E27358AD44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12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2CAA901-E2DB-4A9E-9627-F9AB3886FBED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13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DD9C1F5-3C0F-491D-B581-F6EDF8B96654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13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53016F0-2C96-45A9-AE85-BDC2997911AE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13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E9FF77F-69DC-41F1-AFB2-4119A66D4994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13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12D3E19-BE8F-4DE5-B081-9A54A73F491E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13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770CF37-0555-447D-99DF-837D52C98FA8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13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74106DA-323A-4166-8867-672C4983BC8E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13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57B8CFE-F722-47E5-8006-7054BD7A354B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13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2E4F7D4-975E-4741-BD0E-4F267DA09C76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13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3C55ACC-DD13-461F-9036-E2438C51B181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13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DEC2054-4C2A-497B-B28E-85020B532D94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14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790F835-DF58-4BB5-B034-CDD819C1B746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14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49D3429-3ACE-4D45-919A-885A9225BFBD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14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56DC64E-73B4-4684-9C9E-AFC5CBB82C83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14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21A85F0-4CEA-4ECB-84D7-6C3D55E83D8C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14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1D4862F-1CA0-4C4F-BABF-E3706D34A970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14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2811124-43DF-41E4-803D-D90A8347BBA2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14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5A9F2CD-2755-4D6D-A09B-FBD01D491F8C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14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0C435A3-E64C-442C-9AD1-235B61702483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14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FD5C9D1-152F-4647-A219-B3DD694F242B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14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1BCD070-CCBF-459F-A621-4B128C081558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15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26E9E44-40AE-4A0F-A4D2-C16A09959D24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15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046632C-EE23-45B6-87E6-09AD60C2AEC5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15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322896A-E13F-46DD-8ADD-A1DDCE8E4E31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15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19B6403-729B-460A-A192-859565318E8C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15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F22DF24-1A9A-4810-86E4-E17963EAABD7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15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BEA22F5-CF70-41F7-89D1-7AD26EC66A88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15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0C93B56-E1E5-4D01-8565-27802AD3A7FA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15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8777C19-43AC-42D6-B8A9-3ACCC3EDBFDA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15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7A7C04B-DC0E-490E-A771-8DDCA465835D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15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04F4D16-F641-4403-B34B-C409C9D5EAAE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16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F2236CF-B96E-4C50-AF70-78FB4C85B882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16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1C367E3-CDC2-4F73-9EF1-FB754253421A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16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377CC4A-5F7B-4209-98EB-6F12CC233F00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16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23B87C4-E46E-420C-8692-765835C16D62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16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0282C32-A55E-486F-AA5C-AFB16057F757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16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33D5DFD-ED11-429B-BC8E-D5D4685C833D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16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A73C6AC-33D9-411E-ABAA-0D27D29127F4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16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163D3CF-129A-4200-8096-18AB3EEC9963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16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9716852-0C2B-482C-B3C2-EDF30C2FE391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16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66A5E49-CDD1-46D6-91F1-DE0C54B95EF9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17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B289817-6B98-4420-BD71-BBA0EC852956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17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90261D2-B813-451E-88BA-28F80CE6EC3F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17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1F12079-6A13-4DE7-9AFD-D6EAA5662F1E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17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F051745-2351-4FEA-8FDE-C599A5075745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17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D4FE31B-B624-4C4F-8D28-FA38D013E542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17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18AE223-9F6F-4EA3-95D8-DD277E836A74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17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D64519D-00C0-4579-B7C7-CCA1EEFB093E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17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02A2AE4-0876-417B-A8C8-05843A0B6FA6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17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F240E20-B5F1-4B84-9F9C-03B5248F518A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17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AECE1D7-C951-487B-A23C-9C5F89E2D31C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18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2B1AB51-FD59-426C-B104-A8D975B3C063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18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217496E-23C6-45E8-8649-A48268A81DBB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18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F245069-4073-4117-804B-4932C2DE63F8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18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301FCE6-B066-49B6-B127-B61DA1976DCD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18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177A15C-EAAE-4186-8D56-0ED973A6824D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18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71ED36E-E4B7-4CA9-B206-346C20DF06AA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18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F1B7FBF-AFEB-48F0-A174-3A8ECB89BC92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18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4E8DBE1-1882-4B28-B404-5C10169E8451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18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5A1D16C-5014-4506-A4BF-CA2E8A089B27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18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B406E16-A5B9-4480-86EF-1C94B493A1B2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19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5807E53-8A7D-408A-8EAA-3E79623F844B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19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E2602E7-354F-4ECD-90BF-1E14A27BCF4D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19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C3F4B50-6DBD-4783-B4BF-317BF9CE1716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19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B6B1845-C6D8-4D9A-8523-1D98F798E643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19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B8979DD-3572-4A42-B7CA-A77845325F7C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19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953F3E3-33CC-475E-A12E-231E4AFF35B7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19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C91FE9B-7F30-41A8-9B58-49D5700CC6EF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19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BF4494C-3925-40AF-943A-BC948AEB3001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19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BE3DDE2-26D5-44FA-BFC2-F03884417116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19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C7EB6F8-EC7E-4403-AE8B-23AC832F9D87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20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CC0E9EF-CFD1-4A8E-93D6-6F0C2C01043D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20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299504F-38DB-441B-B834-C89AE7BCB1C8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20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A398C5D-D7F2-4E78-B2C9-3120AF6FB8E2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20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6CD8C54-EBF8-48D6-AC93-94DC0CD00BFF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20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431AB42-1848-46C0-BB1B-4AA550883376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20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39F074E-43B0-42EE-B1D9-1B8B19F4C82A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20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A98B2E5-F1CF-4F9D-A75F-87C30344851F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20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77D854E-714A-421D-8880-82D308303DE3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20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DF55CAA-DFC6-417D-803A-B54EF9B9E695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20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20C2D6E-086D-4593-96F5-4E33A3C8A8C0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21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D130CB9-FDBD-473F-B15F-8E5F4F430058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21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BA66ACB-F36F-403B-84D1-61A183B87EDD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21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9591554-6088-40C5-9374-F23484761AA9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21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8E0A10D-BE70-4EF1-BD67-59330A7E15E6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21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429090D-C2F1-47FB-BCB4-B6F4AD404924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21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40AB2D5-0B32-4CC6-B3BC-6258291BD683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21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3AE799F-3008-432C-96D0-91F796FF6334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21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31B43C8-DFFA-4CFE-A641-4093D9204FB4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21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B221915-8B7B-4BE0-87C9-672C46251CD1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21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BC1C46A-C459-4C35-9210-9C537DD34454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22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E549B3B-A193-468C-B569-8F6F7C18968F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22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D075C92-1005-41EA-A719-76F8E511BE56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22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26EB08F-85D5-4F11-9E26-E03E2EFB966B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22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905C0FF-826E-4672-B4D8-2913E6689EA6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22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29426C7-6644-46F6-8409-637155B6B14D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22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1746214-8B80-48F5-9C36-45A2C574959B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22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9540986-322A-40A6-8599-CDB613533164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22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3B82F56-A1CA-4C45-A787-3FE8380C0D5C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22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D98512C-6A38-448A-8CD2-A15806EDC12F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22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1EB5614-4E98-42A6-A171-9AC04C943728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23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DC3E911-1DF3-489C-814F-C7A71B1D6ACF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23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AA018CC-875B-49E6-942B-4C83C2C59C5D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23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082EE46-54A5-44B4-8E8D-D8F315EC2EC8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23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27E40DE-3DF8-46CA-B01F-7A0699F71E05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23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4728423-0242-4F31-9584-7B14DA52857B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23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0AF437B-AFC0-4A40-8398-B29559CDC634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23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E51D831-74E5-4C24-A183-C078928662E2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23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FF6C4A4-1973-4A45-B1DF-8B291DB27C95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23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DD0E296-897C-4E16-9848-6CA0D71A5D42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23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6D347D8-9173-460F-8AAF-46A3F2B31344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24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3015C84-C859-4275-9FD0-408E04647576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24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5B6B6EE-71DB-41DB-91F1-793D00CA7A9E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24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AF51229-EF4C-4F83-9505-A0883E2824AF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24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27D666E-2C55-498F-9835-3B48A837B020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24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6E747A7-7765-4AEA-9E3C-E8951C88926A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24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7639F58-15ED-4B4A-A097-EEF83D3F4D59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24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7A1A02E-6004-4C8B-BB07-E45084EC6E62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24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F7C0367-1558-4889-83E1-41ECAA87E799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24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AEC5E31-8D45-4A57-9987-095EF1BA3EDC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24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9F1B355-6B35-4AEB-A2C6-116A8DFCFBB8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25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30765E7-D44D-4C0F-9264-D2B88EA506AB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25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BBB6306-4A07-4BCC-9131-7A651E851EC1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25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AA9F5D6-F9D4-48C2-BF85-3820CD3C869E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25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C92A418-4ABC-42DF-9640-CE65FD1D1755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25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FDE887F-F748-4F04-84AC-639D2CA809E6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25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F0ADEA2-A46F-4998-AA69-55D5F2A380F6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25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0CB92A4-71F8-4B95-AFCE-7A1DB2CB290D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25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42F591F-9949-455A-89C6-6D6FAB928FFD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25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B3BACAD-D573-4A78-B5CE-BD726E0D3D32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25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6DBA78A-CF06-44CD-8AD5-052FF3B0F899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26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7D8FC57-0304-4647-9052-CFC2B10370B3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26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DBC96EE-6764-4CA2-8FB9-1D170562C021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26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4119A66-796C-4F31-B505-27C7C4712753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26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FC3E98D-1D01-4535-B3B3-3C6DB182DAF8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26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CDBEE3C-FA10-4DA1-9E9E-4C63A2532C57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26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D4B7E29-522A-4011-8539-DE4D3AF23BC5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26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BAB1214-BE1B-44EE-B965-DE6F7B4F6C9F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26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435EFB5-B497-418E-8C19-A19A8FA041E0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26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B134FD6-E2B1-456E-93DC-68A6A9F258D8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26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F361379-290D-4F85-8E08-CDB2E4CFD0EC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27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3F1108F-F4B4-4585-AB4D-1C01D1A31824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27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8F8997B-291F-4054-B62E-B8EE4D559954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27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7774C23-4906-45B7-8431-647253D2869C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27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18EAFE4-7C02-4E79-9B00-8BEDB7486175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27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7EF69C6-905F-4C26-AB86-AFF253492875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27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3AE641A-5304-4D2A-B611-CA56FB1219C4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27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45F08B0-AF5D-4ADE-9730-FFBDD43E8CB3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27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E5949C8-C5BF-492B-9D89-C2466F3BA960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27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26FB723-465C-48F7-82A5-461E72BEBB18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27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D4433E7-151D-443D-826A-362A332D47AC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28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E9147CE-5D6E-4075-A9CF-4C369EFCABD5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28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C5FBBF4-54A4-4A68-BF17-986BB990CD47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28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3AAAE01-9C50-4CA7-AC96-DA1B6FE28F53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28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9614F0A-308B-4CF1-8427-B5C1DC07C0B7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28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C19E2B7-45CC-4858-9E44-3B56A27C3750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28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5D67FCE-575F-43CB-BEC8-293B2BB51535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28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D4D966E-EBD4-4A0D-9029-6A15E7A840EE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28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816AED2-CC0F-44D2-BFE3-CEC05C6F7B13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28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0B3A97C-F660-4E6F-9CD9-1BADC71BE47E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28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44BECA5-3671-4678-B81D-DE4957BF9015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29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A0EF6EB-A5B6-4271-B73D-58E466BF8B68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29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28D37F8-C7ED-4D3F-B989-769D39435439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29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C6E7EBC-B521-4B70-A6E5-F39FF790F5C6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29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11A1715-8766-42C2-A080-35A7DC9BE6A0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29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DF1A82F-E5A9-40F2-A1F0-5BC1D5FD853A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29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423354D-DEF3-4C72-BD98-8245F53D1981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29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AC4C780-3F92-410C-8608-D2D1E33A55B3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29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A60D3C2-FFC4-4FE2-AAD4-0E6AF6424479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29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D55087B-C96C-4D5B-8043-6C7DFE2920EE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29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BB00DF6-4D57-4BBF-94B3-A16E2B87F87A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30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D9EEBBA-5D9D-4878-961F-335580652CF8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30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B716598-9149-4BE1-B1DD-3A42650D6F78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30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519767B-611C-48E2-B7FC-8CD154F290F7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30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4DDE068-E94D-4779-BCFD-D6580E30671A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30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34A6C86-5157-4564-ABE4-7215E7DE40EA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30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100F332-8F60-43FF-B4B9-EA4D04287A0D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30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384777B-DEDD-4184-A5FB-62BE8EE6D72A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30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AA1175C-F52B-4B32-99B5-277F110F1B02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30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F3E1B47-220F-46FB-808B-D92044EFAC19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30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31D1AAE-837B-4375-A3C8-89EA20926561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31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8E10764-83E6-4B52-ADF9-B0ECFA3137F4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31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8E64E71-157E-46B9-B051-156E6667EC5E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31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3AEFDFD-5075-41CE-A25D-48DC0863B609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31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92C761A-D16C-47ED-B18F-A5F54A416959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31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634DF3B-730D-42FA-9003-49BD808FF50F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31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E6AE1AD-2F96-4301-A70A-EFDF3CA0452B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31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51F73DE-1960-4B18-9C26-BEB1F7E44347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31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AB61BE6-0BAC-464E-960E-E2C82CCEAD48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31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247EEC1-F108-45FD-A150-F7888B040C4A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31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69FFC50-EED4-47D0-8F20-E55D0A61D4BF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32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53BFEAC-8611-4E41-915D-1A43CB64C393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32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5BB63AC-CBC0-457C-B119-E972285F500F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32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33DA940-F0F9-4CD9-A608-D96A946D7809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32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2F4C5FE-93CD-4932-8A35-DF4D4E51F57C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32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A486BAD-CF1B-44DD-B562-4BB9695F242F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32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CCC6974-6589-4B64-8E21-742D229A8807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32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9D50446-6EF4-41DB-86BB-B0AD4A9125FC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32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7793ABC-BDCE-4E39-8374-80612A237DA2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32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60116B6-F5F1-487F-B132-E58AB28B8441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32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7581F92-295B-4626-A861-7B22340BC7C0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33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C7FB56B-1698-4D89-BBC6-CD3A344C113E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33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5E51A7F-7E8F-4FD6-A901-57D4FFC31416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33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9E7F5BC-815F-4CFC-98D0-103E69424AC7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33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1EBFE70-402E-4FB7-A651-128FD6EBE292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33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FA673ED-74D8-4AE2-91A5-91060F8F98A1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33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995CAC2-2B22-432E-B715-50781BAF368D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33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9FCECFF-8C8C-47F7-BBD1-7EE119DADA2A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33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1B39D30-A4AF-4280-9F82-1E39D9EF5C89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33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CABE8FD-5C00-4EA4-A177-BA86F79897D2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33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D2630B2-0E08-4207-AAE5-13990CFE9A26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34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D8479DB-298F-4E4B-8D20-5B9BD4FB0DD3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34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1741E84-043C-49DA-A8CF-5B03363D0A5C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34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C965EE2-4797-4430-B158-B98BAE792AA0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34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1D9DBAA-44F3-42AB-8728-0D0E70187BA7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34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3B1DB3C-C2D1-4C69-991B-1243284FF90F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34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280D786-7E57-4A7A-9CF8-CAB436ECC8A2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34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F728EA3-4265-406C-8F85-BCF5B770FA5A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34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638561F-966D-436D-9614-0676DF8B868C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34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175BD25-DFDA-4EBE-A103-0AD194C701E4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34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D28DDE7-4360-470B-BB6D-B41E6876F2AC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35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8B0E75D-F141-499B-9E3C-C21BB5089A64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35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E75B5F3-5E1E-42A5-9815-0DB904370E78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35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7AED2B6-450A-4C6B-BE6F-8526A325A92A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35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18CD434-B357-4083-A949-5C70BB133C14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35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D4033B9-AC65-4F47-BFC3-8EE4A401D6A0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35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0480C01-5A36-4952-8229-CBD5CFC6353A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35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1CD7644-3CA5-42F2-97D4-A2AFC6A0907D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35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402DC51-E331-4981-A1DA-19CFDF497E2E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35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1618B8B-66D8-4140-A3AB-264F3279B7A9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35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A00A4CD-11FE-46CF-BCE9-156D6CD88476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36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41B2216-ECD1-4B05-97B1-A2792874AA04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36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708D95F-5AEC-4276-AA68-F1C18EA2BD1B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36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AE31939-84E2-4F66-99FB-CB2D7CBE54CD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36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6630AEC-9C6B-4632-B41A-C9CD9DD0C160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36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C494EFB-0634-4FD5-93B5-DECECA2607D8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36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7F7BA61-E8EA-4C35-821D-BEC6369C1A40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36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0121BD9-D52A-4439-8CCD-C5BE955473F7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36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0EE6D5A-7500-4069-A284-8658479BF636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36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60D1A62-E001-4D6D-B072-6F0B7587B4B0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36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1C73B64-974D-4C48-9F63-EF99A2F8898E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37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7D7050C-B4D8-41D2-904C-866076CCAFA5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37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E52F925-BC7F-44A5-B9E0-256D0866F55B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37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C97CE57-2FD8-4CCD-A523-836EF8F5BF58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37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C68A603-3697-45DC-89D0-DCEEF497A58D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37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54EE157-4D05-4DBD-B50E-560244E576BA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37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6C0EA5C-C85B-4FC7-89D6-F9B88F2B1591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37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BEA986C-43D3-43FC-9DD6-4C9EC3FA84C5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37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41A1EFF-D5A7-4C3C-94D3-5B6988BC97EA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37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472C497-578E-43FC-9C71-77BA4B441863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37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5A3E867-4841-4F58-927C-9ED493856398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38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A60146E-6952-4E8E-B433-04E49C27787C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38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BDBE356-DF16-44A3-B994-CFACB8ACB35F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38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6B02A25-F2B5-4884-BD76-2E6249CC8409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38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B2C238D-AC4E-4C1D-A911-B80A70B4C724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38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E9FB41F-61ED-41C6-99D8-8772F0D00995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38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44532E1-114B-4FE1-9A20-99B22BE05F90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38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F5CD285-D209-4A3B-B6E2-311E14D42C8A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38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394909E-2305-4DC1-A68D-1BFF166A929A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38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A508B88-68BD-487E-AE1F-26BE82D48777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38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5615FF0-A103-46C2-B979-F0A3EE08EB5E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39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E49624A-2CAA-4C89-B9A7-325E9A7157BF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39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7C5E5C2-527C-440E-AA70-282F3F5C7BAC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39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8BE9EF7-E43E-4780-A275-2E39FC9797BF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39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3D53153-D11D-4372-9754-96416D159584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39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7FFB076-EA4C-42AD-9F02-83998AF2C7FE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39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89E73EB-563F-4C41-8947-6D25F8F9316F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39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3A44971-48B6-49D3-B19F-60DE68AC7B5B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39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5F08D08-AE6F-4B53-A979-238336820F01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39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6E97399-5484-4E38-A24B-7D27AFEEED30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39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9136D1D-9E8E-4BD2-88A3-45C93A51B47D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40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7322C97-8F22-4BBA-82A4-D6C9B3F14A6B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40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83E05E3-1693-45E0-B23D-159FA6421379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40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D0E75A7-570E-48BD-9D99-D20D73296925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40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4D3E098-2766-4778-B53C-0621EF3A3CA3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40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97F1B28-421A-48DC-9CB8-4667AFB3AE8E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40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A8AF26F-88E7-49D4-B05F-D1F04BC5FD5E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40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9D3CABC-97FC-4C79-98FC-E093B75443F8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40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22FEA01-097B-4BEA-8278-C2969AC16542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40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FA2D2B5-0635-4BEC-B627-AC9350DC77EA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40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FECDAF7-DC48-4342-9B25-36982657736E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41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A5D632C-9204-44B3-86A2-7E6D879FC46D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41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2285613-4CDB-4D30-99FD-D41A7E64D5AA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41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3F50529-8D8D-4E5C-AC04-CE17753B96FE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41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79B1272-1DF6-4C9C-862F-299951F76D1C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41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A14DD3C-9835-418F-81A4-577CFF73120B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41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E01CF9C-395B-413B-8736-CE249A196EE1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41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6868BA4-68DD-4262-8FE2-AA6968BDBEEA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41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4C7EF5D-806E-4FE8-B381-C346BC1BE860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41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94B8B99-D72A-4198-A625-3B4BE8D7DD19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41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A63EB85-A597-4A4B-8C92-6FB983975D77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42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A239287-4690-473B-9CFC-3F44C1048F83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42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0E9C5B8-D64D-4464-B941-A4CB2CA81C83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42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2E89A44-C95D-4452-9D2E-D51F95809DDC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42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02EE4E5-306B-48AD-84F0-1E4259E024C0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42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1095EF2-8F9F-41FF-A261-E6CBFCF8B064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42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C0E60E8-2FF4-4277-A556-92DC2A7988AA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42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0005E4F-E0D8-4A68-8434-142E5FC97714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42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E144B57-D935-4DDC-8067-650D5A955052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42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1A2D551-2BD3-4364-BC08-A2CE374BC865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42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CE2EB6A-3792-46AC-A3CB-C7707520CB90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43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A933631-3B4D-42B6-8F89-2CE4DA39AC17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43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3B47B55-EB30-4732-BF5C-4869ACC57B3B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43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DAFF292-EEA5-4B10-BF57-F56F5D9270D0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43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D568744-B201-4A13-85D7-04398007F529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43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99DFD5B-B6CE-410C-AA15-D369E0EFE6DF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43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2B2E801-A91C-4CB4-A722-F68AE150FD21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43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E6BD2D8-E1CE-4584-ABE6-E15E85B50F6D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43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827F674-7F03-4F4D-AC34-8C57BC1E8817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43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403E560-BB3E-48AA-8A8D-A8B8000D1D79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43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9C47A68-4F33-48C0-99D5-C260FC2963FD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44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C2E0240-070B-43AF-BFD1-F1BC8EC8E3EB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44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08D23E0-F7FA-44BA-8B25-8013BD18DC03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44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717E2B6-B08A-45F4-A5D2-319663222E1C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44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2EF4CD7-CA04-412A-817C-3ED5B3420A37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44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5324009-19B5-4673-80ED-76D0D49CADC0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44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A5E5439-E0F7-48B5-BD66-6019C9DD9DF9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44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30C8107-7782-4CAD-A0AE-4C15E86C7206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44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8BA8B9D-9B5C-402D-BB12-A26806076BAA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44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991EB4A-9FB8-4567-9057-ED21B482D4B4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44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7442480-12E1-43C0-8036-80F081DF9326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45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8EBE217-073E-428A-823D-666FCA988948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45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84394FF-F74E-427B-A3A5-1E8155C63A60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45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DD14442-587E-40B1-9CA7-858D17366591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45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EFE9E00-73B2-4498-B427-C0036D26ED37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45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3F2B308-98DC-4CB4-A84D-6628EC83433B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45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A9FE7CC-C968-4844-96CD-34A96A425C6E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45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92B6C0D-3818-4338-B490-5F5EC3F8F906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45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5BE1498-23DB-4A6B-A11D-31A4652AA472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45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C261A01-3928-43AF-A9C9-DE655CD94E1D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45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1EA5BFE-E317-4263-90DE-CC3486A7FE92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46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F00483D-5ADD-43D3-8DD4-CD7099E4C7DB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46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5F7021E-76D0-4253-9805-F8EAE57468F0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46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5E68BFE-2826-4FF3-8281-401F07C68A2F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46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2E01E8C-1FD6-4E18-B6E7-A1495F96498E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46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76BEDB0-D594-46C6-B130-BA7FBD79E9D2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46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7010D65-1D1A-4223-BE63-8F3D694F9928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46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9EF01DA-5769-4909-9724-1408F40C6DA0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46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F29409C-EB5C-4455-9961-69EF22097F73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46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C1F98F4-F15E-4E1B-93FC-6D11E08510DC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46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BEED237-F645-45E1-8151-108C5B5B7014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47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0D90AFE-320D-4410-B687-A9A30E19845E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47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5FA8918-D78A-4ABF-AF6E-EA2282F0737F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47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A6F05E8-871A-4C0B-A468-FB34F26B1AE7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47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130E73D-DC9B-4F23-B961-55CCE5DF4BFB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47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381CD4A-1BCC-46DF-9CF7-2D3C9B9C3E89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47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4F99E90-4216-4F2F-A9A8-7BCB95FCE7E0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47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59847FE-E7EB-48C9-A6C1-2A2EE87D5DE3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47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300C3F1-4D23-413C-9A15-52F3F455E3B2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47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D92F509-FF05-4923-89BD-D5BBAC5AF1E0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47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4E39FB0-7407-4FA8-A8A8-4E242A08FEC5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48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58578D3-C538-431E-9D2B-A32C2958D25C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48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57A66B7-1D2E-4809-B018-F2C260BF7E64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48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672C9FD-426E-4CC9-88FD-34481E1D2D88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48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F7B15D6-BA69-42E6-831C-CC223FD23489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48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AF9D866-9555-4698-841C-90F1413D7620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48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A724CB2-9A4C-4857-B969-3AE7BA62F6BE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48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FB1307D-1F01-4E0E-8512-1107F7FFC8AF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48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139988C-3714-4C0D-A088-DD8DD5E98B95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48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8A28F36-41F5-4FF5-9AF9-BB1F6DEFEC57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48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B8033F8-73EB-47C6-A5DA-CE478E43CD77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49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213D8CC-423F-46E0-9CBA-2038017523A3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49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D0103BF-52C5-4996-9F5B-35F996B9BA1D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49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6E8CACC-507D-4DB1-AB42-D4D09268EF07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49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BF143C3-BB22-457B-8EDF-83BA96A64BAE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49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06CE6DC-E69A-4BE4-AB79-691C6A1FF4A1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49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3E79120-0D95-4B16-A04A-06C35B0E07E3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49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7781515-8389-4F8A-A04D-AA0B6372E7FE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49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0DE867A-2BCE-4AF2-807A-39DCB4B53EEA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49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5C99CD1-53BA-433C-888B-DBE8D5A10B53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49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E020064-9059-449B-87AD-4A55C54D65F4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50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64A8CDB-F864-41DB-98E0-B1D36F871A91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50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E5FD833-0681-4178-AEE1-D90FD0120AA0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50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8DFEBDC-B957-445B-9BDC-46205D0C72DC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50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AB65F5C-3898-477C-8255-125AEDE7D3C2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50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D257F80-9C35-4C5F-88FC-C1BD7852FE5A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50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2391F97-07B6-4663-926A-130AE04D78C0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50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BEE0BE2-7B45-4C04-B78F-2DE6809276A3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50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3C6D5D3-7DB9-4AFD-8DF3-E2E10AC4BD77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50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7F6F587-353C-46D6-B905-99456C5CF585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50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2164690-1555-455F-900A-40DDACDC5E71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51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12A2F95-FF5C-4006-AEC2-F2CA7058DEC1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51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4686E4D-1E21-412C-AB23-2D8BBD0926D8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51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2670655-E748-436B-82AE-3BEA6A5A9A28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51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13CE35C-8200-4D88-A481-9B99547E65AE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51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88762D2-F3C6-45B8-B87E-407711C35B3B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51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60EC381-BCAF-479E-AAED-A908AF672759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51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009E057-8F77-447A-84A1-02EB5412C954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51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E3903CD-CF7C-4083-8EF5-751F34FB0ACA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51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BED19F5-395C-482D-BCC6-AC8730F2012C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51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062DC87-D14A-41FF-89D4-2F5D94B93266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52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1D85765-4CC7-4B70-80B3-DDD22917E268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52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7BB9BEC-3B94-4983-972A-B02651E0CD04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52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3317523-0B8B-474E-8761-4E8C243BBE05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52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FA5AAF7-E388-46D9-9115-840DA1F43BD0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52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5A34BF3-1404-4AAE-B08D-1BC4763D28DF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52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6A84F62-1E52-4B9D-9ED2-53BAE84ACF1B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52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0C7BDD3-DA14-439A-A495-52D769981332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52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CAF328D-6284-48D7-A8D7-95CAFE3D6D96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52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A0BC67E-26C0-4B71-B6EF-77DD8CF2D14A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52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48D7D2F-9841-4501-AF15-83F9EBF0A470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53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661B8FE-5806-42AC-BCCA-155CEEED57B5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53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BC3EAC0-A618-4128-B7DD-2F9F84F08FE4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53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BC27AC3-C1A1-4581-9812-F4369F310C55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53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D892148-2032-4311-8DA4-B869BDA23D08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53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ACD9C35-D7DC-461E-8CF3-900C4A584A47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53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E61B36D-4722-4FCD-8DAA-FE49EB86989A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53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07F85B4-D369-47F0-8F05-E843C656B1AE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53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673B38C-9DD6-4ADF-BC87-F3F16909B71B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53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275DFF8-8733-4659-9267-B124EDAA21DA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53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B335171-397A-43EE-BFA3-BBBFCD3E6059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54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A2BB8F0-8207-48BD-987A-11969E47398C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54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6CCCDC3-7B62-465A-B472-C078A36393DC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54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C9A5818-1E47-4E04-B0E1-B4075F61DDDB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54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875EF23-36AE-4264-8D08-112F634DBC0E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54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E8B65DA-8336-46DD-BE41-C82D20911349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54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24994CF-63DD-4E18-8F42-1010C30E8F09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54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5F71C8C-F0A5-4816-9810-B9D0CC5E3F9B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54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587DEBB-8CB0-4C09-B6FE-F3A210CF48D8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54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B460355-7244-4AA4-B4CB-8708B0522EBC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54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51C730E-6757-4316-A3A9-1A59BD9572F8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55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34B7C96-1E0E-4FB7-8692-D2A5EC887708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55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CD51D7B-13CF-4472-9B33-637B3B37FABF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55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DF6ADDE-FAF6-41ED-BA8A-50C298B878C4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55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E33346B-6FEE-4AA4-A18F-B8DB34F2724D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55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6E31182-BAC0-43DA-9B1D-DE6C38D1F155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55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E1E145E-0D9A-4D15-B4C2-57B5E67E09D2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55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59CB8F5-4B1A-4B7C-84BC-755F02FFD93E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55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8674432-EB7D-44AF-AAF9-9B2488A4020E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55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0A35A0D-ACB7-49EC-AC35-D9C323D01CF1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55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A5CD6BA-A009-4A3E-8CB3-2813ED337E35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56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6F5FDA1-A46A-45C6-91F3-AD93C026AEFD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56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F6BD896-76D9-4FA7-939E-259A45982211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56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F1E1081-571A-4D89-AFBC-1A0AB28FFE42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56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54BBB91-C9EF-41CB-A440-0820142E834E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56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CDA11D8-C06C-45A5-9F5A-437CF5D51802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56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8ADCEFB-6058-4053-ADEF-E6691769B8B7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56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51AF261-5D23-4E39-8CD4-5DC95097D44C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56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B51A25C-3CEB-4D90-BBDD-84D8BC4E9C81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56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1C2801E-7F31-424A-A5DB-E0F8FE63193E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56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E1AECE0-C304-427F-9B50-87D7EA7449F2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57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BBAC175-EEF8-4698-8154-42225FF73A7B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57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E95FCDF-1207-4861-95E0-605989D261E0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57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6A3AF58-954C-490F-8B80-A42D5E340905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57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5104502-2AE1-45F0-BD7D-1073E68F5929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57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E1C9B76-C206-44C8-A1BC-F776A3D8E83B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57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CDB3772-C677-4B44-8A58-795623BE929C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57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85E8243-B39F-4C75-ADCE-432804D5A008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57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651F794-824A-4C93-8A29-D9514B326FBB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57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4626A56-4727-4CFD-9229-7C6CD9578A05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57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E865EAC-C6D0-4590-9DC9-0E8BB8076F49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58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865DF6A-C52A-430F-A594-185C63C009CC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58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2F9340F-1756-4D62-BF16-213C98D34E2E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58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4FF958E-73E1-4E61-86AA-38E80AD3E295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58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FE20808-A03D-4A67-A9AE-53A6F6B091E2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58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557A981-2F46-451C-AFFE-96BBE223CC36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58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CD37648-855C-4C0B-9D78-98E2310DE166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58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6D63712-636D-462F-8945-E2056730E919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58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E91A857-6BC3-4FB7-A886-BD8C3A4B8B52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58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7FD6FA9-A43C-428C-8671-9A0A8B5EE163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58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5189C0F-6BFA-4AF9-9872-616ED98AE1C5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59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A677FC3-B91D-4DD5-9D9F-718F08F424B2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59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9AA80CA-3AF5-495E-8EE9-823259DFF6CC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59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E2A52DC-B88F-465B-BEFA-5F5E37F3E70B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59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28A2C7B-192C-40B9-A8EA-5586493EA76C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59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B1764CE-EA80-4DF9-814A-848C4D116D7C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59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6187DEC-787D-4169-A550-EF75F075C6C4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59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A6F5986-EB60-4624-9F77-D7A878F1F3AA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59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835A6C0-D57B-4111-A8E1-5B72CC20E02D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59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EA6417A-EDF3-41E0-B78E-C01CC84F2C76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59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C4A7444-0299-48B4-BC0C-72793CBEF3C5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60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333F74C-80DD-419D-9949-FD5927484E1B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60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C5610A4-04CF-4696-BEED-51E753EED6DD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60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740F5A6-889B-4BD6-9E36-0202EFA93862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60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FA6749B-10C5-4042-AD7C-E9D9169CD9DA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60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CA439AA-B886-4417-80E9-5860D70074AF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60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A97022D-135E-485C-B9F0-F7E17FF32007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60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A3CE337-EA48-48BE-B6EB-5A219B43637C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60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4D03832-61D4-4F0E-AA38-59B64CD6BA67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60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9EF87A0-80C2-4355-9E12-C175F56CF636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60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A9702B9-F8ED-4ACD-A62C-A834AC58C39F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61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AA95394-A6DB-4E5A-98EF-683AF27903C7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61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2228597-D8C7-40E6-B14C-D3601197F78C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61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716CA54-B32B-4CAD-898F-1440337A56FD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61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7B089C5-19ED-4442-B730-A88516389127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61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730D235-86DE-4843-A5B8-A1F343DF98B5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61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B4BE9BC-22B2-4975-BA3B-62E6B2813720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61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5C11CD8-2C35-4E3D-97C8-D629D92B9D74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61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88DE6AB-0ABA-4AF0-8F1A-97D4BC103360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61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75BF76D-DB39-4C6C-AFA0-CF14F3F4B82E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61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FDF1C63-E5AF-4106-94EF-641A5A9D4DE3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62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950E9A3-F2B2-4FD1-B662-BB0A6F5C8787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62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C35C553-95DA-4B61-8779-586AEFC033BC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62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F3BD94A-7753-415A-AAE4-36950D24A051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62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E4B6901-3929-4964-8C14-BE3481838EA9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62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9500D47-B17D-4AC4-91EF-973164BCABA2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62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A70B04E-BFC0-4D8E-B199-B4A5779E188C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62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07314EF-98A4-4F8F-B82D-5DD6BACC3D6F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62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A3E2C00-BEFE-48A5-8B07-70928117D433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62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FBE071F-8760-40AE-9802-E3088B333E30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62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AF26A53-7A05-43A7-B728-32DCD483E81E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63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48632D5-E12B-43D2-B2B0-FBF1B3B92D8C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63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C1728AE-28B5-4A38-8596-FDEEFA456848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63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D63738C-7CF9-40B8-9E3A-E9DA12842EFF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63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B273909-2DC6-4F7E-9F80-5F5E18899FA6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63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6593BD0-5824-43AE-A653-E7A6FF8832B8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63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2BF5BE1-8E75-48EF-8EF7-8DF0F3F8D38D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63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95C621C-50D9-4276-A719-B8F7ED94E666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63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B55C130-379F-4876-968C-C2FC2467098E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63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AB126AC-D582-4290-8F09-DDC7CD1FA80C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63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79C6FE1-4D68-4C54-9F93-37494C9208B4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64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B119079-7348-4BB1-87F2-F137672C59F8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64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938A72C-68E3-405A-A300-ECD806127BD6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64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0E74393-5293-431A-A799-3BA9C440136F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64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ABB596E-1E31-4683-AFDA-861B7A666E97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64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DCFDF85-9A50-4F70-82B4-1BF241AF2F3C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64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9826C98-7F83-4B31-98B9-C0DC807F499B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64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46B194D-5ED1-4C19-A143-9BAB18EDEB9D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64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5FF395B-421B-45EB-9D96-0E239431771F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64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2659A4E-4719-42C0-9BDC-14C2932B69B4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64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97FE8C4-502D-4FE3-AECB-9FCDC4AED868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65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5C3DEEB-6835-4BF1-B048-0667FA4E5DCA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65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EBBD2A0-3FA1-48DC-BB0A-445894657BCC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65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CC33F4E-6181-4086-8BF7-98334D144B00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65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34115B6-B7A6-466A-B24E-15BDDCA79DDB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65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D538C7B-DFDF-49B9-B79F-31CDE720EA7C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65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946286E-9A1B-4E98-90AD-BFD180287212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65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AF25028-6933-4CAF-A2FB-42CAA65C08B9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65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BE73347-9861-4974-BD6E-7668CC82776F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65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05F014B-7DCE-4FAC-9E32-65FCC7EA8F77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65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12C40B8-2B57-4DF0-B90B-7DB173C1E1E0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66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58D0036-A563-4372-A741-C3C35F12A6FA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66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EACAF65-4E21-4722-9B1D-EF555AF292AC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66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06809CC-D545-4F40-99A9-91307682FFFE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66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0029233-E356-4D21-B3F6-F23D65D4509E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66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1C9060C-1BFF-45B8-BA36-A894F1E62D5F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66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208BFD9-17E2-456C-B096-62F74755DAB3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66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5372E43-E55F-4D5B-914D-FF1E1B7D6005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66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5A0E19B-2575-41A3-986B-74315D649A6B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66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C4C58AB-0A0D-4ED3-8FC0-AE23ACBD78BE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66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AC84C03-8ECB-4BD6-BDAF-0630AABF4AE3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67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411F688-E64E-4A4C-948F-AF010948A9D7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67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08B886C-04B3-40D8-96D0-AEE4C8ABA202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67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CBDCCC6-64E5-4850-8579-C7263D4DB3D1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67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B1A20DA-A367-4F16-B99A-CE011BEF8E6F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67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0BE155D-41FC-41FA-87D3-99DAECD3CD16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67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3EBF13B-A3CD-40EA-A464-CE28A2FDA763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67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E50BA90-6029-49B7-8165-1F1EF8D556B5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67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DAB154F-BDF5-4361-AC98-B8BBC0232F13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67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BB1446C-400E-42C7-857A-76FBB6230BDC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67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1BE0D10-794C-4950-BAAD-3853D2FDDAB9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68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98EABED-E7E4-455E-A4CD-2E903E47AB28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68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8B2E732-A34B-4E36-999D-2E40890C6BBC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68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C8FAAA3-68F9-4D84-8F0F-1ADFD866745D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68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69550C8-4B7D-4E41-8DAE-4E986AE1AA98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68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A3B0641-0E33-43FC-B04D-0B3AFC7522AB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68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9A17566-2DE3-4B85-A490-D2B73EDB4EB3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68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B760419-5206-4F31-B379-09AE733CE5FE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68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14B6CDA-4EA6-47AB-BBA0-D56B05D166B1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68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CE0C74A-64E9-4AEF-9063-B983CB62EA0A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68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F2B61B3-0DA9-40DD-B885-210A2E40BA3C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69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648730B-7787-4663-BE3D-563FAC921D26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69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C37855B-5CEC-447E-94A5-24E295F93A3B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69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354384E-B00D-4762-87AB-8A498C7D8A6F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69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8ED13FA-5859-4410-91A7-689D9AE63436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69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51FA1F0-7EFC-49D9-9A02-851FADBCFFC5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69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2ABB5FF-79DC-4051-A995-7C961FEA371B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69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240C0E4-6D0D-4EE7-B068-FEC7B45AA6FF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69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C0A951A-4070-4BE3-A717-4E0F26745309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69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E1EDBBB-0DE8-4539-BACE-52C6ACC5B4C3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69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9E69D39-7F79-4CDA-9FD0-DBE9351B0162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70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8A9268D-D8C8-464D-8B4E-F0E1D291555F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70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E205898-69CB-4100-82A0-53B81EA72B39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70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08114AF-D458-43B8-820B-F101DF55FDB3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70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D09D6CA-A744-4F66-96E6-C48B8C1878B2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70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10B88D1-A6C5-43FD-9BBD-BBE20E1B0E55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70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576F0BE-719E-4ECC-8931-99ACE4922FAB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70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D96E064-FB2C-492C-8C53-F56A8DB30F9D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70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B7603B5-377B-4B70-9DFA-968BF3CD158E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70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B1C72C6-84DA-4CC7-9966-86ABFD126EF1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70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6AC005D-FA9B-4696-B203-E753D7A8A1ED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71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4F50440-E6DC-43C3-8B49-A300A9D8C681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71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228B5D9-CD94-4749-B830-D73C7A3DCA97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71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F3E9D81-0B65-4C11-B1DC-151DD8F02386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71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4E2B770-F551-454B-AFF9-D6744A638A31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71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1679B3D-F9C5-4B70-A2D9-522EF2879A74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71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F2FB426-7DEF-4430-A420-DEBE7FD46C7E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71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D073DDF-826A-4DB5-81DB-F7D301B3E9AF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71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DCB43F6-5AC4-4BAF-A985-25DD7C1E1D02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71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9E249AA-B69A-49E6-A4FA-98672E3F120C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71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50EAEFB-12F2-4B4D-BE13-CB3BE8DD761F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72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192D887-3547-424C-A7BF-47F08EFCB65C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72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843F26E-74B9-4F1D-A597-A5302CF18337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72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EFF193F-6D62-46D0-B6C9-F56143D616B9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72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31907CB-6D8A-4C9F-A52C-22F1C10080AE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72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C4559A4-90FD-4201-BF41-6573730AEE66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72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095747A-37EC-4D3E-81C5-BFE7A21BCA62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72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226C606-412D-43F7-B4F6-1AEFCE7E134D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72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66130EC-5D8B-4C96-A07A-EF5486CDE476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72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AFCE236-AB4C-465F-9322-7474C3CAE8A0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72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2496ADF-9E84-4E4A-98BE-FBD43F6065C8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73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B0008C3-83C2-48EC-B6B1-FAAD0C786136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73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315FD9F-5087-4F9C-BD0E-4907B77B927F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73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2BE356D-577D-47D8-ACF6-C90BB598D4A4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73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36D0F71-DB20-4A3E-8F92-0C56872F6226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73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EC1297E-6DB7-4FC4-B4D3-F3BBFF1F9120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73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229E5D8-5F7F-4B7F-ADB8-64F44B8EC859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73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99C701B-A7ED-4484-9C76-E4F3C3D1A5B8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73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5C35DD7-7824-40C0-A173-F328EA30EF92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73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1D9472F-C173-407A-94A1-57CF94159A40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73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1F336FC-07AA-4888-9705-461B756365CF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74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426D4B4-680B-4581-9B7B-CA9005F095CA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74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26A007A-DC80-42CB-BB20-22F0A76181E9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74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07EFCDF-5649-4D16-87FC-69DF42EE0D69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74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463B2FC-0E2F-4CF3-85EB-AC282C22638D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74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129A8EA-BD16-44C4-9C5F-C36AA2F06405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74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1E17FA3-2BF6-4E18-858E-172CEF4782A6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74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1A60B24-BCFE-46B5-AE74-322089304755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74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546AE30-FE4B-48BE-9F82-648201155E52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74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C47810B-12AC-4975-B08A-D04B60BF93C5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74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220F3C7-D880-4ACD-A4A2-72C9F972BA1A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75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EC7B552-8566-44F2-A663-3D90BC2194B7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75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18778B6-5FC2-423D-8D76-5B4E53839067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75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732A798-8DF8-4934-8DE6-D3A201121706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75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F156405-52DD-43B9-91FD-CD683DE48882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75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858FF6F-A931-4ACC-BA49-9BA6C517C5E9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75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60FCEC5-4F38-48FD-BFCE-C807C51B37FD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75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9A21FAC-711E-459D-BA42-A5E2121C0225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75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2A6833F-7DC1-42A2-9688-54058776573A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75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8245CDE-9A57-4DFF-8998-6D2CA7B1EBC5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75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12B80EF-FC76-4611-9043-0CB0DE581213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76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D7D49B5-8645-4DB9-B214-DF59ABAA56C4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76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C97F0F1-B315-4B4A-84F9-A86494026656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76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0D041D2-D99F-4E36-A351-07271C7BC4DE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76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397D719-5EEE-4229-A276-02A373FB33CF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76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5A26752-E48D-4D91-8F28-5D6A00A46409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76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5A772BB-1962-4646-A1BB-A6E7CBB5857D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76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D4F6659-B4E7-405C-8A12-003E67D139A9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76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0C5ED60-B190-4E62-9C4B-CD247BC5CDF3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76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02B34EE-AB13-412A-B9B2-CC0E6DF75D2A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76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F647FE4-7868-490D-A838-0758767F28BF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77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6A14BC9-36B4-4250-90DF-98BA45A1EF13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77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6244C3D-9578-43E6-A46E-70811AC55C01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77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A0E2D80-0563-4885-92F3-94732E4D64A3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77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9106679-16E7-4BA3-8137-B19B022AEE58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77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1C1DF33-5708-4A21-AD7F-987E6517C9FD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77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75AE255-413A-4076-8073-6519A5D3B0F9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77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3F1DCF7-6FBF-4A0F-94AD-FBE7367F968D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77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0AB5BE7-C249-4EDD-8B94-982BAFD03834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77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1786B74-90AA-4F9C-BE62-B208CC4A1D9D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77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3A27918-9F23-49EC-A06D-F00F67468EA4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78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AC35F4B-E7CC-4B74-AAE2-2765035DD904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78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8A03532-DD5A-4016-AC48-84F8C68B3606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78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6E309E1-03CF-47CC-AD63-85E57B860715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78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24A9E78-89DE-4EE3-A76D-6738AE68D95B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78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92A8C16-850A-4CA9-B4DF-BD068305A796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78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698F92E-26AD-4566-ACD0-5210C70DB4D7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78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D94105B-4ED7-441E-9FB6-AEDEBC208493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78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3878124-DE92-42BD-B925-655C91BD951C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78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4803DF9-EA53-4BAA-B1EE-C451E16BEBA7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78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AA920DB-4E98-4892-BF6C-30EE18DFA2AD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79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D2A1315-832D-4FF8-9C56-CF8D1E074A93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79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7A487E6-D8E2-4705-A2F9-E492BB235766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79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D2A3315-3F33-45C2-A7BC-FB5C1BA07E75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79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82A5347-5435-4D96-8240-2EC704658A91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79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B145B69-76C9-4F36-9876-5C1A662D04C6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79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3BF09B9-5406-495A-AD35-C1D352CFAC54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79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F4992B5-18D5-484C-BEE3-A236AD27C07B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79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7F6C8C2-944F-4D6C-A921-518D8C156E3F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79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FD58B94-92BB-4FFB-BFE0-A6C669BDA2C7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79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73E7261-314F-4739-8B69-EFBB9C3B3F38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80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7D154F0-2B9B-48D4-B6D3-2020323D7F87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80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8E9B53C-A38D-4A4E-901B-5B2ED59E66A6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80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D2FFCA9-D5A7-4403-A5C3-27B49472C358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80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FB208FD-4384-452B-9800-8B595D00DFDA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80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9BA9100-AB30-4C74-B887-7200482B7B37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80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ACAA32E-E245-4F91-AEE8-340FD299AC93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80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B97BB95-A47A-4C03-BD30-206D832C5637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80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6812CE1-BF64-4FD0-9B9E-CD4EA7AB49DA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80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8E8FF56-F69D-433A-95B3-3282E82E3E56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80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716854E-D923-4EBD-B1F2-AD3E4EFF16EC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81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63E4D33-85C3-470E-8A54-41A8B973BAEE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81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4B2CA6D-7FBD-4698-8A2F-AD4B95B3E88C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81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A666B3E-BFF0-4935-9EF5-C67893044667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81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29568FE-6AE4-4B25-A066-7A7414E534AB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81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E14E044-C06B-4E0D-965E-1502D343E834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81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577AAB8-C962-4AAD-AD52-F2A4887C393B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81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A985661-FC1D-408B-82B7-73F1AA1A7E4F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81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110BF1B-0C66-4746-AEA2-6C76FFAB6631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81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6984391-D43F-4B54-AC46-73612A12520C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81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80579D8-AC8E-435A-A807-6488B157D725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82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809501D-5209-4956-9065-14CF8B10C9B3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82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0196C16-3685-4AE5-B44F-BD42097C4B33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82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7A97144-A306-4597-8F81-0692494EFD40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82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CB57949-D947-4C02-A382-AAC2D72B8FFA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82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67C42FB-C4E9-4C86-82E1-482C330951CB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82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3A48534-5992-4504-96BE-09CA85836200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82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DBFDA05-1F16-4FA8-B275-ADD20DB324B6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82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3B71AFC-CF55-4E6C-8081-5349CF7BD6D3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82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EAB8E6C-BD20-4174-B839-EE410722387F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82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1D1658D-4623-449B-B298-A3FF0081FA7A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83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3918441-4246-426E-9315-F7E4107446F5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83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FB47E61-7792-4448-BC21-8FFDA11BA624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83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9571CA9-EEEB-41B7-8A95-3ED94661E430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83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A2A44C3-2600-48E1-8EE3-EB2932B08D6A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83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8385AC9-9F24-4D3B-B695-075D8F65E4FA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83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5DAAFEB-F2AA-4806-9DBC-8C7D301AE1F5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83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40C32FE-EEAF-400C-8A98-D427281FAFC1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83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688E277-F5FB-4EC1-A8C0-BB9F397432E7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83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15441B3-5940-445D-9A77-4E4F11701CB1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83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25AFC41-E4CD-4FF3-A61A-13CDA7047033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84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718E9BE-D136-4585-9372-A6E047118055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84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605E37B-F39D-48D4-85C4-1235E9C0706A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84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204A192-C528-489C-9A01-BE09BD7E289B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84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7AB83A8-D62B-463A-9F43-5D422B338C69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84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8FA779F-CED4-48AD-BCB0-F3BA2032EDC4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84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C068537-8C18-4E62-82CA-ACF44263C60C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84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8EBBBB2-5B60-4A00-AC0E-F26174448935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84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85D1E8F-AE94-40CB-ADCB-B5735E95296F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84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A7E64C4-FCFE-4F37-BD60-8C0F570B79D2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84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BBEDCF2-88A9-4EB6-8DFC-6B60BBE9CC1F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85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EAE3E67-E91D-4DA0-9EB6-823A117CAF98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85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74A2EA9-09AE-416C-B7FA-CF9B1D9B21E7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85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EC481AF-A429-47AE-BF01-250889741F12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85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59FF85D-9DF1-4958-BAB6-31D245532EAD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85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56F11AD-867A-4C1B-B96F-B093E526D4F9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85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59A5E75-EEDF-4791-A6F8-50477CB7AE66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85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F6DF674-B8F0-4E3F-BD7F-7B46101B0D1E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85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9C1CD28-6A56-4524-9F82-C1D0195B70C9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85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DC3FD65-40EF-46C6-8EE1-7E2B3F4550DA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85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354DA04-ED11-4574-A59D-F59E80FCE067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86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F51FE70-7605-4E96-8FFC-6A398E01B8C0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86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DD1324B-E6F4-4B2C-BEFC-D8668D9DFEFA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86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F796F46-A0ED-45B9-AD53-EB2096C873B5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86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28D57BF-99C9-4069-84E3-92227A88DE16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86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2FA46EA-EDE5-4A25-A5EB-7EF00EDF4378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86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144D2DA-7C87-4C85-B596-5177CE9DD1EC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86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9B3C87F-9E41-49B4-BEB7-FED73A3817F9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86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CDD8F15-3F6F-414D-8456-F4F6C1546FBB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86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F11D5BC-F6D5-41AE-B165-A862EF27DE1B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86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6F7957B-03F6-4B61-93DE-549B70BD9F06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87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30AA511-45B9-4FC9-B4DF-FA42D2499C2F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87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DF38676-6337-4045-95A2-62BFB8209EF7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87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962F871-C8B8-4E78-92CA-7241A9106109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87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33CA164-BFB9-456F-8784-5076431ED176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87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907951C-6D0D-4AA8-AD5B-AA73B3ABD49E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87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3D64360-70A3-4AAA-A180-17FEFD812988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87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F20D217-3467-48AD-B3DA-1B72E7E975DD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87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FCADEAD-298F-410C-BFEB-E5CDC9ED16BE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87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E090D7B-0ECA-40E0-8B61-FC8956D2AC31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87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5A64686-47C8-4819-A265-379616E4CB4F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88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52E6E77-010C-4450-B18F-06AEB1E402C4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88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EA452B1-F53B-4BA4-BC30-92A2602FB3EB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88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6AD8FAB-DA8F-4F0C-B12C-964FB1A1A031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88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552AE20-81F2-4CC9-A541-585EB0A3E403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88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C735339-A4C8-4061-9B5A-BEF61016C4D5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88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6AA472B-7C8A-4685-B85C-7BB27FE000C7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88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26775ED-9ECA-41E7-A498-3F7CC1AF86C6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88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6726FCD-0FE2-4948-AB08-65D9CFA7D104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88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138A074-EA99-4E48-988D-887D02B06896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88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48F94D1-3759-4774-BFF5-96281C88B013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89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17776AF-A7DC-43C0-8820-D19EAFD3FEFD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89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EB6AD2A-ECA0-45A7-A77A-804B8F0F58E0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89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A631BAB-A459-406E-97B7-3D52EA207251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89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B32C111-BEDC-4925-B197-098EDABF928F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89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5434863-9002-4FD2-B414-BF3052BFBD0C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89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16BC270-69B6-4560-8417-AA6565C927A6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89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7B7D1E8-3C88-4D1F-8E7E-8190CE210683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89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ED86A16-D20B-4690-AC15-BEB1EE9FC490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89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3F55376-6A46-4D88-BAD3-554FD7C8DF89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89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0F240D3-069C-416F-869B-1CCB1E9AB29A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90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1973E3E-4076-4FA3-9336-E03FF3FC113E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90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6418848-FE02-45DA-B3F9-8E3DF103CB16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90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B783B80-2C3F-479E-A1FD-8BF886ECA19E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90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AD6E8F3-4D81-40C6-A9DB-DFD7C315BEC6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90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CF13A82-F1A9-487D-B509-48C280E24CF0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90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FD9ACB2-DB83-49EB-A412-3A7B678CFDE3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90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79FA23C-C1BB-4FDB-8A4F-18E57E642627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90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F2490B6-4311-4CBD-BF96-5AE935294DF4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90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9AA09A3-C271-43CF-8180-C7076D1C7C2C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90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AA7B2DD-5702-4F1A-9300-7D93B986E181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91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AA2D1C3-5E69-44C8-B477-DF2E80B876EE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91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C00FE74-8598-4CBA-84C3-66ABB2E86067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91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451485A-1892-4EBB-9FB5-249572661D60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91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1629D42-0D26-4556-BF73-5C648D169FA3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91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1DF7C99-3D46-4B70-B7DF-87C7287742E6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91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8DAD301-F500-43D2-8DD9-3EA7E3CFBE4E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91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39FA64F-BF0A-4B9A-AD08-81816C558A68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91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B4BF723-0856-48AE-A05F-1B4AC95CBEB6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91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E609920-1D3F-481D-AF29-810665D9F4CE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91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8B793A3-3D9C-46C5-A60D-EC2A6FD805FE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92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638AB29-8545-4207-8922-09165E4083D7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92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3FF2AC4-8491-4B8D-B039-7A088FA0E81A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92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5FFBE9E-B2E1-447D-BE53-1041480B8228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92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3A626A3-0462-4165-9E54-97323448651D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92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B23957D-CE63-4F42-9F21-952F55EB1899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92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8FB5796-2CF7-4D50-AEE3-82B43FF2964C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92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4228494-A354-47C1-8FAF-3A0EE00E7DE1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92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F83EE14-3A31-4919-A3AB-0B76F71104EA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92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93EF4C6-E827-4336-A472-85E5D516D582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92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3C8E288-3306-495B-B44B-150CE65BA9EC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93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C1EB977-1FAF-455B-AE77-EB78E48FB599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93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9C172F7-D7B5-47EE-A828-9CEB756FF637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93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6534737-9AB3-486F-AE06-D9CE8BC63AF5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93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AAB4733-9DC2-44EE-AB66-658255990311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93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74D3F47-A326-4BC7-8F42-A125A1AC7DE2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93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C27FAAE-3644-41D3-98B6-18064B425749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93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B918F66-894E-4CCE-BF7C-F56C5F447911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93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FF3FD74-3026-437D-890A-ABCE14EF072D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93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EA4DEF9-181B-4F9A-8C63-B9E8F95D21D7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93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8761E16-CB0D-4B17-A877-D01D11C81657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94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681EF14-AABB-4070-865C-50B2561310D5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94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CD2E965-790C-4418-B778-4287FDE8272A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94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FA39126-9418-4F06-9631-628C68351675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94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65A0DD9-8958-4B3E-BD52-358E5549FD8C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94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A83226A-CD20-42F0-A739-26CF3FBF8617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94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299C279-2882-4557-9217-18119F20CF94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94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58AD55E-644D-4AF7-8FC7-0C25E51F910B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94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9791593-EB4C-401D-8C58-8295306D3967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94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F8DD4C7-4651-498E-951C-BAAD43CF766F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94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7E13C5C-82A9-4FD9-A2CD-404B5C748723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95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BEC28D8-3894-45B8-B8B6-05595EC204D6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95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A98AB62-1DE6-430D-BC47-7ED56B35ABA1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95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292B511-EFD4-42D0-807C-AE54114BCBD9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95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5CC80AD-B2E3-4F25-8A3D-ED15CBB6B2FE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95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991FEB7-11B3-400E-80E6-00A57E86712F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95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3B36F39-335A-40F1-A20A-3C83DDFD8D4E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95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11CFEF6-2363-4F38-85C9-3DB911222730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95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C8F27FF-376E-4E64-A40A-39AB42B66D0A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95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308F7DB-56D6-4073-8949-D555077C1CD0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95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ECEFCCB-6B5E-483A-B19E-325B8AF330AC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96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B8E9844-1AE2-4F4A-8511-50B317CB93D9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96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B74DCDA-7D0D-4CD3-BEE0-E9F05C5EB945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96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B5794AE-A747-4294-AF18-004D59E4B899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96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B8A009D-6AE7-4955-AF88-ABA67AB7C99B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96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5A553C1-3BA4-48A3-A57F-A7B03EB3939B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96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ECE266C-7BEF-40B7-AB24-6D371D7D6BDF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96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96EC20B-4D80-488F-A708-FA64D4D1BBF5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96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02E0F43-3A9E-4370-B8C9-0A874BC5F6F4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96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30A2DB7-CB1D-454F-9A01-4C47E8080050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96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97035ED-EFC8-410B-BE64-86BA42A0EEDA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97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B50E6E9-14F5-45A8-B667-05A4A5502DF6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97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ECEEB5A-2C48-43C7-A7D2-6FB95EBD4437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97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0C27E9D-DBB9-40B6-8758-010A37B1FA1F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97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3552333-3B37-4F65-B23E-75A4EAA392ED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97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78786F4-DA1A-4C54-B8C6-21ED335D4BDB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97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8AE4A12-C56A-440D-A4AE-CA342D9A4328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97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0996081-F6F9-41CD-9750-4A503A1C226D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97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894B0FD-0738-471E-98A5-7D9DFEE92473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97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A83B688-735A-41F2-9560-738FB025CD8E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97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650E782-3059-483E-845F-45BDD642D69C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98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6FD6B5A-53F9-4A9E-948D-5B2A33811129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98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51A1E3F-7733-45C2-A232-145588D6160F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98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82B22CC-1AA7-46D4-A94D-494C489CA63B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98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9D6C6AF-F861-433D-8F7F-0B40D9D261B5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98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55AFEF9-6115-472F-A60D-ACD28CA07DA3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98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83240B5-3D4D-4E57-A7AC-368DDAC06873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98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561593E-CFA0-409B-A9B5-49B6C16768F2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98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D8F9FCE-AB15-4E4A-AB52-129A6CEBEEC4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98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16DFBA9-45B6-437E-89CF-59853DFD7D06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98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2054FE4-1969-43B4-BDE1-B5B63EA1B026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99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267E8B2-59C7-4B5C-8468-B64FD9645130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99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BB91ABD-E67A-4383-B74B-0DA2A46F59C4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99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D89968F-612A-4960-83D7-CDB315F6ABD3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99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78AC4DD-A4E7-47AD-A459-D3CC4C94E490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99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84F44F4-9AA9-4CC9-A523-9BAA5EBA156D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99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A42F4FE-6D7F-4628-ABF0-3935EF3ACA02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99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03DBF00-F65A-4081-84AC-5E96A441ACBB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99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9FEA6B7-4334-4D64-8AEB-7FDD4460D130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99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F4DFBA1-C7DA-4292-B36B-203FB75A724C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199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8C25056-3E6E-468D-B83E-1C462DC473FE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200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ECF725C-485D-463A-8090-FCB20A5DF12F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200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BD9D436-92AA-42A8-89A5-BF34A9AB2D3A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200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3E5F194-ACFE-4065-9B1F-2D4713A72741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200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9EEDFA8-3C9A-40D4-8E3B-599CD8448D10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200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281E581-C3BF-4895-BE30-091AD850CF5B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200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B9F31A3-1E85-49FF-B697-ECB1F0BEAA52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200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5756CF1-1E21-488E-9B3B-F603C05E7ED1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200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5AF3832-1D02-4963-998A-3DECAE49FF43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200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0DF5665-2471-4E9E-ABC3-B8BCE005959C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200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6F6329B-6C2B-4184-9484-23E3D967DDCE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201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4C8DAFA-E288-4E0D-B284-1EE0BBBE50F9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201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49DAC49-A536-403D-BF87-934326514026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201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947D0CA-8097-493B-89D3-E1A35C234576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201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968D3D6-AFC8-47F8-BB42-91AF708D72D4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201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A276850-CE77-4B2A-B0E7-4230A7D0185A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201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C31628F-0581-4E2D-B6E5-E62D442AC8D8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201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37E478C-6451-40B8-8728-B0A6791FD043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201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9D687B5-A98B-46F6-AFC1-AE8FE36ED488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201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4BA21AF-28A2-4D64-9B0A-71A598F56175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201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0B3C8A4-2BB7-4500-BCE6-002DA23EDF1E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202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787A672-3108-4D06-8BD3-BC48E1A28205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202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CB74A6A-4701-40B5-8AD8-2A146805B578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202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4AA3245-2592-4C50-A0C2-480851F078C6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202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BBA39D1-6354-4C7B-8F0A-1682880916D9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202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80C5869-A6E6-4CD2-B394-86738D00ACE0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202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D21A55A-5401-40BE-B24D-BD6676F44DEA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202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419C377-54AC-41F3-8EF1-DABE88FCDE1C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202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5A6F181-4017-4DA3-874A-BDAECAB78591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202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36E3FA2-D4D3-4478-A6A0-62646EF53783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202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8FE5F70-2F87-4FCA-B43C-B5B56C0B91BA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203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60C3DC8-A0E8-4E1F-B3FF-B872350927B3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203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68817DD-790A-4AA3-8919-B823BF12C66E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203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A97D57C-FC39-4240-9518-BC6AC6721AD5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203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F110BF0-92E4-4197-A8F7-A3C96EB75D8E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203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573510C-9535-4028-B7F9-B25E3F8C5589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203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75E2EDD-B8FC-4D43-A075-BE2FA12F27FB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203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9E97969-25B4-4D6A-83E9-7E2140D35390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203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552AB53-8973-4F5C-8022-44F630F459F0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203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A084896-ED08-4F48-856E-161354597FA3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203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17CF298-D2AD-4128-8300-C1655926BB67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204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EDBAB1B-A4E6-4B62-BF2F-4DFA87126B33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204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1C04FDD-A36E-48FB-87F4-3BE8F85D14C8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204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91D15C3-1829-47F5-9CC2-74B740148A59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204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8F695EF-96EF-4FA0-BD60-26B7822DC3E5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204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4C7B9AB-2309-4754-9F6A-82CB64A3695A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204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339D476-7BF3-4BC0-88FA-918BE5C33CDA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204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50DC9A4-5815-42CF-9451-1F8DEBFE9A6B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204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4C1A462-4CE1-4CDF-B0C9-ACBF42B8347E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204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3458A2E-578F-4E35-8530-0A6AFAEE4209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204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73544F3-4631-4107-AFEB-FB26772D0516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205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058AEBB-F9A3-4B38-8C5E-7845D9C085D7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205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B7EAD22-1F59-491B-B6D8-BA8D7E43B1D2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205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8DBDCAC-CB8E-4F94-BCA1-D614D5FA817D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205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C038A97-0D53-4D88-B0DC-1DC83F324FAC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205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607FCFC-8236-471D-9F57-6359FF78A091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205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85EE09B-D99D-4A91-A39F-5EFA125F0796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205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03A519A-AEDA-4B24-B1FF-9FF726DBA115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205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024F6DB-02C5-496D-A597-01D2227BE10B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205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498E824-F02A-4597-A65E-8A9A54704734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205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257BC25-1957-47D4-AABA-76D6F9A73E93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206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4CD45AE-6084-4533-86C2-9F30553E7435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206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23A49FD-0DF7-46B0-A1A2-38E5C56D51E8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206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83D8D92-0708-4785-8426-A9543365F848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206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92B4C86-8842-467D-9705-A6D34B0560FC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206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4A179EF-7C34-49D5-95AB-3B500F00E5AF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206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49F5D6A-3452-45C2-BECD-027B6355ED23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206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EC4F931-E106-4CBC-AD6E-A37E9311E49A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206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97C7058-1EDA-420B-9A01-87DACC43AE4C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206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4A2950D-D8D3-48D0-96F5-C1D66C73C524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206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68CD66E-B6AB-4488-85D7-0F86DE11A0E9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207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7CE8E22-3766-43C1-AEBA-BC4DE4F29235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207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C40E82D-4156-4E46-A1B2-ACEF7B33A7C6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207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ABC255F-5C22-4865-8729-DF29AE6318AD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207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8F03713-8F75-4A4B-BB3D-FD5A7C01BD53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207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E445DED-69C2-4B9B-87F4-EEE59793DD6C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207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50CFED5-0DAB-4983-AD14-1AFD6EC1DA55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207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A716DDE-7687-4A58-8CDF-52A5F7D56C1D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207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7130C6F-6C24-4390-A3B6-CE27C15A644F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207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652A1E5-9154-4C1C-B1F9-A3C8F2998572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207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8EF0CC0-2D4A-45DD-AFFD-7B8AA387729E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208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0A11A06-2182-42FA-A26B-4A8D3C85B452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208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662F02B-4537-413F-B4AA-FB5AFD783E96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208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CDAC4D0-5003-4015-83DB-F0CB04FC526E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208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C796579-BA47-40F9-BF3C-3277583FC0FC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208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30F6C61-4E9A-49F6-81C0-FFB266B8FAA4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208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8074087-94CF-4584-923E-BA17CA4A5968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208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B00211D-7A02-406C-B7F4-DB3B1E9934DA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208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518DB6F-F7C1-46FE-B18C-BFDCB1195DD7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208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9B71201-640A-480D-A910-418879165805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208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E92AD53-F124-4E1E-A10E-8CCDD7280084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209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37DFC3D-A208-4395-8D87-37CC75CBD490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209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A62D282-1D9C-4A24-99D4-48EC89C49B90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209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2C8429E-DE76-4BEE-8ACD-5C6DE0BDE7DF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209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E40DD0E-EAE6-421D-BB17-2FAF828E97DC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209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18D5E9B-9D1C-451C-9B12-274A14B8E575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209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6B61A00-FA8C-49F0-B057-C8FE61ACF304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209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18E8DB2-9906-453F-9186-D0EB03722421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209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5632C62-3F00-43F4-B1CB-717A0BBB45B9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209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0573416-C002-4BD8-B48A-123D5DDCA643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209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C97C588-0189-41E1-8EE6-F3A0ECA15DD6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210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0D79960-1370-4633-A9F1-0CD5848FEBE3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210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4A74588-22EB-4ADD-86C6-B28CE77252A1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210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48885CC-C9ED-41FC-9839-ABE176BC1BCD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210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A69FFA0-B311-4285-9BFC-51E3E3B5B86B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210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BAF9B3D-4084-481F-87A3-24B65457CFB9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210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C5CC0C1-F547-4827-BAE5-1A58B8260E5C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210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F5AD906-CC35-4B4E-B8C0-4C961696EFA0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210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7BD6F9A-6909-461C-B51A-4AC8EFB7E2B4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210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756A1AE-7165-49E7-BF04-87BA9C5658EF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210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AE07768-6807-4578-B8D2-B042794BF973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211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D6074BD-0FB3-40C2-9A2B-2A85137176B7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211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5524ACE-0DBB-4447-B7D5-F6AC65005E1C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211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C1D8190-D11D-4EEF-ABAA-E2BF7EA70942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211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FC97DFA-1B03-4EA7-AA3D-A10D36E91269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211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51F036C-749A-4F41-89CF-27516FF9F947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211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5614619-EF13-4209-B3DD-689BE12DF87C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211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AD6FCEA-8ACC-43ED-B883-1A129BA1BB0C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211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2F2B40B-02F4-473B-94F0-C8AF15655F8A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211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F5AEB1B-C610-4C02-9D8A-4E8A139461E6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211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B638E28-05CB-4CB3-8FC4-265E0DB2D919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212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F6CB3FB-B9D1-42B5-9BB7-A4AB8407BCEF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212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9EE452B-5E0D-4AB5-8B45-3049424FB2CD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212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7012585-785E-466C-8C57-247FABEE9104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212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FF75484-0D74-4198-9585-6FCC5B15877C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212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DF6151C-C47C-40C4-B8FC-BD86DBFE8D0C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212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0275F5A-6718-4987-A117-923AC51F83E2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212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A224DBC-1ADC-4CCC-B1AB-864FB0CE31F6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212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E4BC9C9-E8E5-4EC6-9B22-EB8B1E1F99CE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212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9CEB54A-B5DE-4961-A53B-C056986D6A14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212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EF8220F-49A5-4E26-85D0-7F3B777FC0C4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213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06E36E8-1652-460E-A137-ACCCC045FA3A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213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18F7557-FE58-4E0E-B026-E0D31BB8288B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213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3041A71-C49C-4F51-A633-A0B8DE72F8C8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213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677FFD0-0876-4B74-96B0-DA9ED828FD22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213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5020004-12A1-457F-BD85-E2F3B7583181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213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1DE3C5A-AA93-44FC-8CA5-8942C817AC24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213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ECD9B97-77AB-4C66-B712-C15AB0908C37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213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8B3DFEE-652F-4E25-9AF0-B01F56D0DE52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213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AEF098C-2FB1-430D-86D0-A1759BD0DEC4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213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6A1F82C-6641-4CA8-B012-F471B4B17A1F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214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8E8F8F7-1A2D-40DE-9C7F-C0E90A325000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214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8B71BFE-A2D0-424A-9387-5E9EB3E795B4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214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C2BE633-AB78-41FE-9DF9-FC178E1E93E3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214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F1579FB-DE9D-4CAB-8FA1-660D8737F79B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214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9813BBD-E936-4627-AB40-0393D453D94F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214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43D9271-0F4D-4DFF-87AF-97BBCEEE807B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214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9850AB8-DC75-46B5-961C-0C4F15139871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214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2C394DC-065F-473A-8B6F-40C70C9E593C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214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F64362F-DE0A-4A9A-B499-BD5BEFD300BB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214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CEC765F-5C08-4A3F-8D14-CC3495E86353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215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2A44990-AB3B-4254-B8A7-E5C864C57126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215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CDAE36A-1E16-464D-8ABF-0251F4565C98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215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628141E-6749-4D99-A8DF-83C27890B37E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215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10DA92A-0B1F-4E7D-835F-7562EFC6F264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215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2637FA6-DC4B-4E22-9A51-2EEF17ED9F52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215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E0A9661-B8DE-44B0-89E9-2046BE5C8DBC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215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D37A1E9-0B5D-491A-BE38-DDB81A7A5D02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215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3A18ABC-D7C0-450D-84E0-9576E9B945DD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215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1FD2B4D-8E9A-4045-B520-8AB79D4686FF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215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790767E-4445-40A5-9F18-AEBDC0FE41EE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216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1D2D732-EA08-4803-9281-AF56F7E4836B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216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2A44982-F0CD-462A-B20F-F8DF731F5D83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216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2DF42AF-F93F-4F9B-A2DB-0088FD53A233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216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C9886C4-B090-43A7-878A-7D2EBC762FAC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216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2DFF2D5-50D1-4917-ADAB-A16958D49022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216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4D4385D-CC8A-450D-B15E-B96813AACBE5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216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C1008D4-A69F-43E4-8D5C-95DE70A6A14F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216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CC4BADC-A1AD-437F-9519-6C9DD8424E76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216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9793287-E885-4090-A5F9-93749EB88EB6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216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B255638-863D-4198-B60E-E54352E0C502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217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249927B-A3D3-409C-8F64-5BBEB787A473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217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D06CDDE-79C6-42AF-ACF8-42937A67C5E6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217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E4DB0FC-9780-47B5-9E70-12AE3B5F78ED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217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49B413A-3BF8-48A5-AD52-040323D048A9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217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2056F7B-1079-4198-9C24-40227DA41F57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217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6566548-8057-474A-8C34-6E30EE40C627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217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818E041-7233-4214-9CD1-698EAFD735A1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217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9BE2E01-5F03-4FDC-925A-B85BB399E70C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217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B807D0C-2110-4C99-A2F8-9E676ED5EE6F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217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1B0BC15-FE9C-4035-A04D-CCA4B736B09F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218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ABFA17B-7CDB-4A5B-AE10-D288D8ADE14B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218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2CDCE2D-A3BF-4A8D-933D-E4FA318C30CE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218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83BF932-B50A-4C25-8D66-DFB6E9D5A9AD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218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06AB9C3-6548-4667-9773-384E2CA002EB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218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2349FEF-4AFB-4B30-A120-2CDEB1220E4C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218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5945217-DABE-4A98-9E48-2DBA82BB5FE2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218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605B9AC-77AB-439F-92C8-AF9A2DFC8451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218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11FFF67-CBD6-4869-9A97-1BDC3DD912DE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218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BE180C3-AF5E-4F61-80E4-B23F69195839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218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EA253E2-E901-4D6C-B59D-77962C21D8AE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219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CBDF23A-5F04-4816-9198-32213BDB0FBB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219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35ACB61-D38A-452B-93E2-1D5394A06F7C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219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55A2B45-F90D-4DAE-9582-D0CDE665C9CB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219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816E08B-509F-4DD3-BE6D-3F9F488EE80F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219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B903339-985E-487A-AA73-6F344B91AFF3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219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F0DF01C-AB65-488F-A1D4-DCD5E9F73477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219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047869D-2014-44E2-B49A-C438DE5C9484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219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B075994-C774-4EE0-B5D5-EF7B1ABCF74B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219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ECB6A2D-3E31-4393-B012-CA72E57D9F19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219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17B6167-7127-4221-90CA-CD3786C1B1AC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103</xdr:row>
      <xdr:rowOff>0</xdr:rowOff>
    </xdr:from>
    <xdr:ext cx="304800" cy="304800"/>
    <xdr:sp macro="" textlink="">
      <xdr:nvSpPr>
        <xdr:cNvPr id="220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56949BE-BA48-4C9B-9CCC-2269D405DDC5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1972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</xdr:row>
      <xdr:rowOff>0</xdr:rowOff>
    </xdr:from>
    <xdr:ext cx="304800" cy="304800"/>
    <xdr:sp macro="" textlink="">
      <xdr:nvSpPr>
        <xdr:cNvPr id="220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15E730B-C6AE-4ACA-A858-9C1AB7CFF33B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2000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</xdr:row>
      <xdr:rowOff>0</xdr:rowOff>
    </xdr:from>
    <xdr:ext cx="304800" cy="304800"/>
    <xdr:sp macro="" textlink="">
      <xdr:nvSpPr>
        <xdr:cNvPr id="220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D03D66D-4EF3-4F59-88C4-8B4A8CC06BB6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2000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</xdr:row>
      <xdr:rowOff>0</xdr:rowOff>
    </xdr:from>
    <xdr:ext cx="304800" cy="304800"/>
    <xdr:sp macro="" textlink="">
      <xdr:nvSpPr>
        <xdr:cNvPr id="220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3E78B4B-DC40-4B64-9851-974C13A5E06E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2000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</xdr:row>
      <xdr:rowOff>0</xdr:rowOff>
    </xdr:from>
    <xdr:ext cx="304800" cy="304800"/>
    <xdr:sp macro="" textlink="">
      <xdr:nvSpPr>
        <xdr:cNvPr id="220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96004C8-9915-42CC-BED3-C7DB8D35B6EB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2000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</xdr:row>
      <xdr:rowOff>0</xdr:rowOff>
    </xdr:from>
    <xdr:ext cx="304800" cy="304800"/>
    <xdr:sp macro="" textlink="">
      <xdr:nvSpPr>
        <xdr:cNvPr id="220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D4D32B3-3B23-429B-9B39-3D3B107656D5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2000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</xdr:row>
      <xdr:rowOff>0</xdr:rowOff>
    </xdr:from>
    <xdr:ext cx="304800" cy="304800"/>
    <xdr:sp macro="" textlink="">
      <xdr:nvSpPr>
        <xdr:cNvPr id="220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2CF6586-5FAD-435F-B2FB-DA673DC45D55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2000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</xdr:row>
      <xdr:rowOff>0</xdr:rowOff>
    </xdr:from>
    <xdr:ext cx="304800" cy="304800"/>
    <xdr:sp macro="" textlink="">
      <xdr:nvSpPr>
        <xdr:cNvPr id="220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DA707DE-A008-4750-B7ED-9E314238189B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2000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</xdr:row>
      <xdr:rowOff>0</xdr:rowOff>
    </xdr:from>
    <xdr:ext cx="304800" cy="304800"/>
    <xdr:sp macro="" textlink="">
      <xdr:nvSpPr>
        <xdr:cNvPr id="220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9A79588-AE2B-4B48-8B9A-BE5BE73A931F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2000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</xdr:row>
      <xdr:rowOff>0</xdr:rowOff>
    </xdr:from>
    <xdr:ext cx="304800" cy="304800"/>
    <xdr:sp macro="" textlink="">
      <xdr:nvSpPr>
        <xdr:cNvPr id="220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1874F96-B424-4CF3-ACDC-0E28089856B1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2000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</xdr:row>
      <xdr:rowOff>0</xdr:rowOff>
    </xdr:from>
    <xdr:ext cx="304800" cy="304800"/>
    <xdr:sp macro="" textlink="">
      <xdr:nvSpPr>
        <xdr:cNvPr id="221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78F834E-67A9-461A-9CAF-86ECC76CF3D1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2000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</xdr:row>
      <xdr:rowOff>0</xdr:rowOff>
    </xdr:from>
    <xdr:ext cx="304800" cy="304800"/>
    <xdr:sp macro="" textlink="">
      <xdr:nvSpPr>
        <xdr:cNvPr id="221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299B37B-4333-4C3D-88BB-5E9CEC1ED477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2000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</xdr:row>
      <xdr:rowOff>0</xdr:rowOff>
    </xdr:from>
    <xdr:ext cx="304800" cy="304800"/>
    <xdr:sp macro="" textlink="">
      <xdr:nvSpPr>
        <xdr:cNvPr id="221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56939A2-0D55-42D8-BBF2-21911E7ABC3C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2000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</xdr:row>
      <xdr:rowOff>0</xdr:rowOff>
    </xdr:from>
    <xdr:ext cx="304800" cy="304800"/>
    <xdr:sp macro="" textlink="">
      <xdr:nvSpPr>
        <xdr:cNvPr id="221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1B102A5-0F78-4801-BF5C-32853428DDBA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2000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</xdr:row>
      <xdr:rowOff>0</xdr:rowOff>
    </xdr:from>
    <xdr:ext cx="304800" cy="304800"/>
    <xdr:sp macro="" textlink="">
      <xdr:nvSpPr>
        <xdr:cNvPr id="221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CC6AE55-4D87-4FA1-A4D8-2FF0DB476270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2000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</xdr:row>
      <xdr:rowOff>0</xdr:rowOff>
    </xdr:from>
    <xdr:ext cx="304800" cy="304800"/>
    <xdr:sp macro="" textlink="">
      <xdr:nvSpPr>
        <xdr:cNvPr id="221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9290203-C5DC-4330-A144-E8AAD2055CC9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2000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</xdr:row>
      <xdr:rowOff>0</xdr:rowOff>
    </xdr:from>
    <xdr:ext cx="304800" cy="304800"/>
    <xdr:sp macro="" textlink="">
      <xdr:nvSpPr>
        <xdr:cNvPr id="221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28FDA8E-1FFA-4AB7-A227-3D137000492E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2000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</xdr:row>
      <xdr:rowOff>0</xdr:rowOff>
    </xdr:from>
    <xdr:ext cx="304800" cy="304800"/>
    <xdr:sp macro="" textlink="">
      <xdr:nvSpPr>
        <xdr:cNvPr id="221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88CA4A0-FE6E-43B0-A400-4B5E39619E87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2000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</xdr:row>
      <xdr:rowOff>0</xdr:rowOff>
    </xdr:from>
    <xdr:ext cx="304800" cy="304800"/>
    <xdr:sp macro="" textlink="">
      <xdr:nvSpPr>
        <xdr:cNvPr id="221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AFB718B-9B36-4062-B01D-F7D4B15377A1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2000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</xdr:row>
      <xdr:rowOff>0</xdr:rowOff>
    </xdr:from>
    <xdr:ext cx="304800" cy="304800"/>
    <xdr:sp macro="" textlink="">
      <xdr:nvSpPr>
        <xdr:cNvPr id="221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335DE4F-72C0-48F2-9B1A-427857305EEC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2000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</xdr:row>
      <xdr:rowOff>0</xdr:rowOff>
    </xdr:from>
    <xdr:ext cx="304800" cy="304800"/>
    <xdr:sp macro="" textlink="">
      <xdr:nvSpPr>
        <xdr:cNvPr id="222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C1C5BA1-C492-4F6D-9B35-1706D80BB66F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2000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</xdr:row>
      <xdr:rowOff>0</xdr:rowOff>
    </xdr:from>
    <xdr:ext cx="304800" cy="304800"/>
    <xdr:sp macro="" textlink="">
      <xdr:nvSpPr>
        <xdr:cNvPr id="222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9CA62C4-A496-4866-B62E-BF387E5D1F31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2000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</xdr:row>
      <xdr:rowOff>0</xdr:rowOff>
    </xdr:from>
    <xdr:ext cx="304800" cy="304800"/>
    <xdr:sp macro="" textlink="">
      <xdr:nvSpPr>
        <xdr:cNvPr id="222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B27B56B-A916-46EE-B0DD-CD21A11A4833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2000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</xdr:row>
      <xdr:rowOff>0</xdr:rowOff>
    </xdr:from>
    <xdr:ext cx="304800" cy="304800"/>
    <xdr:sp macro="" textlink="">
      <xdr:nvSpPr>
        <xdr:cNvPr id="222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65024B3-4BAB-471A-80CD-212B618E0031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2000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</xdr:row>
      <xdr:rowOff>0</xdr:rowOff>
    </xdr:from>
    <xdr:ext cx="304800" cy="304800"/>
    <xdr:sp macro="" textlink="">
      <xdr:nvSpPr>
        <xdr:cNvPr id="222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5B7A25B-4837-4344-888D-CD026DD174D8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2000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</xdr:row>
      <xdr:rowOff>0</xdr:rowOff>
    </xdr:from>
    <xdr:ext cx="304800" cy="304800"/>
    <xdr:sp macro="" textlink="">
      <xdr:nvSpPr>
        <xdr:cNvPr id="222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109E02A-38AB-4413-A90B-10E16CB77EC9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2000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</xdr:row>
      <xdr:rowOff>0</xdr:rowOff>
    </xdr:from>
    <xdr:ext cx="304800" cy="304800"/>
    <xdr:sp macro="" textlink="">
      <xdr:nvSpPr>
        <xdr:cNvPr id="222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E1E917D-BE03-4D52-83D8-9F612BF160F0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2000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</xdr:row>
      <xdr:rowOff>0</xdr:rowOff>
    </xdr:from>
    <xdr:ext cx="304800" cy="304800"/>
    <xdr:sp macro="" textlink="">
      <xdr:nvSpPr>
        <xdr:cNvPr id="222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2F18A78-0AA3-4516-8F0C-E249FBC98DD2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2000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</xdr:row>
      <xdr:rowOff>0</xdr:rowOff>
    </xdr:from>
    <xdr:ext cx="304800" cy="304800"/>
    <xdr:sp macro="" textlink="">
      <xdr:nvSpPr>
        <xdr:cNvPr id="222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5DE7E2A-73A2-4566-96A8-7279E3EBAB53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2000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</xdr:row>
      <xdr:rowOff>0</xdr:rowOff>
    </xdr:from>
    <xdr:ext cx="304800" cy="304800"/>
    <xdr:sp macro="" textlink="">
      <xdr:nvSpPr>
        <xdr:cNvPr id="222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906AC26-EB58-4997-B23A-A8975D8EE66A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2000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</xdr:row>
      <xdr:rowOff>0</xdr:rowOff>
    </xdr:from>
    <xdr:ext cx="304800" cy="304800"/>
    <xdr:sp macro="" textlink="">
      <xdr:nvSpPr>
        <xdr:cNvPr id="223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58B46FE-5457-404E-9760-5640B400B1DD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2000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</xdr:row>
      <xdr:rowOff>0</xdr:rowOff>
    </xdr:from>
    <xdr:ext cx="304800" cy="304800"/>
    <xdr:sp macro="" textlink="">
      <xdr:nvSpPr>
        <xdr:cNvPr id="223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2E7C512-7681-4FFC-A24D-C0B80803979B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2000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</xdr:row>
      <xdr:rowOff>0</xdr:rowOff>
    </xdr:from>
    <xdr:ext cx="304800" cy="304800"/>
    <xdr:sp macro="" textlink="">
      <xdr:nvSpPr>
        <xdr:cNvPr id="223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6F48664-80DD-4A98-9017-1101B4EF1AC2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2000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</xdr:row>
      <xdr:rowOff>0</xdr:rowOff>
    </xdr:from>
    <xdr:ext cx="304800" cy="304800"/>
    <xdr:sp macro="" textlink="">
      <xdr:nvSpPr>
        <xdr:cNvPr id="223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A0276F5-5BF1-4F87-BD62-0CA2E9F2C9BE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2000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</xdr:row>
      <xdr:rowOff>0</xdr:rowOff>
    </xdr:from>
    <xdr:ext cx="304800" cy="304800"/>
    <xdr:sp macro="" textlink="">
      <xdr:nvSpPr>
        <xdr:cNvPr id="223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79BFEF4-15E9-4BFD-821B-74A265D04444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2000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</xdr:row>
      <xdr:rowOff>0</xdr:rowOff>
    </xdr:from>
    <xdr:ext cx="304800" cy="304800"/>
    <xdr:sp macro="" textlink="">
      <xdr:nvSpPr>
        <xdr:cNvPr id="223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5040F93-EEBB-4EE9-B108-9C3663BAA838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2000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</xdr:row>
      <xdr:rowOff>0</xdr:rowOff>
    </xdr:from>
    <xdr:ext cx="304800" cy="304800"/>
    <xdr:sp macro="" textlink="">
      <xdr:nvSpPr>
        <xdr:cNvPr id="223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584A3B9-50DB-4F3B-B1BD-C1B80295EE7C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2000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</xdr:row>
      <xdr:rowOff>0</xdr:rowOff>
    </xdr:from>
    <xdr:ext cx="304800" cy="304800"/>
    <xdr:sp macro="" textlink="">
      <xdr:nvSpPr>
        <xdr:cNvPr id="223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1214BF2-ECA9-470E-903C-C9FB870FBA65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2000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</xdr:row>
      <xdr:rowOff>0</xdr:rowOff>
    </xdr:from>
    <xdr:ext cx="304800" cy="304800"/>
    <xdr:sp macro="" textlink="">
      <xdr:nvSpPr>
        <xdr:cNvPr id="223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6A8E209-6A6C-4728-AFA8-F4CC85D554F7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2000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</xdr:row>
      <xdr:rowOff>0</xdr:rowOff>
    </xdr:from>
    <xdr:ext cx="304800" cy="304800"/>
    <xdr:sp macro="" textlink="">
      <xdr:nvSpPr>
        <xdr:cNvPr id="223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7563A58-01C5-4325-BF50-58B88321295C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2000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</xdr:row>
      <xdr:rowOff>0</xdr:rowOff>
    </xdr:from>
    <xdr:ext cx="304800" cy="304800"/>
    <xdr:sp macro="" textlink="">
      <xdr:nvSpPr>
        <xdr:cNvPr id="224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D63DAB1-E851-42E1-B25B-2D64044F86EF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2000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</xdr:row>
      <xdr:rowOff>0</xdr:rowOff>
    </xdr:from>
    <xdr:ext cx="304800" cy="304800"/>
    <xdr:sp macro="" textlink="">
      <xdr:nvSpPr>
        <xdr:cNvPr id="224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3D5A260-1800-416F-A4F3-1213CD223E5E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2000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</xdr:row>
      <xdr:rowOff>0</xdr:rowOff>
    </xdr:from>
    <xdr:ext cx="304800" cy="304800"/>
    <xdr:sp macro="" textlink="">
      <xdr:nvSpPr>
        <xdr:cNvPr id="224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A79CD94-0D19-4AAF-BE30-D0FEBD239702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2000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</xdr:row>
      <xdr:rowOff>0</xdr:rowOff>
    </xdr:from>
    <xdr:ext cx="304800" cy="304800"/>
    <xdr:sp macro="" textlink="">
      <xdr:nvSpPr>
        <xdr:cNvPr id="224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9E600AE-E378-42C3-90E6-B85772040C44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2000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</xdr:row>
      <xdr:rowOff>0</xdr:rowOff>
    </xdr:from>
    <xdr:ext cx="304800" cy="304800"/>
    <xdr:sp macro="" textlink="">
      <xdr:nvSpPr>
        <xdr:cNvPr id="224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1F641E4-2FCF-4D95-931E-131DEAA18B14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2000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</xdr:row>
      <xdr:rowOff>0</xdr:rowOff>
    </xdr:from>
    <xdr:ext cx="304800" cy="304800"/>
    <xdr:sp macro="" textlink="">
      <xdr:nvSpPr>
        <xdr:cNvPr id="224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6085094-8FC9-4BE5-8F6A-BD609035CA18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2000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</xdr:row>
      <xdr:rowOff>0</xdr:rowOff>
    </xdr:from>
    <xdr:ext cx="304800" cy="304800"/>
    <xdr:sp macro="" textlink="">
      <xdr:nvSpPr>
        <xdr:cNvPr id="224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52508F2-0298-4549-B383-D783C6A0A610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2000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</xdr:row>
      <xdr:rowOff>0</xdr:rowOff>
    </xdr:from>
    <xdr:ext cx="304800" cy="304800"/>
    <xdr:sp macro="" textlink="">
      <xdr:nvSpPr>
        <xdr:cNvPr id="224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4DF7A03-277B-4867-B335-8367556AE92D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2000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</xdr:row>
      <xdr:rowOff>0</xdr:rowOff>
    </xdr:from>
    <xdr:ext cx="304800" cy="304800"/>
    <xdr:sp macro="" textlink="">
      <xdr:nvSpPr>
        <xdr:cNvPr id="224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E39EC4A-7099-4CFB-A4A3-03911539EDFA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2000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</xdr:row>
      <xdr:rowOff>0</xdr:rowOff>
    </xdr:from>
    <xdr:ext cx="304800" cy="304800"/>
    <xdr:sp macro="" textlink="">
      <xdr:nvSpPr>
        <xdr:cNvPr id="224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6E62829-5B12-44CE-90A5-6EB5794257F6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2000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</xdr:row>
      <xdr:rowOff>0</xdr:rowOff>
    </xdr:from>
    <xdr:ext cx="304800" cy="304800"/>
    <xdr:sp macro="" textlink="">
      <xdr:nvSpPr>
        <xdr:cNvPr id="225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B3068FC-6590-4305-8AD7-40271697B4C0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2000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</xdr:row>
      <xdr:rowOff>0</xdr:rowOff>
    </xdr:from>
    <xdr:ext cx="304800" cy="304800"/>
    <xdr:sp macro="" textlink="">
      <xdr:nvSpPr>
        <xdr:cNvPr id="225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76272E1-B6B7-47D8-90E0-C46E78D20238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2000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</xdr:row>
      <xdr:rowOff>0</xdr:rowOff>
    </xdr:from>
    <xdr:ext cx="304800" cy="304800"/>
    <xdr:sp macro="" textlink="">
      <xdr:nvSpPr>
        <xdr:cNvPr id="225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DD6F699-62CA-494A-9B54-8A232C13F04F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2000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</xdr:row>
      <xdr:rowOff>0</xdr:rowOff>
    </xdr:from>
    <xdr:ext cx="304800" cy="304800"/>
    <xdr:sp macro="" textlink="">
      <xdr:nvSpPr>
        <xdr:cNvPr id="225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3B69A69-57C4-4570-852E-0F4D32973769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2000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</xdr:row>
      <xdr:rowOff>0</xdr:rowOff>
    </xdr:from>
    <xdr:ext cx="304800" cy="304800"/>
    <xdr:sp macro="" textlink="">
      <xdr:nvSpPr>
        <xdr:cNvPr id="225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4C29571-0CDC-4BDC-8D93-6535BB9930DD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2000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</xdr:row>
      <xdr:rowOff>0</xdr:rowOff>
    </xdr:from>
    <xdr:ext cx="304800" cy="304800"/>
    <xdr:sp macro="" textlink="">
      <xdr:nvSpPr>
        <xdr:cNvPr id="225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846B3AB-351A-40C5-BD4D-0C0883576503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2000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</xdr:row>
      <xdr:rowOff>0</xdr:rowOff>
    </xdr:from>
    <xdr:ext cx="304800" cy="304800"/>
    <xdr:sp macro="" textlink="">
      <xdr:nvSpPr>
        <xdr:cNvPr id="225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A28CF65-80C7-4D77-9F53-71DEE2BEE0D6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2000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</xdr:row>
      <xdr:rowOff>0</xdr:rowOff>
    </xdr:from>
    <xdr:ext cx="304800" cy="304800"/>
    <xdr:sp macro="" textlink="">
      <xdr:nvSpPr>
        <xdr:cNvPr id="225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41DC3C9-FEE1-4DFE-B825-8D60EA65AC17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2000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</xdr:row>
      <xdr:rowOff>0</xdr:rowOff>
    </xdr:from>
    <xdr:ext cx="304800" cy="304800"/>
    <xdr:sp macro="" textlink="">
      <xdr:nvSpPr>
        <xdr:cNvPr id="225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C33C5D8-7413-43B8-B48F-D3DAD9CA1DDB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2000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</xdr:row>
      <xdr:rowOff>0</xdr:rowOff>
    </xdr:from>
    <xdr:ext cx="304800" cy="304800"/>
    <xdr:sp macro="" textlink="">
      <xdr:nvSpPr>
        <xdr:cNvPr id="225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23CC0C9-D07F-4304-AC14-64BEAD5170F1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2000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</xdr:row>
      <xdr:rowOff>0</xdr:rowOff>
    </xdr:from>
    <xdr:ext cx="304800" cy="304800"/>
    <xdr:sp macro="" textlink="">
      <xdr:nvSpPr>
        <xdr:cNvPr id="226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5B4F99B-C496-4EB8-81F7-AB4D946821AD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2000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</xdr:row>
      <xdr:rowOff>0</xdr:rowOff>
    </xdr:from>
    <xdr:ext cx="304800" cy="304800"/>
    <xdr:sp macro="" textlink="">
      <xdr:nvSpPr>
        <xdr:cNvPr id="226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105D21B-CCF3-411C-82AE-9F3D0EE29874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2000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</xdr:row>
      <xdr:rowOff>0</xdr:rowOff>
    </xdr:from>
    <xdr:ext cx="304800" cy="304800"/>
    <xdr:sp macro="" textlink="">
      <xdr:nvSpPr>
        <xdr:cNvPr id="226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5AE771D-2BFC-44F9-AE4A-0D0BE8E0E8AA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2000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</xdr:row>
      <xdr:rowOff>0</xdr:rowOff>
    </xdr:from>
    <xdr:ext cx="304800" cy="304800"/>
    <xdr:sp macro="" textlink="">
      <xdr:nvSpPr>
        <xdr:cNvPr id="226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5B5AE7B-8123-4F63-8C4F-EF2AF07222D8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2000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</xdr:row>
      <xdr:rowOff>0</xdr:rowOff>
    </xdr:from>
    <xdr:ext cx="304800" cy="304800"/>
    <xdr:sp macro="" textlink="">
      <xdr:nvSpPr>
        <xdr:cNvPr id="226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B26BBD4-2BB1-4ED9-ABEE-B0AD7E4DCEF9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2000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</xdr:row>
      <xdr:rowOff>0</xdr:rowOff>
    </xdr:from>
    <xdr:ext cx="304800" cy="304800"/>
    <xdr:sp macro="" textlink="">
      <xdr:nvSpPr>
        <xdr:cNvPr id="226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B5245F7-0428-476B-9FB9-99D44A83733A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2000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</xdr:row>
      <xdr:rowOff>0</xdr:rowOff>
    </xdr:from>
    <xdr:ext cx="304800" cy="304800"/>
    <xdr:sp macro="" textlink="">
      <xdr:nvSpPr>
        <xdr:cNvPr id="226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EEFCD2A-F366-4B52-BC8D-AF8D113C8614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2000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</xdr:row>
      <xdr:rowOff>0</xdr:rowOff>
    </xdr:from>
    <xdr:ext cx="304800" cy="304800"/>
    <xdr:sp macro="" textlink="">
      <xdr:nvSpPr>
        <xdr:cNvPr id="226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21C8D52-FC53-486E-BCE1-A80CB719B1E8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2000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</xdr:row>
      <xdr:rowOff>0</xdr:rowOff>
    </xdr:from>
    <xdr:ext cx="304800" cy="304800"/>
    <xdr:sp macro="" textlink="">
      <xdr:nvSpPr>
        <xdr:cNvPr id="226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4452C17-B275-41E4-BEB2-435A5D8FD885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2000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</xdr:row>
      <xdr:rowOff>0</xdr:rowOff>
    </xdr:from>
    <xdr:ext cx="304800" cy="304800"/>
    <xdr:sp macro="" textlink="">
      <xdr:nvSpPr>
        <xdr:cNvPr id="226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DC4A979-BC4A-489B-8CC4-D492E7FD0095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2000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</xdr:row>
      <xdr:rowOff>0</xdr:rowOff>
    </xdr:from>
    <xdr:ext cx="304800" cy="304800"/>
    <xdr:sp macro="" textlink="">
      <xdr:nvSpPr>
        <xdr:cNvPr id="227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8ECF5B5-F787-4E03-AF81-B92DD90F7DB4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2000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</xdr:row>
      <xdr:rowOff>0</xdr:rowOff>
    </xdr:from>
    <xdr:ext cx="304800" cy="304800"/>
    <xdr:sp macro="" textlink="">
      <xdr:nvSpPr>
        <xdr:cNvPr id="227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7897122-1FE0-4B4D-96F3-2648CA0B8401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2000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</xdr:row>
      <xdr:rowOff>0</xdr:rowOff>
    </xdr:from>
    <xdr:ext cx="304800" cy="304800"/>
    <xdr:sp macro="" textlink="">
      <xdr:nvSpPr>
        <xdr:cNvPr id="227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E125248-9A6B-4FB1-9848-566FE092E4DC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2000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</xdr:row>
      <xdr:rowOff>0</xdr:rowOff>
    </xdr:from>
    <xdr:ext cx="304800" cy="304800"/>
    <xdr:sp macro="" textlink="">
      <xdr:nvSpPr>
        <xdr:cNvPr id="227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83A32AA-78AD-406B-AACD-C46901FAAC19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2000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</xdr:row>
      <xdr:rowOff>0</xdr:rowOff>
    </xdr:from>
    <xdr:ext cx="304800" cy="304800"/>
    <xdr:sp macro="" textlink="">
      <xdr:nvSpPr>
        <xdr:cNvPr id="227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C4A031D-AD69-412E-B9C0-D5ED9F3F235D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2000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</xdr:row>
      <xdr:rowOff>0</xdr:rowOff>
    </xdr:from>
    <xdr:ext cx="304800" cy="304800"/>
    <xdr:sp macro="" textlink="">
      <xdr:nvSpPr>
        <xdr:cNvPr id="227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3C54722-2565-438A-B557-76377F8926E2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2000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</xdr:row>
      <xdr:rowOff>0</xdr:rowOff>
    </xdr:from>
    <xdr:ext cx="304800" cy="304800"/>
    <xdr:sp macro="" textlink="">
      <xdr:nvSpPr>
        <xdr:cNvPr id="227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368D759-00BF-4394-A6B7-39D545D93F4E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2000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</xdr:row>
      <xdr:rowOff>0</xdr:rowOff>
    </xdr:from>
    <xdr:ext cx="304800" cy="304800"/>
    <xdr:sp macro="" textlink="">
      <xdr:nvSpPr>
        <xdr:cNvPr id="227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4C1690B-171C-42DB-8EBD-9381CC1C9341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2000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</xdr:row>
      <xdr:rowOff>0</xdr:rowOff>
    </xdr:from>
    <xdr:ext cx="304800" cy="304800"/>
    <xdr:sp macro="" textlink="">
      <xdr:nvSpPr>
        <xdr:cNvPr id="227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5E7639D-1298-49BC-9B4D-28090458EC0C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2000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</xdr:row>
      <xdr:rowOff>0</xdr:rowOff>
    </xdr:from>
    <xdr:ext cx="304800" cy="304800"/>
    <xdr:sp macro="" textlink="">
      <xdr:nvSpPr>
        <xdr:cNvPr id="227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55A52F3-3549-4FC8-A49D-F6CE04E8CDD0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2000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37</xdr:col>
      <xdr:colOff>0</xdr:colOff>
      <xdr:row>10</xdr:row>
      <xdr:rowOff>0</xdr:rowOff>
    </xdr:from>
    <xdr:ext cx="304800" cy="304800"/>
    <xdr:sp macro="" textlink="">
      <xdr:nvSpPr>
        <xdr:cNvPr id="228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A67B76F-888A-478A-9689-B27171CE9FFB}"/>
            </a:ext>
          </a:extLst>
        </xdr:cNvPr>
        <xdr:cNvSpPr>
          <a:spLocks noChangeAspect="1" noChangeArrowheads="1"/>
        </xdr:cNvSpPr>
      </xdr:nvSpPr>
      <xdr:spPr bwMode="auto">
        <a:xfrm>
          <a:off x="17287875" y="2000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304800" cy="304800"/>
    <xdr:sp macro="" textlink="">
      <xdr:nvSpPr>
        <xdr:cNvPr id="228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227CFC9-9369-4417-81BA-826FE2E22BDF}"/>
            </a:ext>
          </a:extLst>
        </xdr:cNvPr>
        <xdr:cNvSpPr>
          <a:spLocks noChangeAspect="1" noChangeArrowheads="1"/>
        </xdr:cNvSpPr>
      </xdr:nvSpPr>
      <xdr:spPr bwMode="auto">
        <a:xfrm>
          <a:off x="5743575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304800" cy="304800"/>
    <xdr:sp macro="" textlink="">
      <xdr:nvSpPr>
        <xdr:cNvPr id="228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37EA7B4-2E74-4EEA-BF8B-7027F87983F6}"/>
            </a:ext>
          </a:extLst>
        </xdr:cNvPr>
        <xdr:cNvSpPr>
          <a:spLocks noChangeAspect="1" noChangeArrowheads="1"/>
        </xdr:cNvSpPr>
      </xdr:nvSpPr>
      <xdr:spPr bwMode="auto">
        <a:xfrm>
          <a:off x="5743575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304800" cy="304800"/>
    <xdr:sp macro="" textlink="">
      <xdr:nvSpPr>
        <xdr:cNvPr id="228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221DAB6-78B9-4E23-8120-6FCC212A71A9}"/>
            </a:ext>
          </a:extLst>
        </xdr:cNvPr>
        <xdr:cNvSpPr>
          <a:spLocks noChangeAspect="1" noChangeArrowheads="1"/>
        </xdr:cNvSpPr>
      </xdr:nvSpPr>
      <xdr:spPr bwMode="auto">
        <a:xfrm>
          <a:off x="5743575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304800" cy="304800"/>
    <xdr:sp macro="" textlink="">
      <xdr:nvSpPr>
        <xdr:cNvPr id="228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26E7F35-9997-4E90-8533-76A36CBDBBC7}"/>
            </a:ext>
          </a:extLst>
        </xdr:cNvPr>
        <xdr:cNvSpPr>
          <a:spLocks noChangeAspect="1" noChangeArrowheads="1"/>
        </xdr:cNvSpPr>
      </xdr:nvSpPr>
      <xdr:spPr bwMode="auto">
        <a:xfrm>
          <a:off x="5743575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304800" cy="304800"/>
    <xdr:sp macro="" textlink="">
      <xdr:nvSpPr>
        <xdr:cNvPr id="228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858DAD1-FF8C-4181-BFD5-FACCEEA28569}"/>
            </a:ext>
          </a:extLst>
        </xdr:cNvPr>
        <xdr:cNvSpPr>
          <a:spLocks noChangeAspect="1" noChangeArrowheads="1"/>
        </xdr:cNvSpPr>
      </xdr:nvSpPr>
      <xdr:spPr bwMode="auto">
        <a:xfrm>
          <a:off x="5743575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304800" cy="304800"/>
    <xdr:sp macro="" textlink="">
      <xdr:nvSpPr>
        <xdr:cNvPr id="228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5500F4E-F750-41EB-BFC1-72241D867C09}"/>
            </a:ext>
          </a:extLst>
        </xdr:cNvPr>
        <xdr:cNvSpPr>
          <a:spLocks noChangeAspect="1" noChangeArrowheads="1"/>
        </xdr:cNvSpPr>
      </xdr:nvSpPr>
      <xdr:spPr bwMode="auto">
        <a:xfrm>
          <a:off x="5743575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304800" cy="304800"/>
    <xdr:sp macro="" textlink="">
      <xdr:nvSpPr>
        <xdr:cNvPr id="228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65A3DF5-F439-49AC-874E-FFE7CD9BF365}"/>
            </a:ext>
          </a:extLst>
        </xdr:cNvPr>
        <xdr:cNvSpPr>
          <a:spLocks noChangeAspect="1" noChangeArrowheads="1"/>
        </xdr:cNvSpPr>
      </xdr:nvSpPr>
      <xdr:spPr bwMode="auto">
        <a:xfrm>
          <a:off x="5743575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304800" cy="304800"/>
    <xdr:sp macro="" textlink="">
      <xdr:nvSpPr>
        <xdr:cNvPr id="228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00695CC-3E66-4FBA-87C2-886BE23A9F67}"/>
            </a:ext>
          </a:extLst>
        </xdr:cNvPr>
        <xdr:cNvSpPr>
          <a:spLocks noChangeAspect="1" noChangeArrowheads="1"/>
        </xdr:cNvSpPr>
      </xdr:nvSpPr>
      <xdr:spPr bwMode="auto">
        <a:xfrm>
          <a:off x="5743575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714375" cy="304800"/>
    <xdr:sp macro="" textlink="">
      <xdr:nvSpPr>
        <xdr:cNvPr id="228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1567195-F1D9-42FF-96AE-BD74808FD81D}"/>
            </a:ext>
          </a:extLst>
        </xdr:cNvPr>
        <xdr:cNvSpPr>
          <a:spLocks noChangeAspect="1" noChangeArrowheads="1"/>
        </xdr:cNvSpPr>
      </xdr:nvSpPr>
      <xdr:spPr bwMode="auto">
        <a:xfrm>
          <a:off x="4581525" y="1419225"/>
          <a:ext cx="714375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304800" cy="304800"/>
    <xdr:sp macro="" textlink="">
      <xdr:nvSpPr>
        <xdr:cNvPr id="229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ABF74F3-7A32-4798-A2DB-453174E06913}"/>
            </a:ext>
          </a:extLst>
        </xdr:cNvPr>
        <xdr:cNvSpPr>
          <a:spLocks noChangeAspect="1" noChangeArrowheads="1"/>
        </xdr:cNvSpPr>
      </xdr:nvSpPr>
      <xdr:spPr bwMode="auto">
        <a:xfrm>
          <a:off x="4581525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304800" cy="304800"/>
    <xdr:sp macro="" textlink="">
      <xdr:nvSpPr>
        <xdr:cNvPr id="229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65ECF17-2116-4BDC-A2E2-419257154C4E}"/>
            </a:ext>
          </a:extLst>
        </xdr:cNvPr>
        <xdr:cNvSpPr>
          <a:spLocks noChangeAspect="1" noChangeArrowheads="1"/>
        </xdr:cNvSpPr>
      </xdr:nvSpPr>
      <xdr:spPr bwMode="auto">
        <a:xfrm>
          <a:off x="4581525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304800" cy="304800"/>
    <xdr:sp macro="" textlink="">
      <xdr:nvSpPr>
        <xdr:cNvPr id="229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F2AC417-7793-426C-9AF6-0E973569CDD6}"/>
            </a:ext>
          </a:extLst>
        </xdr:cNvPr>
        <xdr:cNvSpPr>
          <a:spLocks noChangeAspect="1" noChangeArrowheads="1"/>
        </xdr:cNvSpPr>
      </xdr:nvSpPr>
      <xdr:spPr bwMode="auto">
        <a:xfrm>
          <a:off x="4581525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304800" cy="304800"/>
    <xdr:sp macro="" textlink="">
      <xdr:nvSpPr>
        <xdr:cNvPr id="229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7BE0C52-769F-4643-B9A6-7C65616F2570}"/>
            </a:ext>
          </a:extLst>
        </xdr:cNvPr>
        <xdr:cNvSpPr>
          <a:spLocks noChangeAspect="1" noChangeArrowheads="1"/>
        </xdr:cNvSpPr>
      </xdr:nvSpPr>
      <xdr:spPr bwMode="auto">
        <a:xfrm>
          <a:off x="4581525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304800" cy="304800"/>
    <xdr:sp macro="" textlink="">
      <xdr:nvSpPr>
        <xdr:cNvPr id="229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C181769-5B28-4312-9E6A-D584328A4B94}"/>
            </a:ext>
          </a:extLst>
        </xdr:cNvPr>
        <xdr:cNvSpPr>
          <a:spLocks noChangeAspect="1" noChangeArrowheads="1"/>
        </xdr:cNvSpPr>
      </xdr:nvSpPr>
      <xdr:spPr bwMode="auto">
        <a:xfrm>
          <a:off x="4581525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714375" cy="304800"/>
    <xdr:sp macro="" textlink="">
      <xdr:nvSpPr>
        <xdr:cNvPr id="229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EF699D0-4160-4BC7-8465-1CE8E8B985FD}"/>
            </a:ext>
          </a:extLst>
        </xdr:cNvPr>
        <xdr:cNvSpPr>
          <a:spLocks noChangeAspect="1" noChangeArrowheads="1"/>
        </xdr:cNvSpPr>
      </xdr:nvSpPr>
      <xdr:spPr bwMode="auto">
        <a:xfrm>
          <a:off x="4581525" y="1419225"/>
          <a:ext cx="714375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304800" cy="304800"/>
    <xdr:sp macro="" textlink="">
      <xdr:nvSpPr>
        <xdr:cNvPr id="229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3ECF600-CADD-467E-AA52-266B29382480}"/>
            </a:ext>
          </a:extLst>
        </xdr:cNvPr>
        <xdr:cNvSpPr>
          <a:spLocks noChangeAspect="1" noChangeArrowheads="1"/>
        </xdr:cNvSpPr>
      </xdr:nvSpPr>
      <xdr:spPr bwMode="auto">
        <a:xfrm>
          <a:off x="4581525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304800" cy="304800"/>
    <xdr:sp macro="" textlink="">
      <xdr:nvSpPr>
        <xdr:cNvPr id="229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D792B18-DF4E-477A-9BC7-BBA504CF3FA6}"/>
            </a:ext>
          </a:extLst>
        </xdr:cNvPr>
        <xdr:cNvSpPr>
          <a:spLocks noChangeAspect="1" noChangeArrowheads="1"/>
        </xdr:cNvSpPr>
      </xdr:nvSpPr>
      <xdr:spPr bwMode="auto">
        <a:xfrm>
          <a:off x="4581525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304800" cy="304800"/>
    <xdr:sp macro="" textlink="">
      <xdr:nvSpPr>
        <xdr:cNvPr id="229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735990F-48C8-41D5-81E6-4946B23795EB}"/>
            </a:ext>
          </a:extLst>
        </xdr:cNvPr>
        <xdr:cNvSpPr>
          <a:spLocks noChangeAspect="1" noChangeArrowheads="1"/>
        </xdr:cNvSpPr>
      </xdr:nvSpPr>
      <xdr:spPr bwMode="auto">
        <a:xfrm>
          <a:off x="4581525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304800" cy="304800"/>
    <xdr:sp macro="" textlink="">
      <xdr:nvSpPr>
        <xdr:cNvPr id="229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06176F3-7A20-4418-8C46-2315DD1A789D}"/>
            </a:ext>
          </a:extLst>
        </xdr:cNvPr>
        <xdr:cNvSpPr>
          <a:spLocks noChangeAspect="1" noChangeArrowheads="1"/>
        </xdr:cNvSpPr>
      </xdr:nvSpPr>
      <xdr:spPr bwMode="auto">
        <a:xfrm>
          <a:off x="4581525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304800" cy="304800"/>
    <xdr:sp macro="" textlink="">
      <xdr:nvSpPr>
        <xdr:cNvPr id="230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DAAB0E0-DA86-43E9-A7DD-5C2C88D7D2F7}"/>
            </a:ext>
          </a:extLst>
        </xdr:cNvPr>
        <xdr:cNvSpPr>
          <a:spLocks noChangeAspect="1" noChangeArrowheads="1"/>
        </xdr:cNvSpPr>
      </xdr:nvSpPr>
      <xdr:spPr bwMode="auto">
        <a:xfrm>
          <a:off x="4581525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304800" cy="304800"/>
    <xdr:sp macro="" textlink="">
      <xdr:nvSpPr>
        <xdr:cNvPr id="230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1B32DBE-6A99-4B45-A383-5795C7607D9E}"/>
            </a:ext>
          </a:extLst>
        </xdr:cNvPr>
        <xdr:cNvSpPr>
          <a:spLocks noChangeAspect="1" noChangeArrowheads="1"/>
        </xdr:cNvSpPr>
      </xdr:nvSpPr>
      <xdr:spPr bwMode="auto">
        <a:xfrm>
          <a:off x="4581525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304800" cy="304800"/>
    <xdr:sp macro="" textlink="">
      <xdr:nvSpPr>
        <xdr:cNvPr id="230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5682385-F15B-4E1E-8588-2939A9350815}"/>
            </a:ext>
          </a:extLst>
        </xdr:cNvPr>
        <xdr:cNvSpPr>
          <a:spLocks noChangeAspect="1" noChangeArrowheads="1"/>
        </xdr:cNvSpPr>
      </xdr:nvSpPr>
      <xdr:spPr bwMode="auto">
        <a:xfrm>
          <a:off x="4581525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304800" cy="304800"/>
    <xdr:sp macro="" textlink="">
      <xdr:nvSpPr>
        <xdr:cNvPr id="230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7C8B5A7-CD85-477B-AF2E-388B9BFFCD5E}"/>
            </a:ext>
          </a:extLst>
        </xdr:cNvPr>
        <xdr:cNvSpPr>
          <a:spLocks noChangeAspect="1" noChangeArrowheads="1"/>
        </xdr:cNvSpPr>
      </xdr:nvSpPr>
      <xdr:spPr bwMode="auto">
        <a:xfrm>
          <a:off x="4581525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304800" cy="304800"/>
    <xdr:sp macro="" textlink="">
      <xdr:nvSpPr>
        <xdr:cNvPr id="230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ADE042C-F807-4DB3-949E-ED342BF2A9CA}"/>
            </a:ext>
          </a:extLst>
        </xdr:cNvPr>
        <xdr:cNvSpPr>
          <a:spLocks noChangeAspect="1" noChangeArrowheads="1"/>
        </xdr:cNvSpPr>
      </xdr:nvSpPr>
      <xdr:spPr bwMode="auto">
        <a:xfrm>
          <a:off x="4581525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304800" cy="304800"/>
    <xdr:sp macro="" textlink="">
      <xdr:nvSpPr>
        <xdr:cNvPr id="230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E195E1D-944C-46A2-96FD-6C699A78D14E}"/>
            </a:ext>
          </a:extLst>
        </xdr:cNvPr>
        <xdr:cNvSpPr>
          <a:spLocks noChangeAspect="1" noChangeArrowheads="1"/>
        </xdr:cNvSpPr>
      </xdr:nvSpPr>
      <xdr:spPr bwMode="auto">
        <a:xfrm>
          <a:off x="4581525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304800" cy="304800"/>
    <xdr:sp macro="" textlink="">
      <xdr:nvSpPr>
        <xdr:cNvPr id="230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91400DD-8719-410F-804A-6BC5AAF4946F}"/>
            </a:ext>
          </a:extLst>
        </xdr:cNvPr>
        <xdr:cNvSpPr>
          <a:spLocks noChangeAspect="1" noChangeArrowheads="1"/>
        </xdr:cNvSpPr>
      </xdr:nvSpPr>
      <xdr:spPr bwMode="auto">
        <a:xfrm>
          <a:off x="4581525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304800" cy="304800"/>
    <xdr:sp macro="" textlink="">
      <xdr:nvSpPr>
        <xdr:cNvPr id="230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0724E1B-528D-4C37-8B73-F106143F1A81}"/>
            </a:ext>
          </a:extLst>
        </xdr:cNvPr>
        <xdr:cNvSpPr>
          <a:spLocks noChangeAspect="1" noChangeArrowheads="1"/>
        </xdr:cNvSpPr>
      </xdr:nvSpPr>
      <xdr:spPr bwMode="auto">
        <a:xfrm>
          <a:off x="4581525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304800" cy="304800"/>
    <xdr:sp macro="" textlink="">
      <xdr:nvSpPr>
        <xdr:cNvPr id="230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256D0AD-B9FD-45E2-AB85-7407D2DDD0E4}"/>
            </a:ext>
          </a:extLst>
        </xdr:cNvPr>
        <xdr:cNvSpPr>
          <a:spLocks noChangeAspect="1" noChangeArrowheads="1"/>
        </xdr:cNvSpPr>
      </xdr:nvSpPr>
      <xdr:spPr bwMode="auto">
        <a:xfrm>
          <a:off x="4581525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304800" cy="304800"/>
    <xdr:sp macro="" textlink="">
      <xdr:nvSpPr>
        <xdr:cNvPr id="230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3C1AB66-7C70-497F-A8D6-1F32A3D06D7E}"/>
            </a:ext>
          </a:extLst>
        </xdr:cNvPr>
        <xdr:cNvSpPr>
          <a:spLocks noChangeAspect="1" noChangeArrowheads="1"/>
        </xdr:cNvSpPr>
      </xdr:nvSpPr>
      <xdr:spPr bwMode="auto">
        <a:xfrm>
          <a:off x="4581525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304800" cy="304800"/>
    <xdr:sp macro="" textlink="">
      <xdr:nvSpPr>
        <xdr:cNvPr id="231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B6A54AE-3E7D-42C2-9402-36D46702BC85}"/>
            </a:ext>
          </a:extLst>
        </xdr:cNvPr>
        <xdr:cNvSpPr>
          <a:spLocks noChangeAspect="1" noChangeArrowheads="1"/>
        </xdr:cNvSpPr>
      </xdr:nvSpPr>
      <xdr:spPr bwMode="auto">
        <a:xfrm>
          <a:off x="4581525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304800" cy="304800"/>
    <xdr:sp macro="" textlink="">
      <xdr:nvSpPr>
        <xdr:cNvPr id="231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636A740-48E9-4C4C-842C-D326D9A0E15E}"/>
            </a:ext>
          </a:extLst>
        </xdr:cNvPr>
        <xdr:cNvSpPr>
          <a:spLocks noChangeAspect="1" noChangeArrowheads="1"/>
        </xdr:cNvSpPr>
      </xdr:nvSpPr>
      <xdr:spPr bwMode="auto">
        <a:xfrm>
          <a:off x="4581525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304800" cy="304800"/>
    <xdr:sp macro="" textlink="">
      <xdr:nvSpPr>
        <xdr:cNvPr id="231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74E595E-E693-4195-857D-7DC9B22073DA}"/>
            </a:ext>
          </a:extLst>
        </xdr:cNvPr>
        <xdr:cNvSpPr>
          <a:spLocks noChangeAspect="1" noChangeArrowheads="1"/>
        </xdr:cNvSpPr>
      </xdr:nvSpPr>
      <xdr:spPr bwMode="auto">
        <a:xfrm>
          <a:off x="4581525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304800" cy="304800"/>
    <xdr:sp macro="" textlink="">
      <xdr:nvSpPr>
        <xdr:cNvPr id="231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7B79371-DBC3-4CB1-A13F-C5DBCB5C58D9}"/>
            </a:ext>
          </a:extLst>
        </xdr:cNvPr>
        <xdr:cNvSpPr>
          <a:spLocks noChangeAspect="1" noChangeArrowheads="1"/>
        </xdr:cNvSpPr>
      </xdr:nvSpPr>
      <xdr:spPr bwMode="auto">
        <a:xfrm>
          <a:off x="4581525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304800" cy="304800"/>
    <xdr:sp macro="" textlink="">
      <xdr:nvSpPr>
        <xdr:cNvPr id="231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6A845DC-575E-45FA-9610-FD6F911009DE}"/>
            </a:ext>
          </a:extLst>
        </xdr:cNvPr>
        <xdr:cNvSpPr>
          <a:spLocks noChangeAspect="1" noChangeArrowheads="1"/>
        </xdr:cNvSpPr>
      </xdr:nvSpPr>
      <xdr:spPr bwMode="auto">
        <a:xfrm>
          <a:off x="4581525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304800" cy="304800"/>
    <xdr:sp macro="" textlink="">
      <xdr:nvSpPr>
        <xdr:cNvPr id="231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4D119C8-5D38-4DDC-815E-E095E38B03E9}"/>
            </a:ext>
          </a:extLst>
        </xdr:cNvPr>
        <xdr:cNvSpPr>
          <a:spLocks noChangeAspect="1" noChangeArrowheads="1"/>
        </xdr:cNvSpPr>
      </xdr:nvSpPr>
      <xdr:spPr bwMode="auto">
        <a:xfrm>
          <a:off x="4581525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</xdr:row>
      <xdr:rowOff>0</xdr:rowOff>
    </xdr:from>
    <xdr:ext cx="714375" cy="304800"/>
    <xdr:sp macro="" textlink="">
      <xdr:nvSpPr>
        <xdr:cNvPr id="231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3346D2A-C3FB-4C18-A80C-9D5188EA4D0E}"/>
            </a:ext>
          </a:extLst>
        </xdr:cNvPr>
        <xdr:cNvSpPr>
          <a:spLocks noChangeAspect="1" noChangeArrowheads="1"/>
        </xdr:cNvSpPr>
      </xdr:nvSpPr>
      <xdr:spPr bwMode="auto">
        <a:xfrm>
          <a:off x="5505450" y="1419225"/>
          <a:ext cx="714375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</xdr:row>
      <xdr:rowOff>0</xdr:rowOff>
    </xdr:from>
    <xdr:ext cx="304800" cy="304800"/>
    <xdr:sp macro="" textlink="">
      <xdr:nvSpPr>
        <xdr:cNvPr id="231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986A94D-3C18-4678-A40C-9B70EA9934B7}"/>
            </a:ext>
          </a:extLst>
        </xdr:cNvPr>
        <xdr:cNvSpPr>
          <a:spLocks noChangeAspect="1" noChangeArrowheads="1"/>
        </xdr:cNvSpPr>
      </xdr:nvSpPr>
      <xdr:spPr bwMode="auto">
        <a:xfrm>
          <a:off x="5505450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</xdr:row>
      <xdr:rowOff>0</xdr:rowOff>
    </xdr:from>
    <xdr:ext cx="304800" cy="304800"/>
    <xdr:sp macro="" textlink="">
      <xdr:nvSpPr>
        <xdr:cNvPr id="231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41B73A8-EE9F-404B-B83C-EF505873E0B5}"/>
            </a:ext>
          </a:extLst>
        </xdr:cNvPr>
        <xdr:cNvSpPr>
          <a:spLocks noChangeAspect="1" noChangeArrowheads="1"/>
        </xdr:cNvSpPr>
      </xdr:nvSpPr>
      <xdr:spPr bwMode="auto">
        <a:xfrm>
          <a:off x="5505450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</xdr:row>
      <xdr:rowOff>0</xdr:rowOff>
    </xdr:from>
    <xdr:ext cx="304800" cy="304800"/>
    <xdr:sp macro="" textlink="">
      <xdr:nvSpPr>
        <xdr:cNvPr id="231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DFBE514-8B41-425A-A4F3-97AEFAAF8009}"/>
            </a:ext>
          </a:extLst>
        </xdr:cNvPr>
        <xdr:cNvSpPr>
          <a:spLocks noChangeAspect="1" noChangeArrowheads="1"/>
        </xdr:cNvSpPr>
      </xdr:nvSpPr>
      <xdr:spPr bwMode="auto">
        <a:xfrm>
          <a:off x="5505450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</xdr:row>
      <xdr:rowOff>0</xdr:rowOff>
    </xdr:from>
    <xdr:ext cx="304800" cy="304800"/>
    <xdr:sp macro="" textlink="">
      <xdr:nvSpPr>
        <xdr:cNvPr id="232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6BA3B90-59DC-47FF-97A7-4A4D385061B7}"/>
            </a:ext>
          </a:extLst>
        </xdr:cNvPr>
        <xdr:cNvSpPr>
          <a:spLocks noChangeAspect="1" noChangeArrowheads="1"/>
        </xdr:cNvSpPr>
      </xdr:nvSpPr>
      <xdr:spPr bwMode="auto">
        <a:xfrm>
          <a:off x="5505450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</xdr:row>
      <xdr:rowOff>0</xdr:rowOff>
    </xdr:from>
    <xdr:ext cx="304800" cy="304800"/>
    <xdr:sp macro="" textlink="">
      <xdr:nvSpPr>
        <xdr:cNvPr id="232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EEE7D51-62F5-4484-8ABF-25A5998F11A7}"/>
            </a:ext>
          </a:extLst>
        </xdr:cNvPr>
        <xdr:cNvSpPr>
          <a:spLocks noChangeAspect="1" noChangeArrowheads="1"/>
        </xdr:cNvSpPr>
      </xdr:nvSpPr>
      <xdr:spPr bwMode="auto">
        <a:xfrm>
          <a:off x="5505450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</xdr:row>
      <xdr:rowOff>0</xdr:rowOff>
    </xdr:from>
    <xdr:ext cx="714375" cy="304800"/>
    <xdr:sp macro="" textlink="">
      <xdr:nvSpPr>
        <xdr:cNvPr id="232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8FF7A53-2835-44A2-9BEA-8270C90E01D9}"/>
            </a:ext>
          </a:extLst>
        </xdr:cNvPr>
        <xdr:cNvSpPr>
          <a:spLocks noChangeAspect="1" noChangeArrowheads="1"/>
        </xdr:cNvSpPr>
      </xdr:nvSpPr>
      <xdr:spPr bwMode="auto">
        <a:xfrm>
          <a:off x="5505450" y="1419225"/>
          <a:ext cx="714375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</xdr:row>
      <xdr:rowOff>0</xdr:rowOff>
    </xdr:from>
    <xdr:ext cx="304800" cy="304800"/>
    <xdr:sp macro="" textlink="">
      <xdr:nvSpPr>
        <xdr:cNvPr id="232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7BAE9DD-0604-4811-98ED-33860BB3A71F}"/>
            </a:ext>
          </a:extLst>
        </xdr:cNvPr>
        <xdr:cNvSpPr>
          <a:spLocks noChangeAspect="1" noChangeArrowheads="1"/>
        </xdr:cNvSpPr>
      </xdr:nvSpPr>
      <xdr:spPr bwMode="auto">
        <a:xfrm>
          <a:off x="5505450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</xdr:row>
      <xdr:rowOff>0</xdr:rowOff>
    </xdr:from>
    <xdr:ext cx="304800" cy="304800"/>
    <xdr:sp macro="" textlink="">
      <xdr:nvSpPr>
        <xdr:cNvPr id="232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CCD685F-5666-4DDC-A3B8-DB4418368D83}"/>
            </a:ext>
          </a:extLst>
        </xdr:cNvPr>
        <xdr:cNvSpPr>
          <a:spLocks noChangeAspect="1" noChangeArrowheads="1"/>
        </xdr:cNvSpPr>
      </xdr:nvSpPr>
      <xdr:spPr bwMode="auto">
        <a:xfrm>
          <a:off x="5505450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</xdr:row>
      <xdr:rowOff>0</xdr:rowOff>
    </xdr:from>
    <xdr:ext cx="304800" cy="304800"/>
    <xdr:sp macro="" textlink="">
      <xdr:nvSpPr>
        <xdr:cNvPr id="232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9C75AB8-D6FA-4F60-B8E1-F6911E16618F}"/>
            </a:ext>
          </a:extLst>
        </xdr:cNvPr>
        <xdr:cNvSpPr>
          <a:spLocks noChangeAspect="1" noChangeArrowheads="1"/>
        </xdr:cNvSpPr>
      </xdr:nvSpPr>
      <xdr:spPr bwMode="auto">
        <a:xfrm>
          <a:off x="5505450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</xdr:row>
      <xdr:rowOff>0</xdr:rowOff>
    </xdr:from>
    <xdr:ext cx="304800" cy="304800"/>
    <xdr:sp macro="" textlink="">
      <xdr:nvSpPr>
        <xdr:cNvPr id="232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220D0B6-9D21-438E-A35D-957B19A0AAC9}"/>
            </a:ext>
          </a:extLst>
        </xdr:cNvPr>
        <xdr:cNvSpPr>
          <a:spLocks noChangeAspect="1" noChangeArrowheads="1"/>
        </xdr:cNvSpPr>
      </xdr:nvSpPr>
      <xdr:spPr bwMode="auto">
        <a:xfrm>
          <a:off x="5505450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</xdr:row>
      <xdr:rowOff>0</xdr:rowOff>
    </xdr:from>
    <xdr:ext cx="304800" cy="304800"/>
    <xdr:sp macro="" textlink="">
      <xdr:nvSpPr>
        <xdr:cNvPr id="232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E5306AE-70E5-442C-B698-593B991D3B9C}"/>
            </a:ext>
          </a:extLst>
        </xdr:cNvPr>
        <xdr:cNvSpPr>
          <a:spLocks noChangeAspect="1" noChangeArrowheads="1"/>
        </xdr:cNvSpPr>
      </xdr:nvSpPr>
      <xdr:spPr bwMode="auto">
        <a:xfrm>
          <a:off x="5505450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</xdr:row>
      <xdr:rowOff>0</xdr:rowOff>
    </xdr:from>
    <xdr:ext cx="304800" cy="304800"/>
    <xdr:sp macro="" textlink="">
      <xdr:nvSpPr>
        <xdr:cNvPr id="232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FD06C03-244F-453C-ACD7-2BAAB1998252}"/>
            </a:ext>
          </a:extLst>
        </xdr:cNvPr>
        <xdr:cNvSpPr>
          <a:spLocks noChangeAspect="1" noChangeArrowheads="1"/>
        </xdr:cNvSpPr>
      </xdr:nvSpPr>
      <xdr:spPr bwMode="auto">
        <a:xfrm>
          <a:off x="5505450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</xdr:row>
      <xdr:rowOff>0</xdr:rowOff>
    </xdr:from>
    <xdr:ext cx="304800" cy="304800"/>
    <xdr:sp macro="" textlink="">
      <xdr:nvSpPr>
        <xdr:cNvPr id="232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5B08A80-5DBF-47D1-977F-48B38EE54922}"/>
            </a:ext>
          </a:extLst>
        </xdr:cNvPr>
        <xdr:cNvSpPr>
          <a:spLocks noChangeAspect="1" noChangeArrowheads="1"/>
        </xdr:cNvSpPr>
      </xdr:nvSpPr>
      <xdr:spPr bwMode="auto">
        <a:xfrm>
          <a:off x="5505450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</xdr:row>
      <xdr:rowOff>0</xdr:rowOff>
    </xdr:from>
    <xdr:ext cx="304800" cy="304800"/>
    <xdr:sp macro="" textlink="">
      <xdr:nvSpPr>
        <xdr:cNvPr id="233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28DE577-50A7-4BCC-A68D-6A54D34B0F30}"/>
            </a:ext>
          </a:extLst>
        </xdr:cNvPr>
        <xdr:cNvSpPr>
          <a:spLocks noChangeAspect="1" noChangeArrowheads="1"/>
        </xdr:cNvSpPr>
      </xdr:nvSpPr>
      <xdr:spPr bwMode="auto">
        <a:xfrm>
          <a:off x="5505450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</xdr:row>
      <xdr:rowOff>0</xdr:rowOff>
    </xdr:from>
    <xdr:ext cx="304800" cy="304800"/>
    <xdr:sp macro="" textlink="">
      <xdr:nvSpPr>
        <xdr:cNvPr id="233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E2D67A5-6613-4966-86C1-B0A0B0EBC2CF}"/>
            </a:ext>
          </a:extLst>
        </xdr:cNvPr>
        <xdr:cNvSpPr>
          <a:spLocks noChangeAspect="1" noChangeArrowheads="1"/>
        </xdr:cNvSpPr>
      </xdr:nvSpPr>
      <xdr:spPr bwMode="auto">
        <a:xfrm>
          <a:off x="5505450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</xdr:row>
      <xdr:rowOff>0</xdr:rowOff>
    </xdr:from>
    <xdr:ext cx="304800" cy="304800"/>
    <xdr:sp macro="" textlink="">
      <xdr:nvSpPr>
        <xdr:cNvPr id="233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D9FBCAE-5412-4F0C-9139-065368AEB053}"/>
            </a:ext>
          </a:extLst>
        </xdr:cNvPr>
        <xdr:cNvSpPr>
          <a:spLocks noChangeAspect="1" noChangeArrowheads="1"/>
        </xdr:cNvSpPr>
      </xdr:nvSpPr>
      <xdr:spPr bwMode="auto">
        <a:xfrm>
          <a:off x="5505450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</xdr:row>
      <xdr:rowOff>0</xdr:rowOff>
    </xdr:from>
    <xdr:ext cx="714375" cy="304800"/>
    <xdr:sp macro="" textlink="">
      <xdr:nvSpPr>
        <xdr:cNvPr id="233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3E2933C-A4E0-4D31-BE38-227B27E12F79}"/>
            </a:ext>
          </a:extLst>
        </xdr:cNvPr>
        <xdr:cNvSpPr>
          <a:spLocks noChangeAspect="1" noChangeArrowheads="1"/>
        </xdr:cNvSpPr>
      </xdr:nvSpPr>
      <xdr:spPr bwMode="auto">
        <a:xfrm>
          <a:off x="5505450" y="1419225"/>
          <a:ext cx="714375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</xdr:row>
      <xdr:rowOff>0</xdr:rowOff>
    </xdr:from>
    <xdr:ext cx="304800" cy="304800"/>
    <xdr:sp macro="" textlink="">
      <xdr:nvSpPr>
        <xdr:cNvPr id="233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192544A-D7DD-4493-B20E-7076F86DE865}"/>
            </a:ext>
          </a:extLst>
        </xdr:cNvPr>
        <xdr:cNvSpPr>
          <a:spLocks noChangeAspect="1" noChangeArrowheads="1"/>
        </xdr:cNvSpPr>
      </xdr:nvSpPr>
      <xdr:spPr bwMode="auto">
        <a:xfrm>
          <a:off x="5505450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</xdr:row>
      <xdr:rowOff>0</xdr:rowOff>
    </xdr:from>
    <xdr:ext cx="304800" cy="304800"/>
    <xdr:sp macro="" textlink="">
      <xdr:nvSpPr>
        <xdr:cNvPr id="233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BB731CD-52BC-45FC-8C7D-B488BD5A1A32}"/>
            </a:ext>
          </a:extLst>
        </xdr:cNvPr>
        <xdr:cNvSpPr>
          <a:spLocks noChangeAspect="1" noChangeArrowheads="1"/>
        </xdr:cNvSpPr>
      </xdr:nvSpPr>
      <xdr:spPr bwMode="auto">
        <a:xfrm>
          <a:off x="5505450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</xdr:row>
      <xdr:rowOff>0</xdr:rowOff>
    </xdr:from>
    <xdr:ext cx="304800" cy="304800"/>
    <xdr:sp macro="" textlink="">
      <xdr:nvSpPr>
        <xdr:cNvPr id="233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BC946E5-79A3-4E85-A3E3-575CCEAF14A9}"/>
            </a:ext>
          </a:extLst>
        </xdr:cNvPr>
        <xdr:cNvSpPr>
          <a:spLocks noChangeAspect="1" noChangeArrowheads="1"/>
        </xdr:cNvSpPr>
      </xdr:nvSpPr>
      <xdr:spPr bwMode="auto">
        <a:xfrm>
          <a:off x="5505450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</xdr:row>
      <xdr:rowOff>0</xdr:rowOff>
    </xdr:from>
    <xdr:ext cx="304800" cy="304800"/>
    <xdr:sp macro="" textlink="">
      <xdr:nvSpPr>
        <xdr:cNvPr id="233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BBA97CC-96E0-4AAD-8FBA-CF00A9AEF4D3}"/>
            </a:ext>
          </a:extLst>
        </xdr:cNvPr>
        <xdr:cNvSpPr>
          <a:spLocks noChangeAspect="1" noChangeArrowheads="1"/>
        </xdr:cNvSpPr>
      </xdr:nvSpPr>
      <xdr:spPr bwMode="auto">
        <a:xfrm>
          <a:off x="5505450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</xdr:row>
      <xdr:rowOff>0</xdr:rowOff>
    </xdr:from>
    <xdr:ext cx="304800" cy="304800"/>
    <xdr:sp macro="" textlink="">
      <xdr:nvSpPr>
        <xdr:cNvPr id="233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BFFB061-C5ED-486D-BA59-86205A454BB5}"/>
            </a:ext>
          </a:extLst>
        </xdr:cNvPr>
        <xdr:cNvSpPr>
          <a:spLocks noChangeAspect="1" noChangeArrowheads="1"/>
        </xdr:cNvSpPr>
      </xdr:nvSpPr>
      <xdr:spPr bwMode="auto">
        <a:xfrm>
          <a:off x="5505450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</xdr:row>
      <xdr:rowOff>0</xdr:rowOff>
    </xdr:from>
    <xdr:ext cx="304800" cy="304800"/>
    <xdr:sp macro="" textlink="">
      <xdr:nvSpPr>
        <xdr:cNvPr id="233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831D33A-DCA5-442A-93B5-E915E13384E6}"/>
            </a:ext>
          </a:extLst>
        </xdr:cNvPr>
        <xdr:cNvSpPr>
          <a:spLocks noChangeAspect="1" noChangeArrowheads="1"/>
        </xdr:cNvSpPr>
      </xdr:nvSpPr>
      <xdr:spPr bwMode="auto">
        <a:xfrm>
          <a:off x="5505450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</xdr:row>
      <xdr:rowOff>0</xdr:rowOff>
    </xdr:from>
    <xdr:ext cx="304800" cy="304800"/>
    <xdr:sp macro="" textlink="">
      <xdr:nvSpPr>
        <xdr:cNvPr id="234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33B5316-BF52-4C8B-A203-F2FE97448995}"/>
            </a:ext>
          </a:extLst>
        </xdr:cNvPr>
        <xdr:cNvSpPr>
          <a:spLocks noChangeAspect="1" noChangeArrowheads="1"/>
        </xdr:cNvSpPr>
      </xdr:nvSpPr>
      <xdr:spPr bwMode="auto">
        <a:xfrm>
          <a:off x="5505450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</xdr:row>
      <xdr:rowOff>0</xdr:rowOff>
    </xdr:from>
    <xdr:ext cx="304800" cy="304800"/>
    <xdr:sp macro="" textlink="">
      <xdr:nvSpPr>
        <xdr:cNvPr id="234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FDDF94E-4B50-4FA5-9689-B9ED3B5710ED}"/>
            </a:ext>
          </a:extLst>
        </xdr:cNvPr>
        <xdr:cNvSpPr>
          <a:spLocks noChangeAspect="1" noChangeArrowheads="1"/>
        </xdr:cNvSpPr>
      </xdr:nvSpPr>
      <xdr:spPr bwMode="auto">
        <a:xfrm>
          <a:off x="5505450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</xdr:row>
      <xdr:rowOff>0</xdr:rowOff>
    </xdr:from>
    <xdr:ext cx="304800" cy="304800"/>
    <xdr:sp macro="" textlink="">
      <xdr:nvSpPr>
        <xdr:cNvPr id="234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2919B20-24DF-4B11-BBB9-3E587DDEC781}"/>
            </a:ext>
          </a:extLst>
        </xdr:cNvPr>
        <xdr:cNvSpPr>
          <a:spLocks noChangeAspect="1" noChangeArrowheads="1"/>
        </xdr:cNvSpPr>
      </xdr:nvSpPr>
      <xdr:spPr bwMode="auto">
        <a:xfrm>
          <a:off x="5505450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</xdr:row>
      <xdr:rowOff>0</xdr:rowOff>
    </xdr:from>
    <xdr:ext cx="304800" cy="304800"/>
    <xdr:sp macro="" textlink="">
      <xdr:nvSpPr>
        <xdr:cNvPr id="234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B7D74A2-172A-4E7C-B681-FE36A7D04F71}"/>
            </a:ext>
          </a:extLst>
        </xdr:cNvPr>
        <xdr:cNvSpPr>
          <a:spLocks noChangeAspect="1" noChangeArrowheads="1"/>
        </xdr:cNvSpPr>
      </xdr:nvSpPr>
      <xdr:spPr bwMode="auto">
        <a:xfrm>
          <a:off x="5505450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304800" cy="304800"/>
    <xdr:sp macro="" textlink="">
      <xdr:nvSpPr>
        <xdr:cNvPr id="234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E5E18AD-D1BD-48DD-BDF9-85E424990ABB}"/>
            </a:ext>
          </a:extLst>
        </xdr:cNvPr>
        <xdr:cNvSpPr>
          <a:spLocks noChangeAspect="1" noChangeArrowheads="1"/>
        </xdr:cNvSpPr>
      </xdr:nvSpPr>
      <xdr:spPr bwMode="auto">
        <a:xfrm>
          <a:off x="5743575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304800" cy="304800"/>
    <xdr:sp macro="" textlink="">
      <xdr:nvSpPr>
        <xdr:cNvPr id="234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AB1E372-4423-4656-8AD3-934F75965E2D}"/>
            </a:ext>
          </a:extLst>
        </xdr:cNvPr>
        <xdr:cNvSpPr>
          <a:spLocks noChangeAspect="1" noChangeArrowheads="1"/>
        </xdr:cNvSpPr>
      </xdr:nvSpPr>
      <xdr:spPr bwMode="auto">
        <a:xfrm>
          <a:off x="5743575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304800" cy="304800"/>
    <xdr:sp macro="" textlink="">
      <xdr:nvSpPr>
        <xdr:cNvPr id="234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D97E88E-816E-4E90-A85F-660F52F50B7F}"/>
            </a:ext>
          </a:extLst>
        </xdr:cNvPr>
        <xdr:cNvSpPr>
          <a:spLocks noChangeAspect="1" noChangeArrowheads="1"/>
        </xdr:cNvSpPr>
      </xdr:nvSpPr>
      <xdr:spPr bwMode="auto">
        <a:xfrm>
          <a:off x="5743575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304800" cy="304800"/>
    <xdr:sp macro="" textlink="">
      <xdr:nvSpPr>
        <xdr:cNvPr id="234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22BE985-183B-4F1C-8B33-321ED2E8146C}"/>
            </a:ext>
          </a:extLst>
        </xdr:cNvPr>
        <xdr:cNvSpPr>
          <a:spLocks noChangeAspect="1" noChangeArrowheads="1"/>
        </xdr:cNvSpPr>
      </xdr:nvSpPr>
      <xdr:spPr bwMode="auto">
        <a:xfrm>
          <a:off x="5743575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304800" cy="304800"/>
    <xdr:sp macro="" textlink="">
      <xdr:nvSpPr>
        <xdr:cNvPr id="234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A1BDC0F-87FD-43B4-8DE0-F57D1CCD0F6C}"/>
            </a:ext>
          </a:extLst>
        </xdr:cNvPr>
        <xdr:cNvSpPr>
          <a:spLocks noChangeAspect="1" noChangeArrowheads="1"/>
        </xdr:cNvSpPr>
      </xdr:nvSpPr>
      <xdr:spPr bwMode="auto">
        <a:xfrm>
          <a:off x="5743575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304800" cy="304800"/>
    <xdr:sp macro="" textlink="">
      <xdr:nvSpPr>
        <xdr:cNvPr id="234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80DB851-CA82-4B2E-9C11-D119ED801CE6}"/>
            </a:ext>
          </a:extLst>
        </xdr:cNvPr>
        <xdr:cNvSpPr>
          <a:spLocks noChangeAspect="1" noChangeArrowheads="1"/>
        </xdr:cNvSpPr>
      </xdr:nvSpPr>
      <xdr:spPr bwMode="auto">
        <a:xfrm>
          <a:off x="5743575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304800" cy="304800"/>
    <xdr:sp macro="" textlink="">
      <xdr:nvSpPr>
        <xdr:cNvPr id="235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96F2F7C-7058-410C-8524-D5C18BF3DD69}"/>
            </a:ext>
          </a:extLst>
        </xdr:cNvPr>
        <xdr:cNvSpPr>
          <a:spLocks noChangeAspect="1" noChangeArrowheads="1"/>
        </xdr:cNvSpPr>
      </xdr:nvSpPr>
      <xdr:spPr bwMode="auto">
        <a:xfrm>
          <a:off x="5743575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304800" cy="304800"/>
    <xdr:sp macro="" textlink="">
      <xdr:nvSpPr>
        <xdr:cNvPr id="235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55A1991-CA6E-4E4B-80E1-D8E31B6D4495}"/>
            </a:ext>
          </a:extLst>
        </xdr:cNvPr>
        <xdr:cNvSpPr>
          <a:spLocks noChangeAspect="1" noChangeArrowheads="1"/>
        </xdr:cNvSpPr>
      </xdr:nvSpPr>
      <xdr:spPr bwMode="auto">
        <a:xfrm>
          <a:off x="5743575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714375" cy="304800"/>
    <xdr:sp macro="" textlink="">
      <xdr:nvSpPr>
        <xdr:cNvPr id="235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489484E-87C5-48E4-A467-8BA7672C47BA}"/>
            </a:ext>
          </a:extLst>
        </xdr:cNvPr>
        <xdr:cNvSpPr>
          <a:spLocks noChangeAspect="1" noChangeArrowheads="1"/>
        </xdr:cNvSpPr>
      </xdr:nvSpPr>
      <xdr:spPr bwMode="auto">
        <a:xfrm>
          <a:off x="4581525" y="1419225"/>
          <a:ext cx="714375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304800" cy="304800"/>
    <xdr:sp macro="" textlink="">
      <xdr:nvSpPr>
        <xdr:cNvPr id="235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BC9192A-B361-41CB-92FD-4C95486414CC}"/>
            </a:ext>
          </a:extLst>
        </xdr:cNvPr>
        <xdr:cNvSpPr>
          <a:spLocks noChangeAspect="1" noChangeArrowheads="1"/>
        </xdr:cNvSpPr>
      </xdr:nvSpPr>
      <xdr:spPr bwMode="auto">
        <a:xfrm>
          <a:off x="4581525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304800" cy="304800"/>
    <xdr:sp macro="" textlink="">
      <xdr:nvSpPr>
        <xdr:cNvPr id="235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FB9936C-A1B3-4B68-8711-AF9357261A48}"/>
            </a:ext>
          </a:extLst>
        </xdr:cNvPr>
        <xdr:cNvSpPr>
          <a:spLocks noChangeAspect="1" noChangeArrowheads="1"/>
        </xdr:cNvSpPr>
      </xdr:nvSpPr>
      <xdr:spPr bwMode="auto">
        <a:xfrm>
          <a:off x="4581525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304800" cy="304800"/>
    <xdr:sp macro="" textlink="">
      <xdr:nvSpPr>
        <xdr:cNvPr id="235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BC53960-459E-4F6D-9131-D668A874FF9A}"/>
            </a:ext>
          </a:extLst>
        </xdr:cNvPr>
        <xdr:cNvSpPr>
          <a:spLocks noChangeAspect="1" noChangeArrowheads="1"/>
        </xdr:cNvSpPr>
      </xdr:nvSpPr>
      <xdr:spPr bwMode="auto">
        <a:xfrm>
          <a:off x="4581525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304800" cy="304800"/>
    <xdr:sp macro="" textlink="">
      <xdr:nvSpPr>
        <xdr:cNvPr id="235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BEA313D-4E87-4D59-B0B6-92E9751F0BDE}"/>
            </a:ext>
          </a:extLst>
        </xdr:cNvPr>
        <xdr:cNvSpPr>
          <a:spLocks noChangeAspect="1" noChangeArrowheads="1"/>
        </xdr:cNvSpPr>
      </xdr:nvSpPr>
      <xdr:spPr bwMode="auto">
        <a:xfrm>
          <a:off x="4581525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304800" cy="304800"/>
    <xdr:sp macro="" textlink="">
      <xdr:nvSpPr>
        <xdr:cNvPr id="235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F14088C-2FFD-4D75-A805-BB55386B6976}"/>
            </a:ext>
          </a:extLst>
        </xdr:cNvPr>
        <xdr:cNvSpPr>
          <a:spLocks noChangeAspect="1" noChangeArrowheads="1"/>
        </xdr:cNvSpPr>
      </xdr:nvSpPr>
      <xdr:spPr bwMode="auto">
        <a:xfrm>
          <a:off x="4581525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714375" cy="304800"/>
    <xdr:sp macro="" textlink="">
      <xdr:nvSpPr>
        <xdr:cNvPr id="235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6410788-C6AE-4CD6-888F-CD8AAD50762E}"/>
            </a:ext>
          </a:extLst>
        </xdr:cNvPr>
        <xdr:cNvSpPr>
          <a:spLocks noChangeAspect="1" noChangeArrowheads="1"/>
        </xdr:cNvSpPr>
      </xdr:nvSpPr>
      <xdr:spPr bwMode="auto">
        <a:xfrm>
          <a:off x="4581525" y="1419225"/>
          <a:ext cx="714375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304800" cy="304800"/>
    <xdr:sp macro="" textlink="">
      <xdr:nvSpPr>
        <xdr:cNvPr id="235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11B7132-2BCD-4160-9A43-0BCACABD88CA}"/>
            </a:ext>
          </a:extLst>
        </xdr:cNvPr>
        <xdr:cNvSpPr>
          <a:spLocks noChangeAspect="1" noChangeArrowheads="1"/>
        </xdr:cNvSpPr>
      </xdr:nvSpPr>
      <xdr:spPr bwMode="auto">
        <a:xfrm>
          <a:off x="4581525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304800" cy="304800"/>
    <xdr:sp macro="" textlink="">
      <xdr:nvSpPr>
        <xdr:cNvPr id="236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5A125D6-9B88-434E-B9D0-AA07776BC055}"/>
            </a:ext>
          </a:extLst>
        </xdr:cNvPr>
        <xdr:cNvSpPr>
          <a:spLocks noChangeAspect="1" noChangeArrowheads="1"/>
        </xdr:cNvSpPr>
      </xdr:nvSpPr>
      <xdr:spPr bwMode="auto">
        <a:xfrm>
          <a:off x="4581525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304800" cy="304800"/>
    <xdr:sp macro="" textlink="">
      <xdr:nvSpPr>
        <xdr:cNvPr id="236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67722B5-5DF1-451D-BA32-39A16C4539FE}"/>
            </a:ext>
          </a:extLst>
        </xdr:cNvPr>
        <xdr:cNvSpPr>
          <a:spLocks noChangeAspect="1" noChangeArrowheads="1"/>
        </xdr:cNvSpPr>
      </xdr:nvSpPr>
      <xdr:spPr bwMode="auto">
        <a:xfrm>
          <a:off x="4581525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304800" cy="304800"/>
    <xdr:sp macro="" textlink="">
      <xdr:nvSpPr>
        <xdr:cNvPr id="236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37AFBB8-7880-4E37-9A52-4833BD1B9D28}"/>
            </a:ext>
          </a:extLst>
        </xdr:cNvPr>
        <xdr:cNvSpPr>
          <a:spLocks noChangeAspect="1" noChangeArrowheads="1"/>
        </xdr:cNvSpPr>
      </xdr:nvSpPr>
      <xdr:spPr bwMode="auto">
        <a:xfrm>
          <a:off x="4581525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304800" cy="304800"/>
    <xdr:sp macro="" textlink="">
      <xdr:nvSpPr>
        <xdr:cNvPr id="236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5C21FA5-6D15-4AEE-AD55-88794ABA82FE}"/>
            </a:ext>
          </a:extLst>
        </xdr:cNvPr>
        <xdr:cNvSpPr>
          <a:spLocks noChangeAspect="1" noChangeArrowheads="1"/>
        </xdr:cNvSpPr>
      </xdr:nvSpPr>
      <xdr:spPr bwMode="auto">
        <a:xfrm>
          <a:off x="4581525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304800" cy="304800"/>
    <xdr:sp macro="" textlink="">
      <xdr:nvSpPr>
        <xdr:cNvPr id="236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15EDE7C-E771-4EBF-B2F5-6E7972AACD33}"/>
            </a:ext>
          </a:extLst>
        </xdr:cNvPr>
        <xdr:cNvSpPr>
          <a:spLocks noChangeAspect="1" noChangeArrowheads="1"/>
        </xdr:cNvSpPr>
      </xdr:nvSpPr>
      <xdr:spPr bwMode="auto">
        <a:xfrm>
          <a:off x="4581525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304800" cy="304800"/>
    <xdr:sp macro="" textlink="">
      <xdr:nvSpPr>
        <xdr:cNvPr id="236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0228D59-FFB3-40E3-8BD9-B02CC7B7EAE5}"/>
            </a:ext>
          </a:extLst>
        </xdr:cNvPr>
        <xdr:cNvSpPr>
          <a:spLocks noChangeAspect="1" noChangeArrowheads="1"/>
        </xdr:cNvSpPr>
      </xdr:nvSpPr>
      <xdr:spPr bwMode="auto">
        <a:xfrm>
          <a:off x="4581525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304800" cy="304800"/>
    <xdr:sp macro="" textlink="">
      <xdr:nvSpPr>
        <xdr:cNvPr id="236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EE734EE-3A1F-46B5-8761-9869B91F6AE8}"/>
            </a:ext>
          </a:extLst>
        </xdr:cNvPr>
        <xdr:cNvSpPr>
          <a:spLocks noChangeAspect="1" noChangeArrowheads="1"/>
        </xdr:cNvSpPr>
      </xdr:nvSpPr>
      <xdr:spPr bwMode="auto">
        <a:xfrm>
          <a:off x="4581525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304800" cy="304800"/>
    <xdr:sp macro="" textlink="">
      <xdr:nvSpPr>
        <xdr:cNvPr id="236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DA5F022-4827-4CBA-A729-84DF83A0F5E6}"/>
            </a:ext>
          </a:extLst>
        </xdr:cNvPr>
        <xdr:cNvSpPr>
          <a:spLocks noChangeAspect="1" noChangeArrowheads="1"/>
        </xdr:cNvSpPr>
      </xdr:nvSpPr>
      <xdr:spPr bwMode="auto">
        <a:xfrm>
          <a:off x="4581525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304800" cy="304800"/>
    <xdr:sp macro="" textlink="">
      <xdr:nvSpPr>
        <xdr:cNvPr id="236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B4DCA48-FCE9-4F65-AEA1-7FCCC0218F59}"/>
            </a:ext>
          </a:extLst>
        </xdr:cNvPr>
        <xdr:cNvSpPr>
          <a:spLocks noChangeAspect="1" noChangeArrowheads="1"/>
        </xdr:cNvSpPr>
      </xdr:nvSpPr>
      <xdr:spPr bwMode="auto">
        <a:xfrm>
          <a:off x="4581525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304800" cy="304800"/>
    <xdr:sp macro="" textlink="">
      <xdr:nvSpPr>
        <xdr:cNvPr id="236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48E1897-E3CE-40D8-94BC-CB91798CB510}"/>
            </a:ext>
          </a:extLst>
        </xdr:cNvPr>
        <xdr:cNvSpPr>
          <a:spLocks noChangeAspect="1" noChangeArrowheads="1"/>
        </xdr:cNvSpPr>
      </xdr:nvSpPr>
      <xdr:spPr bwMode="auto">
        <a:xfrm>
          <a:off x="4581525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304800" cy="304800"/>
    <xdr:sp macro="" textlink="">
      <xdr:nvSpPr>
        <xdr:cNvPr id="237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5590BC0-84A0-4D7A-8B68-0EA827F71794}"/>
            </a:ext>
          </a:extLst>
        </xdr:cNvPr>
        <xdr:cNvSpPr>
          <a:spLocks noChangeAspect="1" noChangeArrowheads="1"/>
        </xdr:cNvSpPr>
      </xdr:nvSpPr>
      <xdr:spPr bwMode="auto">
        <a:xfrm>
          <a:off x="4581525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304800" cy="304800"/>
    <xdr:sp macro="" textlink="">
      <xdr:nvSpPr>
        <xdr:cNvPr id="237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8EF1426-7C2C-46F0-B163-14379ED43573}"/>
            </a:ext>
          </a:extLst>
        </xdr:cNvPr>
        <xdr:cNvSpPr>
          <a:spLocks noChangeAspect="1" noChangeArrowheads="1"/>
        </xdr:cNvSpPr>
      </xdr:nvSpPr>
      <xdr:spPr bwMode="auto">
        <a:xfrm>
          <a:off x="4581525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304800" cy="304800"/>
    <xdr:sp macro="" textlink="">
      <xdr:nvSpPr>
        <xdr:cNvPr id="237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A30F8A2-E3F4-483F-9587-B619FA8BBD6A}"/>
            </a:ext>
          </a:extLst>
        </xdr:cNvPr>
        <xdr:cNvSpPr>
          <a:spLocks noChangeAspect="1" noChangeArrowheads="1"/>
        </xdr:cNvSpPr>
      </xdr:nvSpPr>
      <xdr:spPr bwMode="auto">
        <a:xfrm>
          <a:off x="4581525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304800" cy="304800"/>
    <xdr:sp macro="" textlink="">
      <xdr:nvSpPr>
        <xdr:cNvPr id="237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16F7CD8-86D1-41D6-92AD-61D5B2B6EA04}"/>
            </a:ext>
          </a:extLst>
        </xdr:cNvPr>
        <xdr:cNvSpPr>
          <a:spLocks noChangeAspect="1" noChangeArrowheads="1"/>
        </xdr:cNvSpPr>
      </xdr:nvSpPr>
      <xdr:spPr bwMode="auto">
        <a:xfrm>
          <a:off x="4581525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304800" cy="304800"/>
    <xdr:sp macro="" textlink="">
      <xdr:nvSpPr>
        <xdr:cNvPr id="237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25DB428-4A8C-4217-8A8B-03F6E74DE18C}"/>
            </a:ext>
          </a:extLst>
        </xdr:cNvPr>
        <xdr:cNvSpPr>
          <a:spLocks noChangeAspect="1" noChangeArrowheads="1"/>
        </xdr:cNvSpPr>
      </xdr:nvSpPr>
      <xdr:spPr bwMode="auto">
        <a:xfrm>
          <a:off x="4581525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304800" cy="304800"/>
    <xdr:sp macro="" textlink="">
      <xdr:nvSpPr>
        <xdr:cNvPr id="237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0B10B45-96DA-4964-852A-82889091452C}"/>
            </a:ext>
          </a:extLst>
        </xdr:cNvPr>
        <xdr:cNvSpPr>
          <a:spLocks noChangeAspect="1" noChangeArrowheads="1"/>
        </xdr:cNvSpPr>
      </xdr:nvSpPr>
      <xdr:spPr bwMode="auto">
        <a:xfrm>
          <a:off x="4581525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304800" cy="304800"/>
    <xdr:sp macro="" textlink="">
      <xdr:nvSpPr>
        <xdr:cNvPr id="237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567F555-73F8-4852-9861-35917A6797B2}"/>
            </a:ext>
          </a:extLst>
        </xdr:cNvPr>
        <xdr:cNvSpPr>
          <a:spLocks noChangeAspect="1" noChangeArrowheads="1"/>
        </xdr:cNvSpPr>
      </xdr:nvSpPr>
      <xdr:spPr bwMode="auto">
        <a:xfrm>
          <a:off x="4581525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7</xdr:row>
      <xdr:rowOff>0</xdr:rowOff>
    </xdr:from>
    <xdr:ext cx="304800" cy="304800"/>
    <xdr:sp macro="" textlink="">
      <xdr:nvSpPr>
        <xdr:cNvPr id="237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27DF52A-AE69-4E39-960D-EC6B12C7E1FA}"/>
            </a:ext>
          </a:extLst>
        </xdr:cNvPr>
        <xdr:cNvSpPr>
          <a:spLocks noChangeAspect="1" noChangeArrowheads="1"/>
        </xdr:cNvSpPr>
      </xdr:nvSpPr>
      <xdr:spPr bwMode="auto">
        <a:xfrm>
          <a:off x="4581525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</xdr:row>
      <xdr:rowOff>0</xdr:rowOff>
    </xdr:from>
    <xdr:ext cx="714375" cy="304800"/>
    <xdr:sp macro="" textlink="">
      <xdr:nvSpPr>
        <xdr:cNvPr id="237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8A545A8-90C9-4BE0-B6B9-60A714B450C5}"/>
            </a:ext>
          </a:extLst>
        </xdr:cNvPr>
        <xdr:cNvSpPr>
          <a:spLocks noChangeAspect="1" noChangeArrowheads="1"/>
        </xdr:cNvSpPr>
      </xdr:nvSpPr>
      <xdr:spPr bwMode="auto">
        <a:xfrm>
          <a:off x="5505450" y="1419225"/>
          <a:ext cx="714375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</xdr:row>
      <xdr:rowOff>0</xdr:rowOff>
    </xdr:from>
    <xdr:ext cx="304800" cy="304800"/>
    <xdr:sp macro="" textlink="">
      <xdr:nvSpPr>
        <xdr:cNvPr id="237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678E291-CDED-4FF7-9705-6942C96A1CEF}"/>
            </a:ext>
          </a:extLst>
        </xdr:cNvPr>
        <xdr:cNvSpPr>
          <a:spLocks noChangeAspect="1" noChangeArrowheads="1"/>
        </xdr:cNvSpPr>
      </xdr:nvSpPr>
      <xdr:spPr bwMode="auto">
        <a:xfrm>
          <a:off x="5505450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</xdr:row>
      <xdr:rowOff>0</xdr:rowOff>
    </xdr:from>
    <xdr:ext cx="304800" cy="304800"/>
    <xdr:sp macro="" textlink="">
      <xdr:nvSpPr>
        <xdr:cNvPr id="238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3B9656D-7C94-4363-82AD-AAFFC94DAD12}"/>
            </a:ext>
          </a:extLst>
        </xdr:cNvPr>
        <xdr:cNvSpPr>
          <a:spLocks noChangeAspect="1" noChangeArrowheads="1"/>
        </xdr:cNvSpPr>
      </xdr:nvSpPr>
      <xdr:spPr bwMode="auto">
        <a:xfrm>
          <a:off x="5505450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</xdr:row>
      <xdr:rowOff>0</xdr:rowOff>
    </xdr:from>
    <xdr:ext cx="304800" cy="304800"/>
    <xdr:sp macro="" textlink="">
      <xdr:nvSpPr>
        <xdr:cNvPr id="238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297AB32-ED35-4FDF-A15D-2512FB594972}"/>
            </a:ext>
          </a:extLst>
        </xdr:cNvPr>
        <xdr:cNvSpPr>
          <a:spLocks noChangeAspect="1" noChangeArrowheads="1"/>
        </xdr:cNvSpPr>
      </xdr:nvSpPr>
      <xdr:spPr bwMode="auto">
        <a:xfrm>
          <a:off x="5505450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</xdr:row>
      <xdr:rowOff>0</xdr:rowOff>
    </xdr:from>
    <xdr:ext cx="304800" cy="304800"/>
    <xdr:sp macro="" textlink="">
      <xdr:nvSpPr>
        <xdr:cNvPr id="238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BE6E3A1-73FC-4EAB-90D1-92DEADE57808}"/>
            </a:ext>
          </a:extLst>
        </xdr:cNvPr>
        <xdr:cNvSpPr>
          <a:spLocks noChangeAspect="1" noChangeArrowheads="1"/>
        </xdr:cNvSpPr>
      </xdr:nvSpPr>
      <xdr:spPr bwMode="auto">
        <a:xfrm>
          <a:off x="5505450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</xdr:row>
      <xdr:rowOff>0</xdr:rowOff>
    </xdr:from>
    <xdr:ext cx="304800" cy="304800"/>
    <xdr:sp macro="" textlink="">
      <xdr:nvSpPr>
        <xdr:cNvPr id="238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C06FDCE-5971-4E80-BBB7-D7B0F7C67598}"/>
            </a:ext>
          </a:extLst>
        </xdr:cNvPr>
        <xdr:cNvSpPr>
          <a:spLocks noChangeAspect="1" noChangeArrowheads="1"/>
        </xdr:cNvSpPr>
      </xdr:nvSpPr>
      <xdr:spPr bwMode="auto">
        <a:xfrm>
          <a:off x="5505450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</xdr:row>
      <xdr:rowOff>0</xdr:rowOff>
    </xdr:from>
    <xdr:ext cx="714375" cy="304800"/>
    <xdr:sp macro="" textlink="">
      <xdr:nvSpPr>
        <xdr:cNvPr id="238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F52CDC3-61FB-4B0D-B16F-226AEBEBE4C8}"/>
            </a:ext>
          </a:extLst>
        </xdr:cNvPr>
        <xdr:cNvSpPr>
          <a:spLocks noChangeAspect="1" noChangeArrowheads="1"/>
        </xdr:cNvSpPr>
      </xdr:nvSpPr>
      <xdr:spPr bwMode="auto">
        <a:xfrm>
          <a:off x="5505450" y="1419225"/>
          <a:ext cx="714375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</xdr:row>
      <xdr:rowOff>0</xdr:rowOff>
    </xdr:from>
    <xdr:ext cx="304800" cy="304800"/>
    <xdr:sp macro="" textlink="">
      <xdr:nvSpPr>
        <xdr:cNvPr id="238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6F21BE8-4381-46E8-A406-021D2EE19F06}"/>
            </a:ext>
          </a:extLst>
        </xdr:cNvPr>
        <xdr:cNvSpPr>
          <a:spLocks noChangeAspect="1" noChangeArrowheads="1"/>
        </xdr:cNvSpPr>
      </xdr:nvSpPr>
      <xdr:spPr bwMode="auto">
        <a:xfrm>
          <a:off x="5505450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</xdr:row>
      <xdr:rowOff>0</xdr:rowOff>
    </xdr:from>
    <xdr:ext cx="304800" cy="304800"/>
    <xdr:sp macro="" textlink="">
      <xdr:nvSpPr>
        <xdr:cNvPr id="238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F6FB7C7-F899-42D3-9256-F7AD9002CEBD}"/>
            </a:ext>
          </a:extLst>
        </xdr:cNvPr>
        <xdr:cNvSpPr>
          <a:spLocks noChangeAspect="1" noChangeArrowheads="1"/>
        </xdr:cNvSpPr>
      </xdr:nvSpPr>
      <xdr:spPr bwMode="auto">
        <a:xfrm>
          <a:off x="5505450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</xdr:row>
      <xdr:rowOff>0</xdr:rowOff>
    </xdr:from>
    <xdr:ext cx="304800" cy="304800"/>
    <xdr:sp macro="" textlink="">
      <xdr:nvSpPr>
        <xdr:cNvPr id="238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FB0D068-DE8A-4D21-9531-CEACD2D16B12}"/>
            </a:ext>
          </a:extLst>
        </xdr:cNvPr>
        <xdr:cNvSpPr>
          <a:spLocks noChangeAspect="1" noChangeArrowheads="1"/>
        </xdr:cNvSpPr>
      </xdr:nvSpPr>
      <xdr:spPr bwMode="auto">
        <a:xfrm>
          <a:off x="5505450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</xdr:row>
      <xdr:rowOff>0</xdr:rowOff>
    </xdr:from>
    <xdr:ext cx="304800" cy="304800"/>
    <xdr:sp macro="" textlink="">
      <xdr:nvSpPr>
        <xdr:cNvPr id="238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A8A1E7A-7A28-4B6F-AD0E-B72C5EFB8784}"/>
            </a:ext>
          </a:extLst>
        </xdr:cNvPr>
        <xdr:cNvSpPr>
          <a:spLocks noChangeAspect="1" noChangeArrowheads="1"/>
        </xdr:cNvSpPr>
      </xdr:nvSpPr>
      <xdr:spPr bwMode="auto">
        <a:xfrm>
          <a:off x="5505450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</xdr:row>
      <xdr:rowOff>0</xdr:rowOff>
    </xdr:from>
    <xdr:ext cx="304800" cy="304800"/>
    <xdr:sp macro="" textlink="">
      <xdr:nvSpPr>
        <xdr:cNvPr id="238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ED17757-0AD9-4852-BE47-1FC74AFEF5E9}"/>
            </a:ext>
          </a:extLst>
        </xdr:cNvPr>
        <xdr:cNvSpPr>
          <a:spLocks noChangeAspect="1" noChangeArrowheads="1"/>
        </xdr:cNvSpPr>
      </xdr:nvSpPr>
      <xdr:spPr bwMode="auto">
        <a:xfrm>
          <a:off x="5505450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</xdr:row>
      <xdr:rowOff>0</xdr:rowOff>
    </xdr:from>
    <xdr:ext cx="304800" cy="304800"/>
    <xdr:sp macro="" textlink="">
      <xdr:nvSpPr>
        <xdr:cNvPr id="239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343B80B-944E-486E-BD25-297B246FE8CB}"/>
            </a:ext>
          </a:extLst>
        </xdr:cNvPr>
        <xdr:cNvSpPr>
          <a:spLocks noChangeAspect="1" noChangeArrowheads="1"/>
        </xdr:cNvSpPr>
      </xdr:nvSpPr>
      <xdr:spPr bwMode="auto">
        <a:xfrm>
          <a:off x="5505450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</xdr:row>
      <xdr:rowOff>0</xdr:rowOff>
    </xdr:from>
    <xdr:ext cx="304800" cy="304800"/>
    <xdr:sp macro="" textlink="">
      <xdr:nvSpPr>
        <xdr:cNvPr id="239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E2632BD-504A-43D1-A0A8-90305B56C6E3}"/>
            </a:ext>
          </a:extLst>
        </xdr:cNvPr>
        <xdr:cNvSpPr>
          <a:spLocks noChangeAspect="1" noChangeArrowheads="1"/>
        </xdr:cNvSpPr>
      </xdr:nvSpPr>
      <xdr:spPr bwMode="auto">
        <a:xfrm>
          <a:off x="5505450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</xdr:row>
      <xdr:rowOff>0</xdr:rowOff>
    </xdr:from>
    <xdr:ext cx="304800" cy="304800"/>
    <xdr:sp macro="" textlink="">
      <xdr:nvSpPr>
        <xdr:cNvPr id="239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9B7A068-9D3C-4485-97D5-9FC5B1EFA0A0}"/>
            </a:ext>
          </a:extLst>
        </xdr:cNvPr>
        <xdr:cNvSpPr>
          <a:spLocks noChangeAspect="1" noChangeArrowheads="1"/>
        </xdr:cNvSpPr>
      </xdr:nvSpPr>
      <xdr:spPr bwMode="auto">
        <a:xfrm>
          <a:off x="5505450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</xdr:row>
      <xdr:rowOff>0</xdr:rowOff>
    </xdr:from>
    <xdr:ext cx="304800" cy="304800"/>
    <xdr:sp macro="" textlink="">
      <xdr:nvSpPr>
        <xdr:cNvPr id="239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D22A590-49CD-481C-8D0D-CD8486BC770B}"/>
            </a:ext>
          </a:extLst>
        </xdr:cNvPr>
        <xdr:cNvSpPr>
          <a:spLocks noChangeAspect="1" noChangeArrowheads="1"/>
        </xdr:cNvSpPr>
      </xdr:nvSpPr>
      <xdr:spPr bwMode="auto">
        <a:xfrm>
          <a:off x="5505450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</xdr:row>
      <xdr:rowOff>0</xdr:rowOff>
    </xdr:from>
    <xdr:ext cx="304800" cy="304800"/>
    <xdr:sp macro="" textlink="">
      <xdr:nvSpPr>
        <xdr:cNvPr id="239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C6739AE-623C-4368-A855-B58888776678}"/>
            </a:ext>
          </a:extLst>
        </xdr:cNvPr>
        <xdr:cNvSpPr>
          <a:spLocks noChangeAspect="1" noChangeArrowheads="1"/>
        </xdr:cNvSpPr>
      </xdr:nvSpPr>
      <xdr:spPr bwMode="auto">
        <a:xfrm>
          <a:off x="5505450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</xdr:row>
      <xdr:rowOff>0</xdr:rowOff>
    </xdr:from>
    <xdr:ext cx="714375" cy="304800"/>
    <xdr:sp macro="" textlink="">
      <xdr:nvSpPr>
        <xdr:cNvPr id="239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760A449-15AE-443D-A55F-AA71165051D1}"/>
            </a:ext>
          </a:extLst>
        </xdr:cNvPr>
        <xdr:cNvSpPr>
          <a:spLocks noChangeAspect="1" noChangeArrowheads="1"/>
        </xdr:cNvSpPr>
      </xdr:nvSpPr>
      <xdr:spPr bwMode="auto">
        <a:xfrm>
          <a:off x="5505450" y="1419225"/>
          <a:ext cx="714375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</xdr:row>
      <xdr:rowOff>0</xdr:rowOff>
    </xdr:from>
    <xdr:ext cx="304800" cy="304800"/>
    <xdr:sp macro="" textlink="">
      <xdr:nvSpPr>
        <xdr:cNvPr id="239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E439F1C-D404-4BBD-A831-45BF612FA1B8}"/>
            </a:ext>
          </a:extLst>
        </xdr:cNvPr>
        <xdr:cNvSpPr>
          <a:spLocks noChangeAspect="1" noChangeArrowheads="1"/>
        </xdr:cNvSpPr>
      </xdr:nvSpPr>
      <xdr:spPr bwMode="auto">
        <a:xfrm>
          <a:off x="5505450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</xdr:row>
      <xdr:rowOff>0</xdr:rowOff>
    </xdr:from>
    <xdr:ext cx="304800" cy="304800"/>
    <xdr:sp macro="" textlink="">
      <xdr:nvSpPr>
        <xdr:cNvPr id="239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37BECF9-0F12-4734-BFED-EBC0CCF94E31}"/>
            </a:ext>
          </a:extLst>
        </xdr:cNvPr>
        <xdr:cNvSpPr>
          <a:spLocks noChangeAspect="1" noChangeArrowheads="1"/>
        </xdr:cNvSpPr>
      </xdr:nvSpPr>
      <xdr:spPr bwMode="auto">
        <a:xfrm>
          <a:off x="5505450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</xdr:row>
      <xdr:rowOff>0</xdr:rowOff>
    </xdr:from>
    <xdr:ext cx="304800" cy="304800"/>
    <xdr:sp macro="" textlink="">
      <xdr:nvSpPr>
        <xdr:cNvPr id="239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8BD799D-A38E-47D2-86A2-24FB7B09A7E5}"/>
            </a:ext>
          </a:extLst>
        </xdr:cNvPr>
        <xdr:cNvSpPr>
          <a:spLocks noChangeAspect="1" noChangeArrowheads="1"/>
        </xdr:cNvSpPr>
      </xdr:nvSpPr>
      <xdr:spPr bwMode="auto">
        <a:xfrm>
          <a:off x="5505450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</xdr:row>
      <xdr:rowOff>0</xdr:rowOff>
    </xdr:from>
    <xdr:ext cx="304800" cy="304800"/>
    <xdr:sp macro="" textlink="">
      <xdr:nvSpPr>
        <xdr:cNvPr id="239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7E88263-0B6B-4598-882D-B0F78C996E03}"/>
            </a:ext>
          </a:extLst>
        </xdr:cNvPr>
        <xdr:cNvSpPr>
          <a:spLocks noChangeAspect="1" noChangeArrowheads="1"/>
        </xdr:cNvSpPr>
      </xdr:nvSpPr>
      <xdr:spPr bwMode="auto">
        <a:xfrm>
          <a:off x="5505450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</xdr:row>
      <xdr:rowOff>0</xdr:rowOff>
    </xdr:from>
    <xdr:ext cx="304800" cy="304800"/>
    <xdr:sp macro="" textlink="">
      <xdr:nvSpPr>
        <xdr:cNvPr id="240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C46746C-8CAF-4CAE-96EB-C3C4D2F91621}"/>
            </a:ext>
          </a:extLst>
        </xdr:cNvPr>
        <xdr:cNvSpPr>
          <a:spLocks noChangeAspect="1" noChangeArrowheads="1"/>
        </xdr:cNvSpPr>
      </xdr:nvSpPr>
      <xdr:spPr bwMode="auto">
        <a:xfrm>
          <a:off x="5505450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</xdr:row>
      <xdr:rowOff>0</xdr:rowOff>
    </xdr:from>
    <xdr:ext cx="304800" cy="304800"/>
    <xdr:sp macro="" textlink="">
      <xdr:nvSpPr>
        <xdr:cNvPr id="240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B665B59-000E-4432-9190-B97623011CAB}"/>
            </a:ext>
          </a:extLst>
        </xdr:cNvPr>
        <xdr:cNvSpPr>
          <a:spLocks noChangeAspect="1" noChangeArrowheads="1"/>
        </xdr:cNvSpPr>
      </xdr:nvSpPr>
      <xdr:spPr bwMode="auto">
        <a:xfrm>
          <a:off x="5505450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</xdr:row>
      <xdr:rowOff>0</xdr:rowOff>
    </xdr:from>
    <xdr:ext cx="304800" cy="304800"/>
    <xdr:sp macro="" textlink="">
      <xdr:nvSpPr>
        <xdr:cNvPr id="240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08A2248-E677-4C0D-B4C0-61849B0632DD}"/>
            </a:ext>
          </a:extLst>
        </xdr:cNvPr>
        <xdr:cNvSpPr>
          <a:spLocks noChangeAspect="1" noChangeArrowheads="1"/>
        </xdr:cNvSpPr>
      </xdr:nvSpPr>
      <xdr:spPr bwMode="auto">
        <a:xfrm>
          <a:off x="5505450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</xdr:row>
      <xdr:rowOff>0</xdr:rowOff>
    </xdr:from>
    <xdr:ext cx="304800" cy="304800"/>
    <xdr:sp macro="" textlink="">
      <xdr:nvSpPr>
        <xdr:cNvPr id="240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C5845E6-FFE1-456E-AE54-D1D80391CD6F}"/>
            </a:ext>
          </a:extLst>
        </xdr:cNvPr>
        <xdr:cNvSpPr>
          <a:spLocks noChangeAspect="1" noChangeArrowheads="1"/>
        </xdr:cNvSpPr>
      </xdr:nvSpPr>
      <xdr:spPr bwMode="auto">
        <a:xfrm>
          <a:off x="5505450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7</xdr:col>
      <xdr:colOff>0</xdr:colOff>
      <xdr:row>7</xdr:row>
      <xdr:rowOff>0</xdr:rowOff>
    </xdr:from>
    <xdr:ext cx="304800" cy="304800"/>
    <xdr:sp macro="" textlink="">
      <xdr:nvSpPr>
        <xdr:cNvPr id="240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34A4EC5-A265-4316-B60F-827612DDD6FC}"/>
            </a:ext>
          </a:extLst>
        </xdr:cNvPr>
        <xdr:cNvSpPr>
          <a:spLocks noChangeAspect="1" noChangeArrowheads="1"/>
        </xdr:cNvSpPr>
      </xdr:nvSpPr>
      <xdr:spPr bwMode="auto">
        <a:xfrm>
          <a:off x="5505450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304800" cy="304800"/>
    <xdr:sp macro="" textlink="">
      <xdr:nvSpPr>
        <xdr:cNvPr id="240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AF54CF3-5FEB-42E6-8619-496C4D9E817A}"/>
            </a:ext>
          </a:extLst>
        </xdr:cNvPr>
        <xdr:cNvSpPr>
          <a:spLocks noChangeAspect="1" noChangeArrowheads="1"/>
        </xdr:cNvSpPr>
      </xdr:nvSpPr>
      <xdr:spPr bwMode="auto">
        <a:xfrm>
          <a:off x="5743575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304800" cy="304800"/>
    <xdr:sp macro="" textlink="">
      <xdr:nvSpPr>
        <xdr:cNvPr id="240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6948A96-D140-4F86-A859-CA911DF141B2}"/>
            </a:ext>
          </a:extLst>
        </xdr:cNvPr>
        <xdr:cNvSpPr>
          <a:spLocks noChangeAspect="1" noChangeArrowheads="1"/>
        </xdr:cNvSpPr>
      </xdr:nvSpPr>
      <xdr:spPr bwMode="auto">
        <a:xfrm>
          <a:off x="5743575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304800" cy="304800"/>
    <xdr:sp macro="" textlink="">
      <xdr:nvSpPr>
        <xdr:cNvPr id="240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4383A83-5296-424C-A5B6-21FB3EFD056F}"/>
            </a:ext>
          </a:extLst>
        </xdr:cNvPr>
        <xdr:cNvSpPr>
          <a:spLocks noChangeAspect="1" noChangeArrowheads="1"/>
        </xdr:cNvSpPr>
      </xdr:nvSpPr>
      <xdr:spPr bwMode="auto">
        <a:xfrm>
          <a:off x="5743575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304800" cy="304800"/>
    <xdr:sp macro="" textlink="">
      <xdr:nvSpPr>
        <xdr:cNvPr id="240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E9B18E2-EE61-4AA1-9418-4BCAB6E7BD6B}"/>
            </a:ext>
          </a:extLst>
        </xdr:cNvPr>
        <xdr:cNvSpPr>
          <a:spLocks noChangeAspect="1" noChangeArrowheads="1"/>
        </xdr:cNvSpPr>
      </xdr:nvSpPr>
      <xdr:spPr bwMode="auto">
        <a:xfrm>
          <a:off x="5743575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304800" cy="304800"/>
    <xdr:sp macro="" textlink="">
      <xdr:nvSpPr>
        <xdr:cNvPr id="240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43EEE06-7064-4991-B28F-A1AAE22C08FA}"/>
            </a:ext>
          </a:extLst>
        </xdr:cNvPr>
        <xdr:cNvSpPr>
          <a:spLocks noChangeAspect="1" noChangeArrowheads="1"/>
        </xdr:cNvSpPr>
      </xdr:nvSpPr>
      <xdr:spPr bwMode="auto">
        <a:xfrm>
          <a:off x="5743575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304800" cy="304800"/>
    <xdr:sp macro="" textlink="">
      <xdr:nvSpPr>
        <xdr:cNvPr id="241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A447E4D-412E-479C-BB73-757E377E5456}"/>
            </a:ext>
          </a:extLst>
        </xdr:cNvPr>
        <xdr:cNvSpPr>
          <a:spLocks noChangeAspect="1" noChangeArrowheads="1"/>
        </xdr:cNvSpPr>
      </xdr:nvSpPr>
      <xdr:spPr bwMode="auto">
        <a:xfrm>
          <a:off x="5743575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304800" cy="304800"/>
    <xdr:sp macro="" textlink="">
      <xdr:nvSpPr>
        <xdr:cNvPr id="241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B219260-76D1-4026-9FF1-74E7056B2A6F}"/>
            </a:ext>
          </a:extLst>
        </xdr:cNvPr>
        <xdr:cNvSpPr>
          <a:spLocks noChangeAspect="1" noChangeArrowheads="1"/>
        </xdr:cNvSpPr>
      </xdr:nvSpPr>
      <xdr:spPr bwMode="auto">
        <a:xfrm>
          <a:off x="5743575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304800" cy="304800"/>
    <xdr:sp macro="" textlink="">
      <xdr:nvSpPr>
        <xdr:cNvPr id="241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F4B93F0-EBF9-4503-93CA-B476BF320CEE}"/>
            </a:ext>
          </a:extLst>
        </xdr:cNvPr>
        <xdr:cNvSpPr>
          <a:spLocks noChangeAspect="1" noChangeArrowheads="1"/>
        </xdr:cNvSpPr>
      </xdr:nvSpPr>
      <xdr:spPr bwMode="auto">
        <a:xfrm>
          <a:off x="5743575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304800" cy="304800"/>
    <xdr:sp macro="" textlink="">
      <xdr:nvSpPr>
        <xdr:cNvPr id="241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FC5C8BD-0FB5-4465-9885-640EEACAF4FD}"/>
            </a:ext>
          </a:extLst>
        </xdr:cNvPr>
        <xdr:cNvSpPr>
          <a:spLocks noChangeAspect="1" noChangeArrowheads="1"/>
        </xdr:cNvSpPr>
      </xdr:nvSpPr>
      <xdr:spPr bwMode="auto">
        <a:xfrm>
          <a:off x="5743575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304800" cy="304800"/>
    <xdr:sp macro="" textlink="">
      <xdr:nvSpPr>
        <xdr:cNvPr id="241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8774035-C6AB-4343-A093-8CA85F558143}"/>
            </a:ext>
          </a:extLst>
        </xdr:cNvPr>
        <xdr:cNvSpPr>
          <a:spLocks noChangeAspect="1" noChangeArrowheads="1"/>
        </xdr:cNvSpPr>
      </xdr:nvSpPr>
      <xdr:spPr bwMode="auto">
        <a:xfrm>
          <a:off x="5743575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304800" cy="304800"/>
    <xdr:sp macro="" textlink="">
      <xdr:nvSpPr>
        <xdr:cNvPr id="241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C17B783-3654-4C57-81F8-3041BCCE37AB}"/>
            </a:ext>
          </a:extLst>
        </xdr:cNvPr>
        <xdr:cNvSpPr>
          <a:spLocks noChangeAspect="1" noChangeArrowheads="1"/>
        </xdr:cNvSpPr>
      </xdr:nvSpPr>
      <xdr:spPr bwMode="auto">
        <a:xfrm>
          <a:off x="5743575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304800" cy="304800"/>
    <xdr:sp macro="" textlink="">
      <xdr:nvSpPr>
        <xdr:cNvPr id="241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A92EA56-4FD0-4B17-AF24-31ECA3F1C20B}"/>
            </a:ext>
          </a:extLst>
        </xdr:cNvPr>
        <xdr:cNvSpPr>
          <a:spLocks noChangeAspect="1" noChangeArrowheads="1"/>
        </xdr:cNvSpPr>
      </xdr:nvSpPr>
      <xdr:spPr bwMode="auto">
        <a:xfrm>
          <a:off x="5743575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304800" cy="304800"/>
    <xdr:sp macro="" textlink="">
      <xdr:nvSpPr>
        <xdr:cNvPr id="241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84507E1-4217-4426-B3F9-0AF029D0485B}"/>
            </a:ext>
          </a:extLst>
        </xdr:cNvPr>
        <xdr:cNvSpPr>
          <a:spLocks noChangeAspect="1" noChangeArrowheads="1"/>
        </xdr:cNvSpPr>
      </xdr:nvSpPr>
      <xdr:spPr bwMode="auto">
        <a:xfrm>
          <a:off x="5743575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304800" cy="304800"/>
    <xdr:sp macro="" textlink="">
      <xdr:nvSpPr>
        <xdr:cNvPr id="241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5488432-2B6F-4E34-951F-059F5067CE09}"/>
            </a:ext>
          </a:extLst>
        </xdr:cNvPr>
        <xdr:cNvSpPr>
          <a:spLocks noChangeAspect="1" noChangeArrowheads="1"/>
        </xdr:cNvSpPr>
      </xdr:nvSpPr>
      <xdr:spPr bwMode="auto">
        <a:xfrm>
          <a:off x="5743575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304800" cy="304800"/>
    <xdr:sp macro="" textlink="">
      <xdr:nvSpPr>
        <xdr:cNvPr id="241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3D491B8-AD3E-4CD3-A3FE-18982FF678B1}"/>
            </a:ext>
          </a:extLst>
        </xdr:cNvPr>
        <xdr:cNvSpPr>
          <a:spLocks noChangeAspect="1" noChangeArrowheads="1"/>
        </xdr:cNvSpPr>
      </xdr:nvSpPr>
      <xdr:spPr bwMode="auto">
        <a:xfrm>
          <a:off x="5743575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304800" cy="304800"/>
    <xdr:sp macro="" textlink="">
      <xdr:nvSpPr>
        <xdr:cNvPr id="242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05CAB2F-0593-464D-AD7A-66FE7F570A2E}"/>
            </a:ext>
          </a:extLst>
        </xdr:cNvPr>
        <xdr:cNvSpPr>
          <a:spLocks noChangeAspect="1" noChangeArrowheads="1"/>
        </xdr:cNvSpPr>
      </xdr:nvSpPr>
      <xdr:spPr bwMode="auto">
        <a:xfrm>
          <a:off x="5743575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304800" cy="304800"/>
    <xdr:sp macro="" textlink="">
      <xdr:nvSpPr>
        <xdr:cNvPr id="242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165C433-AD75-4D3D-9522-1C3EAE4CC727}"/>
            </a:ext>
          </a:extLst>
        </xdr:cNvPr>
        <xdr:cNvSpPr>
          <a:spLocks noChangeAspect="1" noChangeArrowheads="1"/>
        </xdr:cNvSpPr>
      </xdr:nvSpPr>
      <xdr:spPr bwMode="auto">
        <a:xfrm>
          <a:off x="5743575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304800" cy="304800"/>
    <xdr:sp macro="" textlink="">
      <xdr:nvSpPr>
        <xdr:cNvPr id="242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1F58DB0-49C7-4595-9C35-9C6D15D817DC}"/>
            </a:ext>
          </a:extLst>
        </xdr:cNvPr>
        <xdr:cNvSpPr>
          <a:spLocks noChangeAspect="1" noChangeArrowheads="1"/>
        </xdr:cNvSpPr>
      </xdr:nvSpPr>
      <xdr:spPr bwMode="auto">
        <a:xfrm>
          <a:off x="5743575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304800" cy="304800"/>
    <xdr:sp macro="" textlink="">
      <xdr:nvSpPr>
        <xdr:cNvPr id="242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68209BA-9733-40CA-B773-C4F4354A614F}"/>
            </a:ext>
          </a:extLst>
        </xdr:cNvPr>
        <xdr:cNvSpPr>
          <a:spLocks noChangeAspect="1" noChangeArrowheads="1"/>
        </xdr:cNvSpPr>
      </xdr:nvSpPr>
      <xdr:spPr bwMode="auto">
        <a:xfrm>
          <a:off x="5743575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304800" cy="304800"/>
    <xdr:sp macro="" textlink="">
      <xdr:nvSpPr>
        <xdr:cNvPr id="242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5329A6C-92E9-41D5-A935-71C1317687DC}"/>
            </a:ext>
          </a:extLst>
        </xdr:cNvPr>
        <xdr:cNvSpPr>
          <a:spLocks noChangeAspect="1" noChangeArrowheads="1"/>
        </xdr:cNvSpPr>
      </xdr:nvSpPr>
      <xdr:spPr bwMode="auto">
        <a:xfrm>
          <a:off x="5743575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304800" cy="304800"/>
    <xdr:sp macro="" textlink="">
      <xdr:nvSpPr>
        <xdr:cNvPr id="242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E9607F2-EB53-4FF4-9FD1-CA49DE3295E2}"/>
            </a:ext>
          </a:extLst>
        </xdr:cNvPr>
        <xdr:cNvSpPr>
          <a:spLocks noChangeAspect="1" noChangeArrowheads="1"/>
        </xdr:cNvSpPr>
      </xdr:nvSpPr>
      <xdr:spPr bwMode="auto">
        <a:xfrm>
          <a:off x="5743575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304800" cy="304800"/>
    <xdr:sp macro="" textlink="">
      <xdr:nvSpPr>
        <xdr:cNvPr id="242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369FDAB-7FE8-46E7-AD7B-7718E3326FD2}"/>
            </a:ext>
          </a:extLst>
        </xdr:cNvPr>
        <xdr:cNvSpPr>
          <a:spLocks noChangeAspect="1" noChangeArrowheads="1"/>
        </xdr:cNvSpPr>
      </xdr:nvSpPr>
      <xdr:spPr bwMode="auto">
        <a:xfrm>
          <a:off x="5743575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304800" cy="304800"/>
    <xdr:sp macro="" textlink="">
      <xdr:nvSpPr>
        <xdr:cNvPr id="242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6D91030-C421-4F38-B868-74632A8AC59B}"/>
            </a:ext>
          </a:extLst>
        </xdr:cNvPr>
        <xdr:cNvSpPr>
          <a:spLocks noChangeAspect="1" noChangeArrowheads="1"/>
        </xdr:cNvSpPr>
      </xdr:nvSpPr>
      <xdr:spPr bwMode="auto">
        <a:xfrm>
          <a:off x="5743575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304800" cy="304800"/>
    <xdr:sp macro="" textlink="">
      <xdr:nvSpPr>
        <xdr:cNvPr id="242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FE7EF22-5611-402C-B647-F1EDB360D282}"/>
            </a:ext>
          </a:extLst>
        </xdr:cNvPr>
        <xdr:cNvSpPr>
          <a:spLocks noChangeAspect="1" noChangeArrowheads="1"/>
        </xdr:cNvSpPr>
      </xdr:nvSpPr>
      <xdr:spPr bwMode="auto">
        <a:xfrm>
          <a:off x="5743575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304800" cy="304800"/>
    <xdr:sp macro="" textlink="">
      <xdr:nvSpPr>
        <xdr:cNvPr id="242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BC24B9C-5075-4C8F-955D-DFE02977A82D}"/>
            </a:ext>
          </a:extLst>
        </xdr:cNvPr>
        <xdr:cNvSpPr>
          <a:spLocks noChangeAspect="1" noChangeArrowheads="1"/>
        </xdr:cNvSpPr>
      </xdr:nvSpPr>
      <xdr:spPr bwMode="auto">
        <a:xfrm>
          <a:off x="5743575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304800" cy="304800"/>
    <xdr:sp macro="" textlink="">
      <xdr:nvSpPr>
        <xdr:cNvPr id="243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7808DBE-DB35-4250-8126-76177D8B45E9}"/>
            </a:ext>
          </a:extLst>
        </xdr:cNvPr>
        <xdr:cNvSpPr>
          <a:spLocks noChangeAspect="1" noChangeArrowheads="1"/>
        </xdr:cNvSpPr>
      </xdr:nvSpPr>
      <xdr:spPr bwMode="auto">
        <a:xfrm>
          <a:off x="5743575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304800" cy="304800"/>
    <xdr:sp macro="" textlink="">
      <xdr:nvSpPr>
        <xdr:cNvPr id="243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BCB758E-88BA-4DF0-BD08-454366C4BE01}"/>
            </a:ext>
          </a:extLst>
        </xdr:cNvPr>
        <xdr:cNvSpPr>
          <a:spLocks noChangeAspect="1" noChangeArrowheads="1"/>
        </xdr:cNvSpPr>
      </xdr:nvSpPr>
      <xdr:spPr bwMode="auto">
        <a:xfrm>
          <a:off x="5743575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304800" cy="304800"/>
    <xdr:sp macro="" textlink="">
      <xdr:nvSpPr>
        <xdr:cNvPr id="243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8DEF3D2-A664-4D31-86D7-268FFD64F35F}"/>
            </a:ext>
          </a:extLst>
        </xdr:cNvPr>
        <xdr:cNvSpPr>
          <a:spLocks noChangeAspect="1" noChangeArrowheads="1"/>
        </xdr:cNvSpPr>
      </xdr:nvSpPr>
      <xdr:spPr bwMode="auto">
        <a:xfrm>
          <a:off x="5743575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304800" cy="304800"/>
    <xdr:sp macro="" textlink="">
      <xdr:nvSpPr>
        <xdr:cNvPr id="243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65A154E-05B4-4279-A8C5-3B82165760DD}"/>
            </a:ext>
          </a:extLst>
        </xdr:cNvPr>
        <xdr:cNvSpPr>
          <a:spLocks noChangeAspect="1" noChangeArrowheads="1"/>
        </xdr:cNvSpPr>
      </xdr:nvSpPr>
      <xdr:spPr bwMode="auto">
        <a:xfrm>
          <a:off x="5743575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304800" cy="304800"/>
    <xdr:sp macro="" textlink="">
      <xdr:nvSpPr>
        <xdr:cNvPr id="243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17BF560-FEED-469F-BBE7-78927FAD5075}"/>
            </a:ext>
          </a:extLst>
        </xdr:cNvPr>
        <xdr:cNvSpPr>
          <a:spLocks noChangeAspect="1" noChangeArrowheads="1"/>
        </xdr:cNvSpPr>
      </xdr:nvSpPr>
      <xdr:spPr bwMode="auto">
        <a:xfrm>
          <a:off x="5743575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304800" cy="304800"/>
    <xdr:sp macro="" textlink="">
      <xdr:nvSpPr>
        <xdr:cNvPr id="243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9E05BE1-EE32-49F4-8FE0-C2BD38A3EA81}"/>
            </a:ext>
          </a:extLst>
        </xdr:cNvPr>
        <xdr:cNvSpPr>
          <a:spLocks noChangeAspect="1" noChangeArrowheads="1"/>
        </xdr:cNvSpPr>
      </xdr:nvSpPr>
      <xdr:spPr bwMode="auto">
        <a:xfrm>
          <a:off x="5743575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304800" cy="304800"/>
    <xdr:sp macro="" textlink="">
      <xdr:nvSpPr>
        <xdr:cNvPr id="243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FC83AB5-E236-403C-A291-F8C1290C7621}"/>
            </a:ext>
          </a:extLst>
        </xdr:cNvPr>
        <xdr:cNvSpPr>
          <a:spLocks noChangeAspect="1" noChangeArrowheads="1"/>
        </xdr:cNvSpPr>
      </xdr:nvSpPr>
      <xdr:spPr bwMode="auto">
        <a:xfrm>
          <a:off x="5743575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304800" cy="304800"/>
    <xdr:sp macro="" textlink="">
      <xdr:nvSpPr>
        <xdr:cNvPr id="243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DACF175-A87C-4315-B20F-4BD9772033C3}"/>
            </a:ext>
          </a:extLst>
        </xdr:cNvPr>
        <xdr:cNvSpPr>
          <a:spLocks noChangeAspect="1" noChangeArrowheads="1"/>
        </xdr:cNvSpPr>
      </xdr:nvSpPr>
      <xdr:spPr bwMode="auto">
        <a:xfrm>
          <a:off x="5743575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304800" cy="304800"/>
    <xdr:sp macro="" textlink="">
      <xdr:nvSpPr>
        <xdr:cNvPr id="243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B76F17F-0B54-43CE-971E-34BBBEF5E3D0}"/>
            </a:ext>
          </a:extLst>
        </xdr:cNvPr>
        <xdr:cNvSpPr>
          <a:spLocks noChangeAspect="1" noChangeArrowheads="1"/>
        </xdr:cNvSpPr>
      </xdr:nvSpPr>
      <xdr:spPr bwMode="auto">
        <a:xfrm>
          <a:off x="5743575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304800" cy="304800"/>
    <xdr:sp macro="" textlink="">
      <xdr:nvSpPr>
        <xdr:cNvPr id="243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97B1799-E776-4A23-88C2-468A5B6643F5}"/>
            </a:ext>
          </a:extLst>
        </xdr:cNvPr>
        <xdr:cNvSpPr>
          <a:spLocks noChangeAspect="1" noChangeArrowheads="1"/>
        </xdr:cNvSpPr>
      </xdr:nvSpPr>
      <xdr:spPr bwMode="auto">
        <a:xfrm>
          <a:off x="5743575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304800" cy="304800"/>
    <xdr:sp macro="" textlink="">
      <xdr:nvSpPr>
        <xdr:cNvPr id="244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A38E7A7-D011-431C-963A-4787423399CC}"/>
            </a:ext>
          </a:extLst>
        </xdr:cNvPr>
        <xdr:cNvSpPr>
          <a:spLocks noChangeAspect="1" noChangeArrowheads="1"/>
        </xdr:cNvSpPr>
      </xdr:nvSpPr>
      <xdr:spPr bwMode="auto">
        <a:xfrm>
          <a:off x="5743575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304800" cy="304800"/>
    <xdr:sp macro="" textlink="">
      <xdr:nvSpPr>
        <xdr:cNvPr id="244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8E7B7F8-BBB7-4AE6-88ED-030F8BBFE47E}"/>
            </a:ext>
          </a:extLst>
        </xdr:cNvPr>
        <xdr:cNvSpPr>
          <a:spLocks noChangeAspect="1" noChangeArrowheads="1"/>
        </xdr:cNvSpPr>
      </xdr:nvSpPr>
      <xdr:spPr bwMode="auto">
        <a:xfrm>
          <a:off x="5743575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304800" cy="304800"/>
    <xdr:sp macro="" textlink="">
      <xdr:nvSpPr>
        <xdr:cNvPr id="244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2D33950-3192-4571-9A16-FD0592F11DBC}"/>
            </a:ext>
          </a:extLst>
        </xdr:cNvPr>
        <xdr:cNvSpPr>
          <a:spLocks noChangeAspect="1" noChangeArrowheads="1"/>
        </xdr:cNvSpPr>
      </xdr:nvSpPr>
      <xdr:spPr bwMode="auto">
        <a:xfrm>
          <a:off x="5743575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304800" cy="304800"/>
    <xdr:sp macro="" textlink="">
      <xdr:nvSpPr>
        <xdr:cNvPr id="244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42734FE-C9A2-4CEE-ACC1-B96C79887B0A}"/>
            </a:ext>
          </a:extLst>
        </xdr:cNvPr>
        <xdr:cNvSpPr>
          <a:spLocks noChangeAspect="1" noChangeArrowheads="1"/>
        </xdr:cNvSpPr>
      </xdr:nvSpPr>
      <xdr:spPr bwMode="auto">
        <a:xfrm>
          <a:off x="5743575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304800" cy="304800"/>
    <xdr:sp macro="" textlink="">
      <xdr:nvSpPr>
        <xdr:cNvPr id="244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3E51B7F-CE44-496A-A632-682BED6CBC86}"/>
            </a:ext>
          </a:extLst>
        </xdr:cNvPr>
        <xdr:cNvSpPr>
          <a:spLocks noChangeAspect="1" noChangeArrowheads="1"/>
        </xdr:cNvSpPr>
      </xdr:nvSpPr>
      <xdr:spPr bwMode="auto">
        <a:xfrm>
          <a:off x="5743575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304800" cy="304800"/>
    <xdr:sp macro="" textlink="">
      <xdr:nvSpPr>
        <xdr:cNvPr id="244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B13890E-036D-4058-B644-C888B2E0F55C}"/>
            </a:ext>
          </a:extLst>
        </xdr:cNvPr>
        <xdr:cNvSpPr>
          <a:spLocks noChangeAspect="1" noChangeArrowheads="1"/>
        </xdr:cNvSpPr>
      </xdr:nvSpPr>
      <xdr:spPr bwMode="auto">
        <a:xfrm>
          <a:off x="5743575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304800" cy="304800"/>
    <xdr:sp macro="" textlink="">
      <xdr:nvSpPr>
        <xdr:cNvPr id="244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23B9B0B-9DC3-4513-961A-D2B3BD42BC35}"/>
            </a:ext>
          </a:extLst>
        </xdr:cNvPr>
        <xdr:cNvSpPr>
          <a:spLocks noChangeAspect="1" noChangeArrowheads="1"/>
        </xdr:cNvSpPr>
      </xdr:nvSpPr>
      <xdr:spPr bwMode="auto">
        <a:xfrm>
          <a:off x="5743575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304800" cy="304800"/>
    <xdr:sp macro="" textlink="">
      <xdr:nvSpPr>
        <xdr:cNvPr id="244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E1F3A5D-7AA4-44A4-B9F6-08B45B04B6B1}"/>
            </a:ext>
          </a:extLst>
        </xdr:cNvPr>
        <xdr:cNvSpPr>
          <a:spLocks noChangeAspect="1" noChangeArrowheads="1"/>
        </xdr:cNvSpPr>
      </xdr:nvSpPr>
      <xdr:spPr bwMode="auto">
        <a:xfrm>
          <a:off x="5743575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304800" cy="304800"/>
    <xdr:sp macro="" textlink="">
      <xdr:nvSpPr>
        <xdr:cNvPr id="244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473163B-5518-419D-A6A1-0C1ED585C501}"/>
            </a:ext>
          </a:extLst>
        </xdr:cNvPr>
        <xdr:cNvSpPr>
          <a:spLocks noChangeAspect="1" noChangeArrowheads="1"/>
        </xdr:cNvSpPr>
      </xdr:nvSpPr>
      <xdr:spPr bwMode="auto">
        <a:xfrm>
          <a:off x="5743575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304800" cy="304800"/>
    <xdr:sp macro="" textlink="">
      <xdr:nvSpPr>
        <xdr:cNvPr id="244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DC0E40C-FE5E-446A-B479-C7D0D3427A5E}"/>
            </a:ext>
          </a:extLst>
        </xdr:cNvPr>
        <xdr:cNvSpPr>
          <a:spLocks noChangeAspect="1" noChangeArrowheads="1"/>
        </xdr:cNvSpPr>
      </xdr:nvSpPr>
      <xdr:spPr bwMode="auto">
        <a:xfrm>
          <a:off x="5743575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304800" cy="304800"/>
    <xdr:sp macro="" textlink="">
      <xdr:nvSpPr>
        <xdr:cNvPr id="245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8259D5A-FBE5-4766-B09C-8F2B31F1A507}"/>
            </a:ext>
          </a:extLst>
        </xdr:cNvPr>
        <xdr:cNvSpPr>
          <a:spLocks noChangeAspect="1" noChangeArrowheads="1"/>
        </xdr:cNvSpPr>
      </xdr:nvSpPr>
      <xdr:spPr bwMode="auto">
        <a:xfrm>
          <a:off x="5743575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304800" cy="304800"/>
    <xdr:sp macro="" textlink="">
      <xdr:nvSpPr>
        <xdr:cNvPr id="245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045B53A-619B-4887-B26A-F95E39577683}"/>
            </a:ext>
          </a:extLst>
        </xdr:cNvPr>
        <xdr:cNvSpPr>
          <a:spLocks noChangeAspect="1" noChangeArrowheads="1"/>
        </xdr:cNvSpPr>
      </xdr:nvSpPr>
      <xdr:spPr bwMode="auto">
        <a:xfrm>
          <a:off x="5743575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304800" cy="304800"/>
    <xdr:sp macro="" textlink="">
      <xdr:nvSpPr>
        <xdr:cNvPr id="245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D805009-E525-4040-8FD1-16CEED0FEE23}"/>
            </a:ext>
          </a:extLst>
        </xdr:cNvPr>
        <xdr:cNvSpPr>
          <a:spLocks noChangeAspect="1" noChangeArrowheads="1"/>
        </xdr:cNvSpPr>
      </xdr:nvSpPr>
      <xdr:spPr bwMode="auto">
        <a:xfrm>
          <a:off x="5743575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304800" cy="304800"/>
    <xdr:sp macro="" textlink="">
      <xdr:nvSpPr>
        <xdr:cNvPr id="245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F2B69E1-1FE5-40F3-9F9B-1A3D107FFBAC}"/>
            </a:ext>
          </a:extLst>
        </xdr:cNvPr>
        <xdr:cNvSpPr>
          <a:spLocks noChangeAspect="1" noChangeArrowheads="1"/>
        </xdr:cNvSpPr>
      </xdr:nvSpPr>
      <xdr:spPr bwMode="auto">
        <a:xfrm>
          <a:off x="5743575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304800" cy="304800"/>
    <xdr:sp macro="" textlink="">
      <xdr:nvSpPr>
        <xdr:cNvPr id="245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D37C6F8-BFF1-474A-8E77-9655992D3F92}"/>
            </a:ext>
          </a:extLst>
        </xdr:cNvPr>
        <xdr:cNvSpPr>
          <a:spLocks noChangeAspect="1" noChangeArrowheads="1"/>
        </xdr:cNvSpPr>
      </xdr:nvSpPr>
      <xdr:spPr bwMode="auto">
        <a:xfrm>
          <a:off x="5743575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304800" cy="304800"/>
    <xdr:sp macro="" textlink="">
      <xdr:nvSpPr>
        <xdr:cNvPr id="245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2F769EB-A415-406A-9EC5-FE30A33DCF7D}"/>
            </a:ext>
          </a:extLst>
        </xdr:cNvPr>
        <xdr:cNvSpPr>
          <a:spLocks noChangeAspect="1" noChangeArrowheads="1"/>
        </xdr:cNvSpPr>
      </xdr:nvSpPr>
      <xdr:spPr bwMode="auto">
        <a:xfrm>
          <a:off x="5743575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304800" cy="304800"/>
    <xdr:sp macro="" textlink="">
      <xdr:nvSpPr>
        <xdr:cNvPr id="245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2742B10-1944-4B26-A1EC-4A831AE59CA7}"/>
            </a:ext>
          </a:extLst>
        </xdr:cNvPr>
        <xdr:cNvSpPr>
          <a:spLocks noChangeAspect="1" noChangeArrowheads="1"/>
        </xdr:cNvSpPr>
      </xdr:nvSpPr>
      <xdr:spPr bwMode="auto">
        <a:xfrm>
          <a:off x="5743575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304800" cy="304800"/>
    <xdr:sp macro="" textlink="">
      <xdr:nvSpPr>
        <xdr:cNvPr id="245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E1BE6D6-562C-4751-A8B0-BDE2FC581498}"/>
            </a:ext>
          </a:extLst>
        </xdr:cNvPr>
        <xdr:cNvSpPr>
          <a:spLocks noChangeAspect="1" noChangeArrowheads="1"/>
        </xdr:cNvSpPr>
      </xdr:nvSpPr>
      <xdr:spPr bwMode="auto">
        <a:xfrm>
          <a:off x="5743575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304800" cy="304800"/>
    <xdr:sp macro="" textlink="">
      <xdr:nvSpPr>
        <xdr:cNvPr id="245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DE5B2C0-C249-4DC6-B699-EF9A85E33F9C}"/>
            </a:ext>
          </a:extLst>
        </xdr:cNvPr>
        <xdr:cNvSpPr>
          <a:spLocks noChangeAspect="1" noChangeArrowheads="1"/>
        </xdr:cNvSpPr>
      </xdr:nvSpPr>
      <xdr:spPr bwMode="auto">
        <a:xfrm>
          <a:off x="5743575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304800" cy="304800"/>
    <xdr:sp macro="" textlink="">
      <xdr:nvSpPr>
        <xdr:cNvPr id="245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2DABC75-82F0-4CA3-864A-9DF6D15DF5AA}"/>
            </a:ext>
          </a:extLst>
        </xdr:cNvPr>
        <xdr:cNvSpPr>
          <a:spLocks noChangeAspect="1" noChangeArrowheads="1"/>
        </xdr:cNvSpPr>
      </xdr:nvSpPr>
      <xdr:spPr bwMode="auto">
        <a:xfrm>
          <a:off x="5743575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304800" cy="304800"/>
    <xdr:sp macro="" textlink="">
      <xdr:nvSpPr>
        <xdr:cNvPr id="246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43F9C2D-814B-4C0F-A095-F519A9880575}"/>
            </a:ext>
          </a:extLst>
        </xdr:cNvPr>
        <xdr:cNvSpPr>
          <a:spLocks noChangeAspect="1" noChangeArrowheads="1"/>
        </xdr:cNvSpPr>
      </xdr:nvSpPr>
      <xdr:spPr bwMode="auto">
        <a:xfrm>
          <a:off x="5743575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304800" cy="304800"/>
    <xdr:sp macro="" textlink="">
      <xdr:nvSpPr>
        <xdr:cNvPr id="246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48CFCA9-2AE4-4D8E-8DA8-3C2F6B8BC919}"/>
            </a:ext>
          </a:extLst>
        </xdr:cNvPr>
        <xdr:cNvSpPr>
          <a:spLocks noChangeAspect="1" noChangeArrowheads="1"/>
        </xdr:cNvSpPr>
      </xdr:nvSpPr>
      <xdr:spPr bwMode="auto">
        <a:xfrm>
          <a:off x="5743575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304800" cy="304800"/>
    <xdr:sp macro="" textlink="">
      <xdr:nvSpPr>
        <xdr:cNvPr id="246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F6D5250-1DF6-49BA-927C-247E3DA41D51}"/>
            </a:ext>
          </a:extLst>
        </xdr:cNvPr>
        <xdr:cNvSpPr>
          <a:spLocks noChangeAspect="1" noChangeArrowheads="1"/>
        </xdr:cNvSpPr>
      </xdr:nvSpPr>
      <xdr:spPr bwMode="auto">
        <a:xfrm>
          <a:off x="5743575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304800" cy="304800"/>
    <xdr:sp macro="" textlink="">
      <xdr:nvSpPr>
        <xdr:cNvPr id="246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A9271AF-0342-4B20-8C1C-8799A509322E}"/>
            </a:ext>
          </a:extLst>
        </xdr:cNvPr>
        <xdr:cNvSpPr>
          <a:spLocks noChangeAspect="1" noChangeArrowheads="1"/>
        </xdr:cNvSpPr>
      </xdr:nvSpPr>
      <xdr:spPr bwMode="auto">
        <a:xfrm>
          <a:off x="5743575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304800" cy="304800"/>
    <xdr:sp macro="" textlink="">
      <xdr:nvSpPr>
        <xdr:cNvPr id="246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CCC5874-52F4-4342-ADF8-B41D0B556C8D}"/>
            </a:ext>
          </a:extLst>
        </xdr:cNvPr>
        <xdr:cNvSpPr>
          <a:spLocks noChangeAspect="1" noChangeArrowheads="1"/>
        </xdr:cNvSpPr>
      </xdr:nvSpPr>
      <xdr:spPr bwMode="auto">
        <a:xfrm>
          <a:off x="5743575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304800" cy="304800"/>
    <xdr:sp macro="" textlink="">
      <xdr:nvSpPr>
        <xdr:cNvPr id="246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93B04EA-F202-4975-B7AD-0558E0AF3DC1}"/>
            </a:ext>
          </a:extLst>
        </xdr:cNvPr>
        <xdr:cNvSpPr>
          <a:spLocks noChangeAspect="1" noChangeArrowheads="1"/>
        </xdr:cNvSpPr>
      </xdr:nvSpPr>
      <xdr:spPr bwMode="auto">
        <a:xfrm>
          <a:off x="5743575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304800" cy="304800"/>
    <xdr:sp macro="" textlink="">
      <xdr:nvSpPr>
        <xdr:cNvPr id="246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D5F6BE6-D96E-4D9E-8CC0-82ACB7031E0C}"/>
            </a:ext>
          </a:extLst>
        </xdr:cNvPr>
        <xdr:cNvSpPr>
          <a:spLocks noChangeAspect="1" noChangeArrowheads="1"/>
        </xdr:cNvSpPr>
      </xdr:nvSpPr>
      <xdr:spPr bwMode="auto">
        <a:xfrm>
          <a:off x="5743575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304800" cy="304800"/>
    <xdr:sp macro="" textlink="">
      <xdr:nvSpPr>
        <xdr:cNvPr id="246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1A380A3-7A27-4935-9E51-B0DB5861224E}"/>
            </a:ext>
          </a:extLst>
        </xdr:cNvPr>
        <xdr:cNvSpPr>
          <a:spLocks noChangeAspect="1" noChangeArrowheads="1"/>
        </xdr:cNvSpPr>
      </xdr:nvSpPr>
      <xdr:spPr bwMode="auto">
        <a:xfrm>
          <a:off x="5743575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304800" cy="304800"/>
    <xdr:sp macro="" textlink="">
      <xdr:nvSpPr>
        <xdr:cNvPr id="246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6BAA7DE-E9F5-4B0E-96D5-09A87DB9619B}"/>
            </a:ext>
          </a:extLst>
        </xdr:cNvPr>
        <xdr:cNvSpPr>
          <a:spLocks noChangeAspect="1" noChangeArrowheads="1"/>
        </xdr:cNvSpPr>
      </xdr:nvSpPr>
      <xdr:spPr bwMode="auto">
        <a:xfrm>
          <a:off x="5743575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304800" cy="304800"/>
    <xdr:sp macro="" textlink="">
      <xdr:nvSpPr>
        <xdr:cNvPr id="246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120EC23-73DC-4606-B14E-EAA28C900E5F}"/>
            </a:ext>
          </a:extLst>
        </xdr:cNvPr>
        <xdr:cNvSpPr>
          <a:spLocks noChangeAspect="1" noChangeArrowheads="1"/>
        </xdr:cNvSpPr>
      </xdr:nvSpPr>
      <xdr:spPr bwMode="auto">
        <a:xfrm>
          <a:off x="5743575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304800" cy="304800"/>
    <xdr:sp macro="" textlink="">
      <xdr:nvSpPr>
        <xdr:cNvPr id="247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D6C34D6-A48A-418B-AC49-3003C8CC1348}"/>
            </a:ext>
          </a:extLst>
        </xdr:cNvPr>
        <xdr:cNvSpPr>
          <a:spLocks noChangeAspect="1" noChangeArrowheads="1"/>
        </xdr:cNvSpPr>
      </xdr:nvSpPr>
      <xdr:spPr bwMode="auto">
        <a:xfrm>
          <a:off x="5743575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304800" cy="304800"/>
    <xdr:sp macro="" textlink="">
      <xdr:nvSpPr>
        <xdr:cNvPr id="247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689EE95-6C9D-41AF-9BA1-A79F53214E0F}"/>
            </a:ext>
          </a:extLst>
        </xdr:cNvPr>
        <xdr:cNvSpPr>
          <a:spLocks noChangeAspect="1" noChangeArrowheads="1"/>
        </xdr:cNvSpPr>
      </xdr:nvSpPr>
      <xdr:spPr bwMode="auto">
        <a:xfrm>
          <a:off x="5743575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304800" cy="304800"/>
    <xdr:sp macro="" textlink="">
      <xdr:nvSpPr>
        <xdr:cNvPr id="247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560E30F-8F2F-4095-B166-6DE054E65B22}"/>
            </a:ext>
          </a:extLst>
        </xdr:cNvPr>
        <xdr:cNvSpPr>
          <a:spLocks noChangeAspect="1" noChangeArrowheads="1"/>
        </xdr:cNvSpPr>
      </xdr:nvSpPr>
      <xdr:spPr bwMode="auto">
        <a:xfrm>
          <a:off x="5743575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304800" cy="304800"/>
    <xdr:sp macro="" textlink="">
      <xdr:nvSpPr>
        <xdr:cNvPr id="247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AFE0510-3EEC-49DD-8B89-88CD3942738F}"/>
            </a:ext>
          </a:extLst>
        </xdr:cNvPr>
        <xdr:cNvSpPr>
          <a:spLocks noChangeAspect="1" noChangeArrowheads="1"/>
        </xdr:cNvSpPr>
      </xdr:nvSpPr>
      <xdr:spPr bwMode="auto">
        <a:xfrm>
          <a:off x="5743575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304800" cy="304800"/>
    <xdr:sp macro="" textlink="">
      <xdr:nvSpPr>
        <xdr:cNvPr id="247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25324E2-AA97-47FC-845A-98B3FBFA5045}"/>
            </a:ext>
          </a:extLst>
        </xdr:cNvPr>
        <xdr:cNvSpPr>
          <a:spLocks noChangeAspect="1" noChangeArrowheads="1"/>
        </xdr:cNvSpPr>
      </xdr:nvSpPr>
      <xdr:spPr bwMode="auto">
        <a:xfrm>
          <a:off x="5743575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304800" cy="304800"/>
    <xdr:sp macro="" textlink="">
      <xdr:nvSpPr>
        <xdr:cNvPr id="247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770DEBD-BB78-429B-9993-29EFE412A875}"/>
            </a:ext>
          </a:extLst>
        </xdr:cNvPr>
        <xdr:cNvSpPr>
          <a:spLocks noChangeAspect="1" noChangeArrowheads="1"/>
        </xdr:cNvSpPr>
      </xdr:nvSpPr>
      <xdr:spPr bwMode="auto">
        <a:xfrm>
          <a:off x="5743575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304800" cy="304800"/>
    <xdr:sp macro="" textlink="">
      <xdr:nvSpPr>
        <xdr:cNvPr id="247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A62EB6F-56BE-489E-9EEA-FA15227AC893}"/>
            </a:ext>
          </a:extLst>
        </xdr:cNvPr>
        <xdr:cNvSpPr>
          <a:spLocks noChangeAspect="1" noChangeArrowheads="1"/>
        </xdr:cNvSpPr>
      </xdr:nvSpPr>
      <xdr:spPr bwMode="auto">
        <a:xfrm>
          <a:off x="5743575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304800" cy="304800"/>
    <xdr:sp macro="" textlink="">
      <xdr:nvSpPr>
        <xdr:cNvPr id="247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337D358-C44F-4157-AF98-077FEA4FA7A6}"/>
            </a:ext>
          </a:extLst>
        </xdr:cNvPr>
        <xdr:cNvSpPr>
          <a:spLocks noChangeAspect="1" noChangeArrowheads="1"/>
        </xdr:cNvSpPr>
      </xdr:nvSpPr>
      <xdr:spPr bwMode="auto">
        <a:xfrm>
          <a:off x="5743575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304800" cy="304800"/>
    <xdr:sp macro="" textlink="">
      <xdr:nvSpPr>
        <xdr:cNvPr id="247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635D531-8782-4FFD-9312-7DD3C751C371}"/>
            </a:ext>
          </a:extLst>
        </xdr:cNvPr>
        <xdr:cNvSpPr>
          <a:spLocks noChangeAspect="1" noChangeArrowheads="1"/>
        </xdr:cNvSpPr>
      </xdr:nvSpPr>
      <xdr:spPr bwMode="auto">
        <a:xfrm>
          <a:off x="5743575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304800" cy="304800"/>
    <xdr:sp macro="" textlink="">
      <xdr:nvSpPr>
        <xdr:cNvPr id="247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9DFB60E-E181-4045-B71A-A975397E7E55}"/>
            </a:ext>
          </a:extLst>
        </xdr:cNvPr>
        <xdr:cNvSpPr>
          <a:spLocks noChangeAspect="1" noChangeArrowheads="1"/>
        </xdr:cNvSpPr>
      </xdr:nvSpPr>
      <xdr:spPr bwMode="auto">
        <a:xfrm>
          <a:off x="5743575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304800" cy="304800"/>
    <xdr:sp macro="" textlink="">
      <xdr:nvSpPr>
        <xdr:cNvPr id="248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4E29D9C-1D54-4CE5-9B62-38578BFDC582}"/>
            </a:ext>
          </a:extLst>
        </xdr:cNvPr>
        <xdr:cNvSpPr>
          <a:spLocks noChangeAspect="1" noChangeArrowheads="1"/>
        </xdr:cNvSpPr>
      </xdr:nvSpPr>
      <xdr:spPr bwMode="auto">
        <a:xfrm>
          <a:off x="5743575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304800" cy="304800"/>
    <xdr:sp macro="" textlink="">
      <xdr:nvSpPr>
        <xdr:cNvPr id="248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ADFECDFF-F037-483E-BCB4-6F43ABC02853}"/>
            </a:ext>
          </a:extLst>
        </xdr:cNvPr>
        <xdr:cNvSpPr>
          <a:spLocks noChangeAspect="1" noChangeArrowheads="1"/>
        </xdr:cNvSpPr>
      </xdr:nvSpPr>
      <xdr:spPr bwMode="auto">
        <a:xfrm>
          <a:off x="5743575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304800" cy="304800"/>
    <xdr:sp macro="" textlink="">
      <xdr:nvSpPr>
        <xdr:cNvPr id="248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B5566A9-2096-4381-A75C-58EFCE44BBA5}"/>
            </a:ext>
          </a:extLst>
        </xdr:cNvPr>
        <xdr:cNvSpPr>
          <a:spLocks noChangeAspect="1" noChangeArrowheads="1"/>
        </xdr:cNvSpPr>
      </xdr:nvSpPr>
      <xdr:spPr bwMode="auto">
        <a:xfrm>
          <a:off x="5743575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304800" cy="304800"/>
    <xdr:sp macro="" textlink="">
      <xdr:nvSpPr>
        <xdr:cNvPr id="248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96B51B6-F60A-4296-B5F5-F2CB6EDE2CC0}"/>
            </a:ext>
          </a:extLst>
        </xdr:cNvPr>
        <xdr:cNvSpPr>
          <a:spLocks noChangeAspect="1" noChangeArrowheads="1"/>
        </xdr:cNvSpPr>
      </xdr:nvSpPr>
      <xdr:spPr bwMode="auto">
        <a:xfrm>
          <a:off x="5743575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304800" cy="304800"/>
    <xdr:sp macro="" textlink="">
      <xdr:nvSpPr>
        <xdr:cNvPr id="248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DDE9825-FAB7-4F60-90B9-133E604CB40C}"/>
            </a:ext>
          </a:extLst>
        </xdr:cNvPr>
        <xdr:cNvSpPr>
          <a:spLocks noChangeAspect="1" noChangeArrowheads="1"/>
        </xdr:cNvSpPr>
      </xdr:nvSpPr>
      <xdr:spPr bwMode="auto">
        <a:xfrm>
          <a:off x="5743575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304800" cy="304800"/>
    <xdr:sp macro="" textlink="">
      <xdr:nvSpPr>
        <xdr:cNvPr id="248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FA480B5-D8B0-4AE2-ADC5-B096CE21EC9E}"/>
            </a:ext>
          </a:extLst>
        </xdr:cNvPr>
        <xdr:cNvSpPr>
          <a:spLocks noChangeAspect="1" noChangeArrowheads="1"/>
        </xdr:cNvSpPr>
      </xdr:nvSpPr>
      <xdr:spPr bwMode="auto">
        <a:xfrm>
          <a:off x="5743575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304800" cy="304800"/>
    <xdr:sp macro="" textlink="">
      <xdr:nvSpPr>
        <xdr:cNvPr id="248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163E35C-2A7C-45BB-93A6-42091E3C61B4}"/>
            </a:ext>
          </a:extLst>
        </xdr:cNvPr>
        <xdr:cNvSpPr>
          <a:spLocks noChangeAspect="1" noChangeArrowheads="1"/>
        </xdr:cNvSpPr>
      </xdr:nvSpPr>
      <xdr:spPr bwMode="auto">
        <a:xfrm>
          <a:off x="5743575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304800" cy="304800"/>
    <xdr:sp macro="" textlink="">
      <xdr:nvSpPr>
        <xdr:cNvPr id="248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8F79F72-C156-4CC9-9A42-4688AD1C9EDB}"/>
            </a:ext>
          </a:extLst>
        </xdr:cNvPr>
        <xdr:cNvSpPr>
          <a:spLocks noChangeAspect="1" noChangeArrowheads="1"/>
        </xdr:cNvSpPr>
      </xdr:nvSpPr>
      <xdr:spPr bwMode="auto">
        <a:xfrm>
          <a:off x="5743575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7</xdr:row>
      <xdr:rowOff>0</xdr:rowOff>
    </xdr:from>
    <xdr:ext cx="304800" cy="304800"/>
    <xdr:sp macro="" textlink="">
      <xdr:nvSpPr>
        <xdr:cNvPr id="248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A4580A7-60D6-4D76-A7C2-996E294BCE1E}"/>
            </a:ext>
          </a:extLst>
        </xdr:cNvPr>
        <xdr:cNvSpPr>
          <a:spLocks noChangeAspect="1" noChangeArrowheads="1"/>
        </xdr:cNvSpPr>
      </xdr:nvSpPr>
      <xdr:spPr bwMode="auto">
        <a:xfrm>
          <a:off x="5743575" y="14192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32</xdr:col>
      <xdr:colOff>0</xdr:colOff>
      <xdr:row>5</xdr:row>
      <xdr:rowOff>0</xdr:rowOff>
    </xdr:from>
    <xdr:ext cx="714375" cy="304800"/>
    <xdr:sp macro="" textlink="">
      <xdr:nvSpPr>
        <xdr:cNvPr id="248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9DEBD6F-EF8C-415A-A79F-A416301E7549}"/>
            </a:ext>
          </a:extLst>
        </xdr:cNvPr>
        <xdr:cNvSpPr>
          <a:spLocks noChangeAspect="1" noChangeArrowheads="1"/>
        </xdr:cNvSpPr>
      </xdr:nvSpPr>
      <xdr:spPr bwMode="auto">
        <a:xfrm>
          <a:off x="15154275" y="952500"/>
          <a:ext cx="714375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32</xdr:col>
      <xdr:colOff>0</xdr:colOff>
      <xdr:row>5</xdr:row>
      <xdr:rowOff>0</xdr:rowOff>
    </xdr:from>
    <xdr:ext cx="304800" cy="304800"/>
    <xdr:sp macro="" textlink="">
      <xdr:nvSpPr>
        <xdr:cNvPr id="249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4A10569-C879-4D11-B587-CC1760541796}"/>
            </a:ext>
          </a:extLst>
        </xdr:cNvPr>
        <xdr:cNvSpPr>
          <a:spLocks noChangeAspect="1" noChangeArrowheads="1"/>
        </xdr:cNvSpPr>
      </xdr:nvSpPr>
      <xdr:spPr bwMode="auto">
        <a:xfrm>
          <a:off x="15154275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32</xdr:col>
      <xdr:colOff>0</xdr:colOff>
      <xdr:row>5</xdr:row>
      <xdr:rowOff>0</xdr:rowOff>
    </xdr:from>
    <xdr:ext cx="304800" cy="304800"/>
    <xdr:sp macro="" textlink="">
      <xdr:nvSpPr>
        <xdr:cNvPr id="249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7EA4829-05F1-4F85-B410-705B6DB0AE0A}"/>
            </a:ext>
          </a:extLst>
        </xdr:cNvPr>
        <xdr:cNvSpPr>
          <a:spLocks noChangeAspect="1" noChangeArrowheads="1"/>
        </xdr:cNvSpPr>
      </xdr:nvSpPr>
      <xdr:spPr bwMode="auto">
        <a:xfrm>
          <a:off x="15154275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32</xdr:col>
      <xdr:colOff>0</xdr:colOff>
      <xdr:row>5</xdr:row>
      <xdr:rowOff>0</xdr:rowOff>
    </xdr:from>
    <xdr:ext cx="304800" cy="304800"/>
    <xdr:sp macro="" textlink="">
      <xdr:nvSpPr>
        <xdr:cNvPr id="249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2D7A853-476F-478E-8C51-BAFB1723C4BD}"/>
            </a:ext>
          </a:extLst>
        </xdr:cNvPr>
        <xdr:cNvSpPr>
          <a:spLocks noChangeAspect="1" noChangeArrowheads="1"/>
        </xdr:cNvSpPr>
      </xdr:nvSpPr>
      <xdr:spPr bwMode="auto">
        <a:xfrm>
          <a:off x="15154275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32</xdr:col>
      <xdr:colOff>0</xdr:colOff>
      <xdr:row>5</xdr:row>
      <xdr:rowOff>0</xdr:rowOff>
    </xdr:from>
    <xdr:ext cx="304800" cy="304800"/>
    <xdr:sp macro="" textlink="">
      <xdr:nvSpPr>
        <xdr:cNvPr id="249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A5FF834-01E0-4385-A408-A7C87754D34B}"/>
            </a:ext>
          </a:extLst>
        </xdr:cNvPr>
        <xdr:cNvSpPr>
          <a:spLocks noChangeAspect="1" noChangeArrowheads="1"/>
        </xdr:cNvSpPr>
      </xdr:nvSpPr>
      <xdr:spPr bwMode="auto">
        <a:xfrm>
          <a:off x="15154275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32</xdr:col>
      <xdr:colOff>0</xdr:colOff>
      <xdr:row>5</xdr:row>
      <xdr:rowOff>0</xdr:rowOff>
    </xdr:from>
    <xdr:ext cx="304800" cy="304800"/>
    <xdr:sp macro="" textlink="">
      <xdr:nvSpPr>
        <xdr:cNvPr id="249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0BAC589-7CA4-4C74-B9FE-33B4CC421AE0}"/>
            </a:ext>
          </a:extLst>
        </xdr:cNvPr>
        <xdr:cNvSpPr>
          <a:spLocks noChangeAspect="1" noChangeArrowheads="1"/>
        </xdr:cNvSpPr>
      </xdr:nvSpPr>
      <xdr:spPr bwMode="auto">
        <a:xfrm>
          <a:off x="15154275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32</xdr:col>
      <xdr:colOff>0</xdr:colOff>
      <xdr:row>5</xdr:row>
      <xdr:rowOff>0</xdr:rowOff>
    </xdr:from>
    <xdr:ext cx="714375" cy="304800"/>
    <xdr:sp macro="" textlink="">
      <xdr:nvSpPr>
        <xdr:cNvPr id="249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CB67605-BE71-49FC-839D-8810A04F45D6}"/>
            </a:ext>
          </a:extLst>
        </xdr:cNvPr>
        <xdr:cNvSpPr>
          <a:spLocks noChangeAspect="1" noChangeArrowheads="1"/>
        </xdr:cNvSpPr>
      </xdr:nvSpPr>
      <xdr:spPr bwMode="auto">
        <a:xfrm>
          <a:off x="15154275" y="952500"/>
          <a:ext cx="714375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32</xdr:col>
      <xdr:colOff>0</xdr:colOff>
      <xdr:row>5</xdr:row>
      <xdr:rowOff>0</xdr:rowOff>
    </xdr:from>
    <xdr:ext cx="304800" cy="304800"/>
    <xdr:sp macro="" textlink="">
      <xdr:nvSpPr>
        <xdr:cNvPr id="249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221EEE3-82E0-4A23-8D7E-D740FB24573F}"/>
            </a:ext>
          </a:extLst>
        </xdr:cNvPr>
        <xdr:cNvSpPr>
          <a:spLocks noChangeAspect="1" noChangeArrowheads="1"/>
        </xdr:cNvSpPr>
      </xdr:nvSpPr>
      <xdr:spPr bwMode="auto">
        <a:xfrm>
          <a:off x="15154275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32</xdr:col>
      <xdr:colOff>0</xdr:colOff>
      <xdr:row>5</xdr:row>
      <xdr:rowOff>0</xdr:rowOff>
    </xdr:from>
    <xdr:ext cx="304800" cy="304800"/>
    <xdr:sp macro="" textlink="">
      <xdr:nvSpPr>
        <xdr:cNvPr id="249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0D99D54-53EE-4F7B-B77A-330AD80757BB}"/>
            </a:ext>
          </a:extLst>
        </xdr:cNvPr>
        <xdr:cNvSpPr>
          <a:spLocks noChangeAspect="1" noChangeArrowheads="1"/>
        </xdr:cNvSpPr>
      </xdr:nvSpPr>
      <xdr:spPr bwMode="auto">
        <a:xfrm>
          <a:off x="15154275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32</xdr:col>
      <xdr:colOff>0</xdr:colOff>
      <xdr:row>5</xdr:row>
      <xdr:rowOff>0</xdr:rowOff>
    </xdr:from>
    <xdr:ext cx="304800" cy="304800"/>
    <xdr:sp macro="" textlink="">
      <xdr:nvSpPr>
        <xdr:cNvPr id="249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CD77A8F-24AB-4393-8AAE-26F39136505A}"/>
            </a:ext>
          </a:extLst>
        </xdr:cNvPr>
        <xdr:cNvSpPr>
          <a:spLocks noChangeAspect="1" noChangeArrowheads="1"/>
        </xdr:cNvSpPr>
      </xdr:nvSpPr>
      <xdr:spPr bwMode="auto">
        <a:xfrm>
          <a:off x="15154275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32</xdr:col>
      <xdr:colOff>0</xdr:colOff>
      <xdr:row>5</xdr:row>
      <xdr:rowOff>0</xdr:rowOff>
    </xdr:from>
    <xdr:ext cx="304800" cy="304800"/>
    <xdr:sp macro="" textlink="">
      <xdr:nvSpPr>
        <xdr:cNvPr id="249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08434974-81C1-44ED-9C9D-1909A687F3F1}"/>
            </a:ext>
          </a:extLst>
        </xdr:cNvPr>
        <xdr:cNvSpPr>
          <a:spLocks noChangeAspect="1" noChangeArrowheads="1"/>
        </xdr:cNvSpPr>
      </xdr:nvSpPr>
      <xdr:spPr bwMode="auto">
        <a:xfrm>
          <a:off x="15154275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32</xdr:col>
      <xdr:colOff>0</xdr:colOff>
      <xdr:row>5</xdr:row>
      <xdr:rowOff>0</xdr:rowOff>
    </xdr:from>
    <xdr:ext cx="304800" cy="304800"/>
    <xdr:sp macro="" textlink="">
      <xdr:nvSpPr>
        <xdr:cNvPr id="250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17E37CA-84B9-4FFC-AC18-4CDE5A1E362A}"/>
            </a:ext>
          </a:extLst>
        </xdr:cNvPr>
        <xdr:cNvSpPr>
          <a:spLocks noChangeAspect="1" noChangeArrowheads="1"/>
        </xdr:cNvSpPr>
      </xdr:nvSpPr>
      <xdr:spPr bwMode="auto">
        <a:xfrm>
          <a:off x="15154275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32</xdr:col>
      <xdr:colOff>0</xdr:colOff>
      <xdr:row>5</xdr:row>
      <xdr:rowOff>0</xdr:rowOff>
    </xdr:from>
    <xdr:ext cx="304800" cy="304800"/>
    <xdr:sp macro="" textlink="">
      <xdr:nvSpPr>
        <xdr:cNvPr id="250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FB121FE-0206-4E26-B19D-A29825DD9B8A}"/>
            </a:ext>
          </a:extLst>
        </xdr:cNvPr>
        <xdr:cNvSpPr>
          <a:spLocks noChangeAspect="1" noChangeArrowheads="1"/>
        </xdr:cNvSpPr>
      </xdr:nvSpPr>
      <xdr:spPr bwMode="auto">
        <a:xfrm>
          <a:off x="15154275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32</xdr:col>
      <xdr:colOff>0</xdr:colOff>
      <xdr:row>5</xdr:row>
      <xdr:rowOff>0</xdr:rowOff>
    </xdr:from>
    <xdr:ext cx="304800" cy="304800"/>
    <xdr:sp macro="" textlink="">
      <xdr:nvSpPr>
        <xdr:cNvPr id="250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D4D8338-C228-4A92-9AE8-13BCC24AE644}"/>
            </a:ext>
          </a:extLst>
        </xdr:cNvPr>
        <xdr:cNvSpPr>
          <a:spLocks noChangeAspect="1" noChangeArrowheads="1"/>
        </xdr:cNvSpPr>
      </xdr:nvSpPr>
      <xdr:spPr bwMode="auto">
        <a:xfrm>
          <a:off x="15154275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32</xdr:col>
      <xdr:colOff>0</xdr:colOff>
      <xdr:row>5</xdr:row>
      <xdr:rowOff>0</xdr:rowOff>
    </xdr:from>
    <xdr:ext cx="304800" cy="304800"/>
    <xdr:sp macro="" textlink="">
      <xdr:nvSpPr>
        <xdr:cNvPr id="250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1379C1C-2DE4-4581-BD5D-2C1ACF1CD1C7}"/>
            </a:ext>
          </a:extLst>
        </xdr:cNvPr>
        <xdr:cNvSpPr>
          <a:spLocks noChangeAspect="1" noChangeArrowheads="1"/>
        </xdr:cNvSpPr>
      </xdr:nvSpPr>
      <xdr:spPr bwMode="auto">
        <a:xfrm>
          <a:off x="15154275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32</xdr:col>
      <xdr:colOff>0</xdr:colOff>
      <xdr:row>5</xdr:row>
      <xdr:rowOff>0</xdr:rowOff>
    </xdr:from>
    <xdr:ext cx="304800" cy="304800"/>
    <xdr:sp macro="" textlink="">
      <xdr:nvSpPr>
        <xdr:cNvPr id="250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23CFBAC-BA7B-4673-BFE0-F17A26900970}"/>
            </a:ext>
          </a:extLst>
        </xdr:cNvPr>
        <xdr:cNvSpPr>
          <a:spLocks noChangeAspect="1" noChangeArrowheads="1"/>
        </xdr:cNvSpPr>
      </xdr:nvSpPr>
      <xdr:spPr bwMode="auto">
        <a:xfrm>
          <a:off x="15154275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32</xdr:col>
      <xdr:colOff>0</xdr:colOff>
      <xdr:row>5</xdr:row>
      <xdr:rowOff>0</xdr:rowOff>
    </xdr:from>
    <xdr:ext cx="304800" cy="304800"/>
    <xdr:sp macro="" textlink="">
      <xdr:nvSpPr>
        <xdr:cNvPr id="250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B7CB8A7-42FC-45B1-B142-DBDBEBB3DBE9}"/>
            </a:ext>
          </a:extLst>
        </xdr:cNvPr>
        <xdr:cNvSpPr>
          <a:spLocks noChangeAspect="1" noChangeArrowheads="1"/>
        </xdr:cNvSpPr>
      </xdr:nvSpPr>
      <xdr:spPr bwMode="auto">
        <a:xfrm>
          <a:off x="15154275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32</xdr:col>
      <xdr:colOff>0</xdr:colOff>
      <xdr:row>5</xdr:row>
      <xdr:rowOff>0</xdr:rowOff>
    </xdr:from>
    <xdr:ext cx="304800" cy="304800"/>
    <xdr:sp macro="" textlink="">
      <xdr:nvSpPr>
        <xdr:cNvPr id="250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856671A2-F270-4EA5-AAB7-37982155929B}"/>
            </a:ext>
          </a:extLst>
        </xdr:cNvPr>
        <xdr:cNvSpPr>
          <a:spLocks noChangeAspect="1" noChangeArrowheads="1"/>
        </xdr:cNvSpPr>
      </xdr:nvSpPr>
      <xdr:spPr bwMode="auto">
        <a:xfrm>
          <a:off x="15154275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32</xdr:col>
      <xdr:colOff>0</xdr:colOff>
      <xdr:row>5</xdr:row>
      <xdr:rowOff>0</xdr:rowOff>
    </xdr:from>
    <xdr:ext cx="304800" cy="304800"/>
    <xdr:sp macro="" textlink="">
      <xdr:nvSpPr>
        <xdr:cNvPr id="250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8841B46-7C79-4704-86F5-9C25D2D88636}"/>
            </a:ext>
          </a:extLst>
        </xdr:cNvPr>
        <xdr:cNvSpPr>
          <a:spLocks noChangeAspect="1" noChangeArrowheads="1"/>
        </xdr:cNvSpPr>
      </xdr:nvSpPr>
      <xdr:spPr bwMode="auto">
        <a:xfrm>
          <a:off x="15154275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32</xdr:col>
      <xdr:colOff>0</xdr:colOff>
      <xdr:row>5</xdr:row>
      <xdr:rowOff>0</xdr:rowOff>
    </xdr:from>
    <xdr:ext cx="304800" cy="304800"/>
    <xdr:sp macro="" textlink="">
      <xdr:nvSpPr>
        <xdr:cNvPr id="250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72D966F-1D8E-4277-B9E8-9FC7244053C7}"/>
            </a:ext>
          </a:extLst>
        </xdr:cNvPr>
        <xdr:cNvSpPr>
          <a:spLocks noChangeAspect="1" noChangeArrowheads="1"/>
        </xdr:cNvSpPr>
      </xdr:nvSpPr>
      <xdr:spPr bwMode="auto">
        <a:xfrm>
          <a:off x="15154275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32</xdr:col>
      <xdr:colOff>0</xdr:colOff>
      <xdr:row>5</xdr:row>
      <xdr:rowOff>0</xdr:rowOff>
    </xdr:from>
    <xdr:ext cx="304800" cy="304800"/>
    <xdr:sp macro="" textlink="">
      <xdr:nvSpPr>
        <xdr:cNvPr id="250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AAD7536-E1DC-4819-A325-953D632E2D43}"/>
            </a:ext>
          </a:extLst>
        </xdr:cNvPr>
        <xdr:cNvSpPr>
          <a:spLocks noChangeAspect="1" noChangeArrowheads="1"/>
        </xdr:cNvSpPr>
      </xdr:nvSpPr>
      <xdr:spPr bwMode="auto">
        <a:xfrm>
          <a:off x="15154275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32</xdr:col>
      <xdr:colOff>0</xdr:colOff>
      <xdr:row>5</xdr:row>
      <xdr:rowOff>0</xdr:rowOff>
    </xdr:from>
    <xdr:ext cx="304800" cy="304800"/>
    <xdr:sp macro="" textlink="">
      <xdr:nvSpPr>
        <xdr:cNvPr id="251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27339AD-D37F-429B-8A98-96A44720F474}"/>
            </a:ext>
          </a:extLst>
        </xdr:cNvPr>
        <xdr:cNvSpPr>
          <a:spLocks noChangeAspect="1" noChangeArrowheads="1"/>
        </xdr:cNvSpPr>
      </xdr:nvSpPr>
      <xdr:spPr bwMode="auto">
        <a:xfrm>
          <a:off x="15154275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32</xdr:col>
      <xdr:colOff>0</xdr:colOff>
      <xdr:row>5</xdr:row>
      <xdr:rowOff>0</xdr:rowOff>
    </xdr:from>
    <xdr:ext cx="304800" cy="304800"/>
    <xdr:sp macro="" textlink="">
      <xdr:nvSpPr>
        <xdr:cNvPr id="251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E28C712-4C77-4160-B5EE-46AB5293D7B2}"/>
            </a:ext>
          </a:extLst>
        </xdr:cNvPr>
        <xdr:cNvSpPr>
          <a:spLocks noChangeAspect="1" noChangeArrowheads="1"/>
        </xdr:cNvSpPr>
      </xdr:nvSpPr>
      <xdr:spPr bwMode="auto">
        <a:xfrm>
          <a:off x="15154275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32</xdr:col>
      <xdr:colOff>0</xdr:colOff>
      <xdr:row>5</xdr:row>
      <xdr:rowOff>0</xdr:rowOff>
    </xdr:from>
    <xdr:ext cx="304800" cy="304800"/>
    <xdr:sp macro="" textlink="">
      <xdr:nvSpPr>
        <xdr:cNvPr id="251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F4D6C0F-B37C-4222-9D27-E964E1A25B7D}"/>
            </a:ext>
          </a:extLst>
        </xdr:cNvPr>
        <xdr:cNvSpPr>
          <a:spLocks noChangeAspect="1" noChangeArrowheads="1"/>
        </xdr:cNvSpPr>
      </xdr:nvSpPr>
      <xdr:spPr bwMode="auto">
        <a:xfrm>
          <a:off x="15154275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32</xdr:col>
      <xdr:colOff>0</xdr:colOff>
      <xdr:row>5</xdr:row>
      <xdr:rowOff>0</xdr:rowOff>
    </xdr:from>
    <xdr:ext cx="304800" cy="304800"/>
    <xdr:sp macro="" textlink="">
      <xdr:nvSpPr>
        <xdr:cNvPr id="251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0175023-8D70-46A6-A989-EE22367B592C}"/>
            </a:ext>
          </a:extLst>
        </xdr:cNvPr>
        <xdr:cNvSpPr>
          <a:spLocks noChangeAspect="1" noChangeArrowheads="1"/>
        </xdr:cNvSpPr>
      </xdr:nvSpPr>
      <xdr:spPr bwMode="auto">
        <a:xfrm>
          <a:off x="15154275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32</xdr:col>
      <xdr:colOff>0</xdr:colOff>
      <xdr:row>5</xdr:row>
      <xdr:rowOff>0</xdr:rowOff>
    </xdr:from>
    <xdr:ext cx="304800" cy="304800"/>
    <xdr:sp macro="" textlink="">
      <xdr:nvSpPr>
        <xdr:cNvPr id="251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64C7609-1DDF-4F0D-B4F2-3BB880540BAC}"/>
            </a:ext>
          </a:extLst>
        </xdr:cNvPr>
        <xdr:cNvSpPr>
          <a:spLocks noChangeAspect="1" noChangeArrowheads="1"/>
        </xdr:cNvSpPr>
      </xdr:nvSpPr>
      <xdr:spPr bwMode="auto">
        <a:xfrm>
          <a:off x="15154275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32</xdr:col>
      <xdr:colOff>0</xdr:colOff>
      <xdr:row>5</xdr:row>
      <xdr:rowOff>0</xdr:rowOff>
    </xdr:from>
    <xdr:ext cx="304800" cy="304800"/>
    <xdr:sp macro="" textlink="">
      <xdr:nvSpPr>
        <xdr:cNvPr id="251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52F0478-E2DE-4543-86A6-C2AE4D49A0B0}"/>
            </a:ext>
          </a:extLst>
        </xdr:cNvPr>
        <xdr:cNvSpPr>
          <a:spLocks noChangeAspect="1" noChangeArrowheads="1"/>
        </xdr:cNvSpPr>
      </xdr:nvSpPr>
      <xdr:spPr bwMode="auto">
        <a:xfrm>
          <a:off x="15154275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32</xdr:col>
      <xdr:colOff>0</xdr:colOff>
      <xdr:row>5</xdr:row>
      <xdr:rowOff>0</xdr:rowOff>
    </xdr:from>
    <xdr:ext cx="714375" cy="304800"/>
    <xdr:sp macro="" textlink="">
      <xdr:nvSpPr>
        <xdr:cNvPr id="251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4C917B0-6B18-4DE3-B70B-65D133D95A12}"/>
            </a:ext>
          </a:extLst>
        </xdr:cNvPr>
        <xdr:cNvSpPr>
          <a:spLocks noChangeAspect="1" noChangeArrowheads="1"/>
        </xdr:cNvSpPr>
      </xdr:nvSpPr>
      <xdr:spPr bwMode="auto">
        <a:xfrm>
          <a:off x="15154275" y="952500"/>
          <a:ext cx="714375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32</xdr:col>
      <xdr:colOff>0</xdr:colOff>
      <xdr:row>5</xdr:row>
      <xdr:rowOff>0</xdr:rowOff>
    </xdr:from>
    <xdr:ext cx="304800" cy="304800"/>
    <xdr:sp macro="" textlink="">
      <xdr:nvSpPr>
        <xdr:cNvPr id="251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8B6F84F-00F1-4FE2-9D20-C07B573C5FA2}"/>
            </a:ext>
          </a:extLst>
        </xdr:cNvPr>
        <xdr:cNvSpPr>
          <a:spLocks noChangeAspect="1" noChangeArrowheads="1"/>
        </xdr:cNvSpPr>
      </xdr:nvSpPr>
      <xdr:spPr bwMode="auto">
        <a:xfrm>
          <a:off x="15154275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32</xdr:col>
      <xdr:colOff>0</xdr:colOff>
      <xdr:row>5</xdr:row>
      <xdr:rowOff>0</xdr:rowOff>
    </xdr:from>
    <xdr:ext cx="304800" cy="304800"/>
    <xdr:sp macro="" textlink="">
      <xdr:nvSpPr>
        <xdr:cNvPr id="251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1B1D3AC1-68E5-4F5D-8280-30F1FEFF6A34}"/>
            </a:ext>
          </a:extLst>
        </xdr:cNvPr>
        <xdr:cNvSpPr>
          <a:spLocks noChangeAspect="1" noChangeArrowheads="1"/>
        </xdr:cNvSpPr>
      </xdr:nvSpPr>
      <xdr:spPr bwMode="auto">
        <a:xfrm>
          <a:off x="15154275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32</xdr:col>
      <xdr:colOff>0</xdr:colOff>
      <xdr:row>5</xdr:row>
      <xdr:rowOff>0</xdr:rowOff>
    </xdr:from>
    <xdr:ext cx="304800" cy="304800"/>
    <xdr:sp macro="" textlink="">
      <xdr:nvSpPr>
        <xdr:cNvPr id="251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866BC22-E498-4E34-BDBF-FA0D8B4D5700}"/>
            </a:ext>
          </a:extLst>
        </xdr:cNvPr>
        <xdr:cNvSpPr>
          <a:spLocks noChangeAspect="1" noChangeArrowheads="1"/>
        </xdr:cNvSpPr>
      </xdr:nvSpPr>
      <xdr:spPr bwMode="auto">
        <a:xfrm>
          <a:off x="15154275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32</xdr:col>
      <xdr:colOff>0</xdr:colOff>
      <xdr:row>5</xdr:row>
      <xdr:rowOff>0</xdr:rowOff>
    </xdr:from>
    <xdr:ext cx="304800" cy="304800"/>
    <xdr:sp macro="" textlink="">
      <xdr:nvSpPr>
        <xdr:cNvPr id="252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BDB09D5-AD6D-427F-BF6A-C9AAA4B3EE35}"/>
            </a:ext>
          </a:extLst>
        </xdr:cNvPr>
        <xdr:cNvSpPr>
          <a:spLocks noChangeAspect="1" noChangeArrowheads="1"/>
        </xdr:cNvSpPr>
      </xdr:nvSpPr>
      <xdr:spPr bwMode="auto">
        <a:xfrm>
          <a:off x="15154275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32</xdr:col>
      <xdr:colOff>0</xdr:colOff>
      <xdr:row>5</xdr:row>
      <xdr:rowOff>0</xdr:rowOff>
    </xdr:from>
    <xdr:ext cx="304800" cy="304800"/>
    <xdr:sp macro="" textlink="">
      <xdr:nvSpPr>
        <xdr:cNvPr id="252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127527B-95A5-4779-B2AB-311CF1B0C200}"/>
            </a:ext>
          </a:extLst>
        </xdr:cNvPr>
        <xdr:cNvSpPr>
          <a:spLocks noChangeAspect="1" noChangeArrowheads="1"/>
        </xdr:cNvSpPr>
      </xdr:nvSpPr>
      <xdr:spPr bwMode="auto">
        <a:xfrm>
          <a:off x="15154275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32</xdr:col>
      <xdr:colOff>0</xdr:colOff>
      <xdr:row>5</xdr:row>
      <xdr:rowOff>0</xdr:rowOff>
    </xdr:from>
    <xdr:ext cx="714375" cy="304800"/>
    <xdr:sp macro="" textlink="">
      <xdr:nvSpPr>
        <xdr:cNvPr id="252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49F12B8-14AB-4650-B6FF-F65DA35913B8}"/>
            </a:ext>
          </a:extLst>
        </xdr:cNvPr>
        <xdr:cNvSpPr>
          <a:spLocks noChangeAspect="1" noChangeArrowheads="1"/>
        </xdr:cNvSpPr>
      </xdr:nvSpPr>
      <xdr:spPr bwMode="auto">
        <a:xfrm>
          <a:off x="15154275" y="952500"/>
          <a:ext cx="714375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32</xdr:col>
      <xdr:colOff>0</xdr:colOff>
      <xdr:row>5</xdr:row>
      <xdr:rowOff>0</xdr:rowOff>
    </xdr:from>
    <xdr:ext cx="304800" cy="304800"/>
    <xdr:sp macro="" textlink="">
      <xdr:nvSpPr>
        <xdr:cNvPr id="252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68DF2BAF-7A29-4D13-A398-B02C269D3F46}"/>
            </a:ext>
          </a:extLst>
        </xdr:cNvPr>
        <xdr:cNvSpPr>
          <a:spLocks noChangeAspect="1" noChangeArrowheads="1"/>
        </xdr:cNvSpPr>
      </xdr:nvSpPr>
      <xdr:spPr bwMode="auto">
        <a:xfrm>
          <a:off x="15154275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32</xdr:col>
      <xdr:colOff>0</xdr:colOff>
      <xdr:row>5</xdr:row>
      <xdr:rowOff>0</xdr:rowOff>
    </xdr:from>
    <xdr:ext cx="304800" cy="304800"/>
    <xdr:sp macro="" textlink="">
      <xdr:nvSpPr>
        <xdr:cNvPr id="252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584341EC-3DAE-4E4D-AFC2-1AB976DF702F}"/>
            </a:ext>
          </a:extLst>
        </xdr:cNvPr>
        <xdr:cNvSpPr>
          <a:spLocks noChangeAspect="1" noChangeArrowheads="1"/>
        </xdr:cNvSpPr>
      </xdr:nvSpPr>
      <xdr:spPr bwMode="auto">
        <a:xfrm>
          <a:off x="15154275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32</xdr:col>
      <xdr:colOff>0</xdr:colOff>
      <xdr:row>5</xdr:row>
      <xdr:rowOff>0</xdr:rowOff>
    </xdr:from>
    <xdr:ext cx="304800" cy="304800"/>
    <xdr:sp macro="" textlink="">
      <xdr:nvSpPr>
        <xdr:cNvPr id="252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3BE1B11C-06C0-4D35-A71C-67B81D0F67FF}"/>
            </a:ext>
          </a:extLst>
        </xdr:cNvPr>
        <xdr:cNvSpPr>
          <a:spLocks noChangeAspect="1" noChangeArrowheads="1"/>
        </xdr:cNvSpPr>
      </xdr:nvSpPr>
      <xdr:spPr bwMode="auto">
        <a:xfrm>
          <a:off x="15154275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32</xdr:col>
      <xdr:colOff>0</xdr:colOff>
      <xdr:row>5</xdr:row>
      <xdr:rowOff>0</xdr:rowOff>
    </xdr:from>
    <xdr:ext cx="304800" cy="304800"/>
    <xdr:sp macro="" textlink="">
      <xdr:nvSpPr>
        <xdr:cNvPr id="252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2DAAB19-FC1B-4D6C-98A8-486894BD7D58}"/>
            </a:ext>
          </a:extLst>
        </xdr:cNvPr>
        <xdr:cNvSpPr>
          <a:spLocks noChangeAspect="1" noChangeArrowheads="1"/>
        </xdr:cNvSpPr>
      </xdr:nvSpPr>
      <xdr:spPr bwMode="auto">
        <a:xfrm>
          <a:off x="15154275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32</xdr:col>
      <xdr:colOff>0</xdr:colOff>
      <xdr:row>5</xdr:row>
      <xdr:rowOff>0</xdr:rowOff>
    </xdr:from>
    <xdr:ext cx="304800" cy="304800"/>
    <xdr:sp macro="" textlink="">
      <xdr:nvSpPr>
        <xdr:cNvPr id="252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90CD32EC-BF6A-4580-A007-05D734EF496A}"/>
            </a:ext>
          </a:extLst>
        </xdr:cNvPr>
        <xdr:cNvSpPr>
          <a:spLocks noChangeAspect="1" noChangeArrowheads="1"/>
        </xdr:cNvSpPr>
      </xdr:nvSpPr>
      <xdr:spPr bwMode="auto">
        <a:xfrm>
          <a:off x="15154275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32</xdr:col>
      <xdr:colOff>0</xdr:colOff>
      <xdr:row>5</xdr:row>
      <xdr:rowOff>0</xdr:rowOff>
    </xdr:from>
    <xdr:ext cx="304800" cy="304800"/>
    <xdr:sp macro="" textlink="">
      <xdr:nvSpPr>
        <xdr:cNvPr id="252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740FE66-D81E-4EF5-936A-987B4E913F16}"/>
            </a:ext>
          </a:extLst>
        </xdr:cNvPr>
        <xdr:cNvSpPr>
          <a:spLocks noChangeAspect="1" noChangeArrowheads="1"/>
        </xdr:cNvSpPr>
      </xdr:nvSpPr>
      <xdr:spPr bwMode="auto">
        <a:xfrm>
          <a:off x="15154275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32</xdr:col>
      <xdr:colOff>0</xdr:colOff>
      <xdr:row>5</xdr:row>
      <xdr:rowOff>0</xdr:rowOff>
    </xdr:from>
    <xdr:ext cx="304800" cy="304800"/>
    <xdr:sp macro="" textlink="">
      <xdr:nvSpPr>
        <xdr:cNvPr id="252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B30EAEC-EFB7-4E39-A0EC-99408EB2C8F4}"/>
            </a:ext>
          </a:extLst>
        </xdr:cNvPr>
        <xdr:cNvSpPr>
          <a:spLocks noChangeAspect="1" noChangeArrowheads="1"/>
        </xdr:cNvSpPr>
      </xdr:nvSpPr>
      <xdr:spPr bwMode="auto">
        <a:xfrm>
          <a:off x="15154275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32</xdr:col>
      <xdr:colOff>0</xdr:colOff>
      <xdr:row>5</xdr:row>
      <xdr:rowOff>0</xdr:rowOff>
    </xdr:from>
    <xdr:ext cx="304800" cy="304800"/>
    <xdr:sp macro="" textlink="">
      <xdr:nvSpPr>
        <xdr:cNvPr id="253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EAB7D5AB-AEEA-47E2-B0C8-ECBBDF29C475}"/>
            </a:ext>
          </a:extLst>
        </xdr:cNvPr>
        <xdr:cNvSpPr>
          <a:spLocks noChangeAspect="1" noChangeArrowheads="1"/>
        </xdr:cNvSpPr>
      </xdr:nvSpPr>
      <xdr:spPr bwMode="auto">
        <a:xfrm>
          <a:off x="15154275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32</xdr:col>
      <xdr:colOff>0</xdr:colOff>
      <xdr:row>5</xdr:row>
      <xdr:rowOff>0</xdr:rowOff>
    </xdr:from>
    <xdr:ext cx="304800" cy="304800"/>
    <xdr:sp macro="" textlink="">
      <xdr:nvSpPr>
        <xdr:cNvPr id="253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817F397-3F38-447A-BA35-30009F2A6736}"/>
            </a:ext>
          </a:extLst>
        </xdr:cNvPr>
        <xdr:cNvSpPr>
          <a:spLocks noChangeAspect="1" noChangeArrowheads="1"/>
        </xdr:cNvSpPr>
      </xdr:nvSpPr>
      <xdr:spPr bwMode="auto">
        <a:xfrm>
          <a:off x="15154275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32</xdr:col>
      <xdr:colOff>0</xdr:colOff>
      <xdr:row>5</xdr:row>
      <xdr:rowOff>0</xdr:rowOff>
    </xdr:from>
    <xdr:ext cx="304800" cy="304800"/>
    <xdr:sp macro="" textlink="">
      <xdr:nvSpPr>
        <xdr:cNvPr id="253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567E6DC-EF68-4925-81E6-C3DB2AE2B49B}"/>
            </a:ext>
          </a:extLst>
        </xdr:cNvPr>
        <xdr:cNvSpPr>
          <a:spLocks noChangeAspect="1" noChangeArrowheads="1"/>
        </xdr:cNvSpPr>
      </xdr:nvSpPr>
      <xdr:spPr bwMode="auto">
        <a:xfrm>
          <a:off x="15154275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32</xdr:col>
      <xdr:colOff>0</xdr:colOff>
      <xdr:row>5</xdr:row>
      <xdr:rowOff>0</xdr:rowOff>
    </xdr:from>
    <xdr:ext cx="304800" cy="304800"/>
    <xdr:sp macro="" textlink="">
      <xdr:nvSpPr>
        <xdr:cNvPr id="2533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143481B-E097-4F95-A629-BA83DCBACEDC}"/>
            </a:ext>
          </a:extLst>
        </xdr:cNvPr>
        <xdr:cNvSpPr>
          <a:spLocks noChangeAspect="1" noChangeArrowheads="1"/>
        </xdr:cNvSpPr>
      </xdr:nvSpPr>
      <xdr:spPr bwMode="auto">
        <a:xfrm>
          <a:off x="15154275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32</xdr:col>
      <xdr:colOff>0</xdr:colOff>
      <xdr:row>5</xdr:row>
      <xdr:rowOff>0</xdr:rowOff>
    </xdr:from>
    <xdr:ext cx="304800" cy="304800"/>
    <xdr:sp macro="" textlink="">
      <xdr:nvSpPr>
        <xdr:cNvPr id="2534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1D0DD3C-2674-4830-A0DF-D23A4CA8C2B8}"/>
            </a:ext>
          </a:extLst>
        </xdr:cNvPr>
        <xdr:cNvSpPr>
          <a:spLocks noChangeAspect="1" noChangeArrowheads="1"/>
        </xdr:cNvSpPr>
      </xdr:nvSpPr>
      <xdr:spPr bwMode="auto">
        <a:xfrm>
          <a:off x="15154275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32</xdr:col>
      <xdr:colOff>0</xdr:colOff>
      <xdr:row>5</xdr:row>
      <xdr:rowOff>0</xdr:rowOff>
    </xdr:from>
    <xdr:ext cx="304800" cy="304800"/>
    <xdr:sp macro="" textlink="">
      <xdr:nvSpPr>
        <xdr:cNvPr id="2535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F427A8D1-EFAC-4D13-8207-CD622775229B}"/>
            </a:ext>
          </a:extLst>
        </xdr:cNvPr>
        <xdr:cNvSpPr>
          <a:spLocks noChangeAspect="1" noChangeArrowheads="1"/>
        </xdr:cNvSpPr>
      </xdr:nvSpPr>
      <xdr:spPr bwMode="auto">
        <a:xfrm>
          <a:off x="15154275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32</xdr:col>
      <xdr:colOff>0</xdr:colOff>
      <xdr:row>5</xdr:row>
      <xdr:rowOff>0</xdr:rowOff>
    </xdr:from>
    <xdr:ext cx="304800" cy="304800"/>
    <xdr:sp macro="" textlink="">
      <xdr:nvSpPr>
        <xdr:cNvPr id="2536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2678DEE7-2F21-4E55-BA70-5D3FDB66981E}"/>
            </a:ext>
          </a:extLst>
        </xdr:cNvPr>
        <xdr:cNvSpPr>
          <a:spLocks noChangeAspect="1" noChangeArrowheads="1"/>
        </xdr:cNvSpPr>
      </xdr:nvSpPr>
      <xdr:spPr bwMode="auto">
        <a:xfrm>
          <a:off x="15154275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32</xdr:col>
      <xdr:colOff>0</xdr:colOff>
      <xdr:row>5</xdr:row>
      <xdr:rowOff>0</xdr:rowOff>
    </xdr:from>
    <xdr:ext cx="304800" cy="304800"/>
    <xdr:sp macro="" textlink="">
      <xdr:nvSpPr>
        <xdr:cNvPr id="2537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755781BB-F34C-4B1E-879A-A60883AB2763}"/>
            </a:ext>
          </a:extLst>
        </xdr:cNvPr>
        <xdr:cNvSpPr>
          <a:spLocks noChangeAspect="1" noChangeArrowheads="1"/>
        </xdr:cNvSpPr>
      </xdr:nvSpPr>
      <xdr:spPr bwMode="auto">
        <a:xfrm>
          <a:off x="15154275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32</xdr:col>
      <xdr:colOff>0</xdr:colOff>
      <xdr:row>5</xdr:row>
      <xdr:rowOff>0</xdr:rowOff>
    </xdr:from>
    <xdr:ext cx="304800" cy="304800"/>
    <xdr:sp macro="" textlink="">
      <xdr:nvSpPr>
        <xdr:cNvPr id="2538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92BC982-3488-4908-820D-030C851412A9}"/>
            </a:ext>
          </a:extLst>
        </xdr:cNvPr>
        <xdr:cNvSpPr>
          <a:spLocks noChangeAspect="1" noChangeArrowheads="1"/>
        </xdr:cNvSpPr>
      </xdr:nvSpPr>
      <xdr:spPr bwMode="auto">
        <a:xfrm>
          <a:off x="15154275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32</xdr:col>
      <xdr:colOff>0</xdr:colOff>
      <xdr:row>5</xdr:row>
      <xdr:rowOff>0</xdr:rowOff>
    </xdr:from>
    <xdr:ext cx="304800" cy="304800"/>
    <xdr:sp macro="" textlink="">
      <xdr:nvSpPr>
        <xdr:cNvPr id="2539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CE61CF9D-13EF-4DCA-B0A2-43F326DE42B4}"/>
            </a:ext>
          </a:extLst>
        </xdr:cNvPr>
        <xdr:cNvSpPr>
          <a:spLocks noChangeAspect="1" noChangeArrowheads="1"/>
        </xdr:cNvSpPr>
      </xdr:nvSpPr>
      <xdr:spPr bwMode="auto">
        <a:xfrm>
          <a:off x="15154275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32</xdr:col>
      <xdr:colOff>0</xdr:colOff>
      <xdr:row>5</xdr:row>
      <xdr:rowOff>0</xdr:rowOff>
    </xdr:from>
    <xdr:ext cx="304800" cy="304800"/>
    <xdr:sp macro="" textlink="">
      <xdr:nvSpPr>
        <xdr:cNvPr id="2540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BE30B3B6-F274-49A9-9533-83C899AC0265}"/>
            </a:ext>
          </a:extLst>
        </xdr:cNvPr>
        <xdr:cNvSpPr>
          <a:spLocks noChangeAspect="1" noChangeArrowheads="1"/>
        </xdr:cNvSpPr>
      </xdr:nvSpPr>
      <xdr:spPr bwMode="auto">
        <a:xfrm>
          <a:off x="15154275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32</xdr:col>
      <xdr:colOff>0</xdr:colOff>
      <xdr:row>5</xdr:row>
      <xdr:rowOff>0</xdr:rowOff>
    </xdr:from>
    <xdr:ext cx="304800" cy="304800"/>
    <xdr:sp macro="" textlink="">
      <xdr:nvSpPr>
        <xdr:cNvPr id="2541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DBAFFE6E-7C41-48E9-9B99-81A4D79F66F2}"/>
            </a:ext>
          </a:extLst>
        </xdr:cNvPr>
        <xdr:cNvSpPr>
          <a:spLocks noChangeAspect="1" noChangeArrowheads="1"/>
        </xdr:cNvSpPr>
      </xdr:nvSpPr>
      <xdr:spPr bwMode="auto">
        <a:xfrm>
          <a:off x="15154275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32</xdr:col>
      <xdr:colOff>0</xdr:colOff>
      <xdr:row>5</xdr:row>
      <xdr:rowOff>0</xdr:rowOff>
    </xdr:from>
    <xdr:ext cx="304800" cy="304800"/>
    <xdr:sp macro="" textlink="">
      <xdr:nvSpPr>
        <xdr:cNvPr id="2542" name="AutoShape 2" descr="resource://skype_ff_extension-at-jetpack/skype_ff_extension/data/call_skype_logo.png">
          <a:extLst>
            <a:ext uri="{FF2B5EF4-FFF2-40B4-BE49-F238E27FC236}">
              <a16:creationId xmlns:a16="http://schemas.microsoft.com/office/drawing/2014/main" id="{47AC3E99-9BCC-4595-AE66-727AC19893CF}"/>
            </a:ext>
          </a:extLst>
        </xdr:cNvPr>
        <xdr:cNvSpPr>
          <a:spLocks noChangeAspect="1" noChangeArrowheads="1"/>
        </xdr:cNvSpPr>
      </xdr:nvSpPr>
      <xdr:spPr bwMode="auto">
        <a:xfrm>
          <a:off x="15154275" y="952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975C88-826E-44A4-AB41-43B25528C278}">
  <dimension ref="A1:AN114"/>
  <sheetViews>
    <sheetView tabSelected="1" workbookViewId="0">
      <pane xSplit="1" topLeftCell="B1" activePane="topRight" state="frozen"/>
      <selection activeCell="A79" sqref="A79"/>
      <selection pane="topRight" activeCell="AI34" sqref="AI34:AK34"/>
    </sheetView>
  </sheetViews>
  <sheetFormatPr defaultRowHeight="15" x14ac:dyDescent="0.25"/>
  <cols>
    <col min="1" max="1" width="46.85546875" customWidth="1"/>
    <col min="2" max="2" width="5.140625" customWidth="1"/>
    <col min="3" max="3" width="0" hidden="1" customWidth="1"/>
    <col min="4" max="4" width="13.140625" customWidth="1"/>
    <col min="5" max="6" width="3.5703125" customWidth="1"/>
    <col min="7" max="7" width="10.28515625" bestFit="1" customWidth="1"/>
    <col min="8" max="9" width="3.5703125" customWidth="1"/>
    <col min="10" max="10" width="10.28515625" bestFit="1" customWidth="1"/>
    <col min="11" max="11" width="3.7109375" customWidth="1"/>
    <col min="12" max="12" width="3.5703125" customWidth="1"/>
    <col min="13" max="13" width="10.28515625" bestFit="1" customWidth="1"/>
    <col min="14" max="15" width="3.5703125" customWidth="1"/>
    <col min="16" max="16" width="10.28515625" bestFit="1" customWidth="1"/>
    <col min="17" max="17" width="4.140625" customWidth="1"/>
    <col min="18" max="18" width="3.5703125" customWidth="1"/>
    <col min="19" max="19" width="10.28515625" bestFit="1" customWidth="1"/>
    <col min="20" max="20" width="3.5703125" bestFit="1" customWidth="1"/>
    <col min="21" max="21" width="3.5703125" customWidth="1"/>
    <col min="22" max="22" width="10.28515625" bestFit="1" customWidth="1"/>
    <col min="23" max="23" width="3.5703125" bestFit="1" customWidth="1"/>
    <col min="24" max="24" width="3.5703125" customWidth="1"/>
    <col min="25" max="25" width="10.28515625" bestFit="1" customWidth="1"/>
    <col min="26" max="26" width="3.85546875" customWidth="1"/>
    <col min="27" max="27" width="4" customWidth="1"/>
    <col min="28" max="28" width="10" customWidth="1"/>
    <col min="29" max="29" width="4" bestFit="1" customWidth="1"/>
    <col min="30" max="30" width="4" customWidth="1"/>
    <col min="31" max="31" width="10" customWidth="1"/>
    <col min="32" max="32" width="3.5703125" bestFit="1" customWidth="1"/>
    <col min="33" max="33" width="4" customWidth="1"/>
    <col min="34" max="34" width="10.140625" customWidth="1"/>
    <col min="35" max="35" width="3.5703125" bestFit="1" customWidth="1"/>
    <col min="36" max="36" width="4" customWidth="1"/>
    <col min="37" max="37" width="10.28515625" bestFit="1" customWidth="1"/>
    <col min="38" max="38" width="10.42578125" bestFit="1" customWidth="1"/>
    <col min="39" max="39" width="5.85546875" bestFit="1" customWidth="1"/>
    <col min="40" max="40" width="16.28515625" customWidth="1"/>
  </cols>
  <sheetData>
    <row r="1" spans="1:40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</row>
    <row r="2" spans="1:40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</row>
    <row r="3" spans="1:40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</row>
    <row r="4" spans="1:40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</row>
    <row r="5" spans="1:40" x14ac:dyDescent="0.25">
      <c r="A5" s="2" t="s">
        <v>0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</row>
    <row r="6" spans="1:40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</row>
    <row r="7" spans="1:40" x14ac:dyDescent="0.2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</row>
    <row r="8" spans="1:40" x14ac:dyDescent="0.2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</row>
    <row r="9" spans="1:40" ht="15.75" x14ac:dyDescent="0.25">
      <c r="A9" s="5" t="s">
        <v>1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</row>
    <row r="10" spans="1:40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</row>
    <row r="11" spans="1:40" x14ac:dyDescent="0.25">
      <c r="A11" s="8" t="s">
        <v>2</v>
      </c>
      <c r="B11" s="9" t="s">
        <v>3</v>
      </c>
      <c r="C11" s="9"/>
      <c r="D11" s="9"/>
      <c r="E11" s="9" t="s">
        <v>4</v>
      </c>
      <c r="F11" s="9"/>
      <c r="G11" s="9"/>
      <c r="H11" s="9" t="s">
        <v>5</v>
      </c>
      <c r="I11" s="9"/>
      <c r="J11" s="9"/>
      <c r="K11" s="9" t="s">
        <v>6</v>
      </c>
      <c r="L11" s="9"/>
      <c r="M11" s="9"/>
      <c r="N11" s="9" t="s">
        <v>7</v>
      </c>
      <c r="O11" s="9"/>
      <c r="P11" s="9"/>
      <c r="Q11" s="9" t="s">
        <v>8</v>
      </c>
      <c r="R11" s="9"/>
      <c r="S11" s="9"/>
      <c r="T11" s="9" t="s">
        <v>9</v>
      </c>
      <c r="U11" s="9"/>
      <c r="V11" s="9"/>
      <c r="W11" s="9" t="s">
        <v>10</v>
      </c>
      <c r="X11" s="9"/>
      <c r="Y11" s="9"/>
      <c r="Z11" s="10" t="s">
        <v>11</v>
      </c>
      <c r="AA11" s="11"/>
      <c r="AB11" s="11"/>
      <c r="AC11" s="10" t="s">
        <v>12</v>
      </c>
      <c r="AD11" s="11"/>
      <c r="AE11" s="12"/>
      <c r="AF11" s="10" t="s">
        <v>13</v>
      </c>
      <c r="AG11" s="11"/>
      <c r="AH11" s="12"/>
      <c r="AI11" s="9" t="s">
        <v>14</v>
      </c>
      <c r="AJ11" s="9"/>
      <c r="AK11" s="9"/>
      <c r="AL11" s="13" t="s">
        <v>15</v>
      </c>
      <c r="AM11" s="14"/>
      <c r="AN11" s="15"/>
    </row>
    <row r="12" spans="1:40" x14ac:dyDescent="0.25">
      <c r="A12" s="16" t="s">
        <v>16</v>
      </c>
      <c r="B12" s="17">
        <f>B13+B14+B15</f>
        <v>9586.0300000000007</v>
      </c>
      <c r="C12" s="18"/>
      <c r="D12" s="19"/>
      <c r="E12" s="20"/>
      <c r="F12" s="21"/>
      <c r="G12" s="22"/>
      <c r="H12" s="20"/>
      <c r="I12" s="21"/>
      <c r="J12" s="22"/>
      <c r="K12" s="20"/>
      <c r="L12" s="21"/>
      <c r="M12" s="22"/>
      <c r="N12" s="20"/>
      <c r="O12" s="21"/>
      <c r="P12" s="22"/>
      <c r="Q12" s="20"/>
      <c r="R12" s="21"/>
      <c r="S12" s="22"/>
      <c r="T12" s="20"/>
      <c r="U12" s="21"/>
      <c r="V12" s="22"/>
      <c r="W12" s="20"/>
      <c r="X12" s="21"/>
      <c r="Y12" s="22"/>
      <c r="Z12" s="23"/>
      <c r="AA12" s="23"/>
      <c r="AB12" s="23"/>
      <c r="AC12" s="24"/>
      <c r="AD12" s="25"/>
      <c r="AE12" s="26"/>
      <c r="AF12" s="27"/>
      <c r="AG12" s="27"/>
      <c r="AH12" s="27"/>
      <c r="AI12" s="17">
        <f>9586.03</f>
        <v>9586.0300000000007</v>
      </c>
      <c r="AJ12" s="18"/>
      <c r="AK12" s="19"/>
      <c r="AL12" s="28">
        <f>9586.03</f>
        <v>9586.0300000000007</v>
      </c>
      <c r="AM12" s="29"/>
      <c r="AN12" s="30"/>
    </row>
    <row r="13" spans="1:40" x14ac:dyDescent="0.25">
      <c r="A13" s="31" t="s">
        <v>17</v>
      </c>
      <c r="B13" s="32">
        <f>13836</f>
        <v>13836</v>
      </c>
      <c r="C13" s="33"/>
      <c r="D13" s="34"/>
      <c r="E13" s="35"/>
      <c r="F13" s="36"/>
      <c r="G13" s="37"/>
      <c r="H13" s="35"/>
      <c r="I13" s="36"/>
      <c r="J13" s="37"/>
      <c r="K13" s="35"/>
      <c r="L13" s="36"/>
      <c r="M13" s="37"/>
      <c r="N13" s="35"/>
      <c r="O13" s="36"/>
      <c r="P13" s="37"/>
      <c r="Q13" s="35"/>
      <c r="R13" s="36"/>
      <c r="S13" s="37"/>
      <c r="T13" s="35"/>
      <c r="U13" s="36"/>
      <c r="V13" s="37"/>
      <c r="W13" s="35"/>
      <c r="X13" s="36"/>
      <c r="Y13" s="37"/>
      <c r="Z13" s="38"/>
      <c r="AA13" s="38"/>
      <c r="AB13" s="38"/>
      <c r="AC13" s="39"/>
      <c r="AD13" s="40"/>
      <c r="AE13" s="41"/>
      <c r="AF13" s="42"/>
      <c r="AG13" s="42"/>
      <c r="AH13" s="42"/>
      <c r="AI13" s="32"/>
      <c r="AJ13" s="33"/>
      <c r="AK13" s="34"/>
      <c r="AL13" s="43"/>
      <c r="AM13" s="44"/>
      <c r="AN13" s="45"/>
    </row>
    <row r="14" spans="1:40" x14ac:dyDescent="0.25">
      <c r="A14" s="46" t="s">
        <v>18</v>
      </c>
      <c r="B14" s="32">
        <f>642.76</f>
        <v>642.76</v>
      </c>
      <c r="C14" s="33"/>
      <c r="D14" s="34"/>
      <c r="E14" s="35"/>
      <c r="F14" s="36"/>
      <c r="G14" s="37"/>
      <c r="H14" s="35"/>
      <c r="I14" s="36"/>
      <c r="J14" s="37"/>
      <c r="K14" s="35"/>
      <c r="L14" s="36"/>
      <c r="M14" s="37"/>
      <c r="N14" s="35"/>
      <c r="O14" s="36"/>
      <c r="P14" s="37"/>
      <c r="Q14" s="35"/>
      <c r="R14" s="36"/>
      <c r="S14" s="37"/>
      <c r="T14" s="35"/>
      <c r="U14" s="36"/>
      <c r="V14" s="37"/>
      <c r="W14" s="35"/>
      <c r="X14" s="36"/>
      <c r="Y14" s="37"/>
      <c r="Z14" s="38"/>
      <c r="AA14" s="38"/>
      <c r="AB14" s="38"/>
      <c r="AC14" s="39"/>
      <c r="AD14" s="40"/>
      <c r="AE14" s="41"/>
      <c r="AF14" s="42"/>
      <c r="AG14" s="42"/>
      <c r="AH14" s="42"/>
      <c r="AI14" s="32"/>
      <c r="AJ14" s="33"/>
      <c r="AK14" s="34"/>
      <c r="AL14" s="47"/>
      <c r="AM14" s="48"/>
      <c r="AN14" s="49"/>
    </row>
    <row r="15" spans="1:40" x14ac:dyDescent="0.25">
      <c r="A15" s="46" t="s">
        <v>19</v>
      </c>
      <c r="B15" s="32">
        <f>-4892.73</f>
        <v>-4892.7299999999996</v>
      </c>
      <c r="C15" s="33"/>
      <c r="D15" s="34"/>
      <c r="E15" s="35"/>
      <c r="F15" s="36"/>
      <c r="G15" s="37"/>
      <c r="H15" s="35"/>
      <c r="I15" s="36"/>
      <c r="J15" s="37"/>
      <c r="K15" s="35"/>
      <c r="L15" s="36"/>
      <c r="M15" s="37"/>
      <c r="N15" s="35"/>
      <c r="O15" s="36"/>
      <c r="P15" s="37"/>
      <c r="Q15" s="35"/>
      <c r="R15" s="36"/>
      <c r="S15" s="37"/>
      <c r="T15" s="35"/>
      <c r="U15" s="36"/>
      <c r="V15" s="37"/>
      <c r="W15" s="35"/>
      <c r="X15" s="36"/>
      <c r="Y15" s="37"/>
      <c r="Z15" s="38"/>
      <c r="AA15" s="38"/>
      <c r="AB15" s="38"/>
      <c r="AC15" s="39"/>
      <c r="AD15" s="40"/>
      <c r="AE15" s="41"/>
      <c r="AF15" s="42"/>
      <c r="AG15" s="42"/>
      <c r="AH15" s="42"/>
      <c r="AI15" s="32"/>
      <c r="AJ15" s="33"/>
      <c r="AK15" s="34"/>
      <c r="AL15" s="47"/>
      <c r="AM15" s="48"/>
      <c r="AN15" s="49"/>
    </row>
    <row r="16" spans="1:40" x14ac:dyDescent="0.25">
      <c r="A16" s="50" t="s">
        <v>20</v>
      </c>
      <c r="B16" s="51">
        <f>D27</f>
        <v>3009042.79</v>
      </c>
      <c r="C16" s="52"/>
      <c r="D16" s="53"/>
      <c r="E16" s="54"/>
      <c r="F16" s="55"/>
      <c r="G16" s="56"/>
      <c r="H16" s="54"/>
      <c r="I16" s="55"/>
      <c r="J16" s="56"/>
      <c r="K16" s="54"/>
      <c r="L16" s="55"/>
      <c r="M16" s="56"/>
      <c r="N16" s="54"/>
      <c r="O16" s="55"/>
      <c r="P16" s="56"/>
      <c r="Q16" s="54"/>
      <c r="R16" s="55"/>
      <c r="S16" s="56"/>
      <c r="T16" s="54"/>
      <c r="U16" s="55"/>
      <c r="V16" s="56"/>
      <c r="W16" s="54"/>
      <c r="X16" s="55"/>
      <c r="Y16" s="56"/>
      <c r="Z16" s="57"/>
      <c r="AA16" s="57"/>
      <c r="AB16" s="57"/>
      <c r="AC16" s="58"/>
      <c r="AD16" s="59"/>
      <c r="AE16" s="60"/>
      <c r="AF16" s="61"/>
      <c r="AG16" s="61"/>
      <c r="AH16" s="61"/>
      <c r="AI16" s="51">
        <f>AK27</f>
        <v>980903.58000000007</v>
      </c>
      <c r="AJ16" s="52"/>
      <c r="AK16" s="53"/>
      <c r="AL16" s="62">
        <f>AN27</f>
        <v>3989970.9400000004</v>
      </c>
      <c r="AM16" s="63"/>
      <c r="AN16" s="64"/>
    </row>
    <row r="17" spans="1:40" x14ac:dyDescent="0.25">
      <c r="A17" s="65" t="s">
        <v>21</v>
      </c>
      <c r="B17" s="66">
        <f>B101</f>
        <v>1370224.77</v>
      </c>
      <c r="C17" s="67"/>
      <c r="D17" s="68"/>
      <c r="E17" s="69"/>
      <c r="F17" s="70"/>
      <c r="G17" s="71"/>
      <c r="H17" s="69"/>
      <c r="I17" s="70"/>
      <c r="J17" s="71"/>
      <c r="K17" s="69"/>
      <c r="L17" s="70"/>
      <c r="M17" s="71"/>
      <c r="N17" s="69"/>
      <c r="O17" s="70"/>
      <c r="P17" s="71"/>
      <c r="Q17" s="69"/>
      <c r="R17" s="70"/>
      <c r="S17" s="71"/>
      <c r="T17" s="69"/>
      <c r="U17" s="70"/>
      <c r="V17" s="71"/>
      <c r="W17" s="69"/>
      <c r="X17" s="70"/>
      <c r="Y17" s="71"/>
      <c r="Z17" s="72"/>
      <c r="AA17" s="72"/>
      <c r="AB17" s="72"/>
      <c r="AC17" s="73"/>
      <c r="AD17" s="74"/>
      <c r="AE17" s="75"/>
      <c r="AF17" s="76"/>
      <c r="AG17" s="76"/>
      <c r="AH17" s="76"/>
      <c r="AI17" s="66">
        <f>AI99</f>
        <v>552767.11</v>
      </c>
      <c r="AJ17" s="67"/>
      <c r="AK17" s="68"/>
      <c r="AL17" s="77">
        <f>AM99</f>
        <v>1922991.8800000001</v>
      </c>
      <c r="AM17" s="78"/>
      <c r="AN17" s="79"/>
    </row>
    <row r="18" spans="1:40" x14ac:dyDescent="0.25">
      <c r="A18" s="50" t="s">
        <v>22</v>
      </c>
      <c r="B18" s="80">
        <f>B16-B17+B12</f>
        <v>1648404.05</v>
      </c>
      <c r="C18" s="81"/>
      <c r="D18" s="82"/>
      <c r="E18" s="83"/>
      <c r="F18" s="84"/>
      <c r="G18" s="85"/>
      <c r="H18" s="83"/>
      <c r="I18" s="84"/>
      <c r="J18" s="85"/>
      <c r="K18" s="83"/>
      <c r="L18" s="84"/>
      <c r="M18" s="85"/>
      <c r="N18" s="83"/>
      <c r="O18" s="84"/>
      <c r="P18" s="85"/>
      <c r="Q18" s="83"/>
      <c r="R18" s="84"/>
      <c r="S18" s="85"/>
      <c r="T18" s="83"/>
      <c r="U18" s="84"/>
      <c r="V18" s="85"/>
      <c r="W18" s="83"/>
      <c r="X18" s="84"/>
      <c r="Y18" s="85"/>
      <c r="Z18" s="86"/>
      <c r="AA18" s="87"/>
      <c r="AB18" s="87"/>
      <c r="AC18" s="88"/>
      <c r="AD18" s="89"/>
      <c r="AE18" s="90"/>
      <c r="AF18" s="91"/>
      <c r="AG18" s="91"/>
      <c r="AH18" s="91"/>
      <c r="AI18" s="80">
        <f>AI16-AI17</f>
        <v>428136.47000000009</v>
      </c>
      <c r="AJ18" s="81"/>
      <c r="AK18" s="82"/>
      <c r="AL18" s="92">
        <f>AL16-AL17+AL12</f>
        <v>2076565.0900000003</v>
      </c>
      <c r="AM18" s="92"/>
      <c r="AN18" s="92"/>
    </row>
    <row r="19" spans="1:40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</row>
    <row r="20" spans="1:40" x14ac:dyDescent="0.25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</row>
    <row r="21" spans="1:40" x14ac:dyDescent="0.25">
      <c r="A21" s="93" t="s">
        <v>23</v>
      </c>
      <c r="B21" s="9" t="s">
        <v>3</v>
      </c>
      <c r="C21" s="9"/>
      <c r="D21" s="9"/>
      <c r="E21" s="10" t="s">
        <v>4</v>
      </c>
      <c r="F21" s="11"/>
      <c r="G21" s="12"/>
      <c r="H21" s="10" t="s">
        <v>5</v>
      </c>
      <c r="I21" s="11"/>
      <c r="J21" s="12"/>
      <c r="K21" s="10" t="s">
        <v>6</v>
      </c>
      <c r="L21" s="11"/>
      <c r="M21" s="12"/>
      <c r="N21" s="10" t="s">
        <v>7</v>
      </c>
      <c r="O21" s="11"/>
      <c r="P21" s="12"/>
      <c r="Q21" s="10" t="s">
        <v>8</v>
      </c>
      <c r="R21" s="11"/>
      <c r="S21" s="12"/>
      <c r="T21" s="10" t="s">
        <v>9</v>
      </c>
      <c r="U21" s="11"/>
      <c r="V21" s="12"/>
      <c r="W21" s="10" t="s">
        <v>10</v>
      </c>
      <c r="X21" s="11"/>
      <c r="Y21" s="12"/>
      <c r="Z21" s="10" t="s">
        <v>11</v>
      </c>
      <c r="AA21" s="11"/>
      <c r="AB21" s="11"/>
      <c r="AC21" s="10" t="s">
        <v>12</v>
      </c>
      <c r="AD21" s="11"/>
      <c r="AE21" s="12"/>
      <c r="AF21" s="10" t="s">
        <v>13</v>
      </c>
      <c r="AG21" s="11"/>
      <c r="AH21" s="12"/>
      <c r="AI21" s="9" t="s">
        <v>14</v>
      </c>
      <c r="AJ21" s="9"/>
      <c r="AK21" s="9"/>
      <c r="AL21" s="94" t="s">
        <v>24</v>
      </c>
      <c r="AM21" s="95" t="s">
        <v>15</v>
      </c>
      <c r="AN21" s="95"/>
    </row>
    <row r="22" spans="1:40" x14ac:dyDescent="0.25">
      <c r="A22" s="96"/>
      <c r="B22" s="97" t="s">
        <v>25</v>
      </c>
      <c r="C22" s="98"/>
      <c r="D22" s="99" t="s">
        <v>26</v>
      </c>
      <c r="E22" s="99" t="s">
        <v>27</v>
      </c>
      <c r="F22" s="99" t="s">
        <v>28</v>
      </c>
      <c r="G22" s="99" t="s">
        <v>26</v>
      </c>
      <c r="H22" s="99" t="s">
        <v>27</v>
      </c>
      <c r="I22" s="99" t="s">
        <v>28</v>
      </c>
      <c r="J22" s="99" t="s">
        <v>26</v>
      </c>
      <c r="K22" s="99" t="s">
        <v>27</v>
      </c>
      <c r="L22" s="99" t="s">
        <v>28</v>
      </c>
      <c r="M22" s="99" t="s">
        <v>26</v>
      </c>
      <c r="N22" s="99" t="s">
        <v>27</v>
      </c>
      <c r="O22" s="99" t="s">
        <v>28</v>
      </c>
      <c r="P22" s="99" t="s">
        <v>26</v>
      </c>
      <c r="Q22" s="99" t="s">
        <v>27</v>
      </c>
      <c r="R22" s="99" t="s">
        <v>28</v>
      </c>
      <c r="S22" s="99" t="s">
        <v>26</v>
      </c>
      <c r="T22" s="99" t="s">
        <v>27</v>
      </c>
      <c r="U22" s="99" t="s">
        <v>28</v>
      </c>
      <c r="V22" s="99" t="s">
        <v>26</v>
      </c>
      <c r="W22" s="99" t="s">
        <v>27</v>
      </c>
      <c r="X22" s="99" t="s">
        <v>28</v>
      </c>
      <c r="Y22" s="99" t="s">
        <v>26</v>
      </c>
      <c r="Z22" s="99" t="s">
        <v>27</v>
      </c>
      <c r="AA22" s="99" t="s">
        <v>28</v>
      </c>
      <c r="AB22" s="100" t="s">
        <v>26</v>
      </c>
      <c r="AC22" s="101"/>
      <c r="AD22" s="101"/>
      <c r="AE22" s="101"/>
      <c r="AF22" s="99" t="s">
        <v>27</v>
      </c>
      <c r="AG22" s="99" t="s">
        <v>28</v>
      </c>
      <c r="AH22" s="101"/>
      <c r="AI22" s="99" t="s">
        <v>27</v>
      </c>
      <c r="AJ22" s="99" t="s">
        <v>28</v>
      </c>
      <c r="AK22" s="99" t="s">
        <v>26</v>
      </c>
      <c r="AL22" s="94"/>
      <c r="AM22" s="102" t="s">
        <v>25</v>
      </c>
      <c r="AN22" s="102" t="s">
        <v>26</v>
      </c>
    </row>
    <row r="23" spans="1:40" x14ac:dyDescent="0.25">
      <c r="A23" s="103" t="s">
        <v>29</v>
      </c>
      <c r="B23" s="104">
        <v>158</v>
      </c>
      <c r="C23" s="105"/>
      <c r="D23" s="106">
        <f>17760.02+186880+2455.53+1205.11</f>
        <v>208300.65999999997</v>
      </c>
      <c r="E23" s="107"/>
      <c r="F23" s="107"/>
      <c r="G23" s="106"/>
      <c r="H23" s="107"/>
      <c r="I23" s="107"/>
      <c r="J23" s="106"/>
      <c r="K23" s="107"/>
      <c r="L23" s="107"/>
      <c r="M23" s="106"/>
      <c r="N23" s="107"/>
      <c r="O23" s="107"/>
      <c r="P23" s="106"/>
      <c r="Q23" s="107"/>
      <c r="R23" s="107"/>
      <c r="S23" s="106"/>
      <c r="T23" s="107"/>
      <c r="U23" s="107"/>
      <c r="V23" s="106"/>
      <c r="W23" s="107"/>
      <c r="X23" s="107"/>
      <c r="Y23" s="106"/>
      <c r="Z23" s="106"/>
      <c r="AA23" s="106"/>
      <c r="AB23" s="108"/>
      <c r="AC23" s="109"/>
      <c r="AD23" s="109"/>
      <c r="AE23" s="109"/>
      <c r="AF23" s="107"/>
      <c r="AG23" s="110"/>
      <c r="AH23" s="109"/>
      <c r="AI23" s="107"/>
      <c r="AJ23" s="110"/>
      <c r="AK23" s="111"/>
      <c r="AL23" s="112"/>
      <c r="AM23" s="113">
        <f>140+18+5584</f>
        <v>5742</v>
      </c>
      <c r="AN23" s="114">
        <f>208300.66</f>
        <v>208300.66</v>
      </c>
    </row>
    <row r="24" spans="1:40" x14ac:dyDescent="0.25">
      <c r="A24" s="46" t="s">
        <v>30</v>
      </c>
      <c r="B24" s="104">
        <f>5584</f>
        <v>5584</v>
      </c>
      <c r="C24" s="105"/>
      <c r="D24" s="106">
        <f>2625767</f>
        <v>2625767</v>
      </c>
      <c r="E24" s="107">
        <v>-5</v>
      </c>
      <c r="F24" s="107">
        <v>25</v>
      </c>
      <c r="G24" s="115">
        <f>111920</f>
        <v>111920</v>
      </c>
      <c r="H24" s="107">
        <v>-6</v>
      </c>
      <c r="I24" s="107">
        <v>11</v>
      </c>
      <c r="J24" s="115">
        <v>111920</v>
      </c>
      <c r="K24" s="107">
        <v>-10</v>
      </c>
      <c r="L24" s="107">
        <v>15</v>
      </c>
      <c r="M24" s="115">
        <v>113115</v>
      </c>
      <c r="N24" s="107">
        <v>-8</v>
      </c>
      <c r="O24" s="107">
        <v>56</v>
      </c>
      <c r="P24" s="115">
        <v>113300</v>
      </c>
      <c r="Q24" s="107">
        <v>-19</v>
      </c>
      <c r="R24" s="107">
        <v>11</v>
      </c>
      <c r="S24" s="115">
        <v>160820</v>
      </c>
      <c r="T24" s="107">
        <v>-2</v>
      </c>
      <c r="U24" s="107">
        <v>12</v>
      </c>
      <c r="V24" s="115">
        <v>99920.03</v>
      </c>
      <c r="W24" s="107">
        <f>-2</f>
        <v>-2</v>
      </c>
      <c r="X24" s="107">
        <f>14</f>
        <v>14</v>
      </c>
      <c r="Y24" s="115">
        <f>120+360+140+360+100+360+360+360+360+360+360+360+360+360+360+360+360+360+360+360+360+360+360+360+360+40+360+20+360+120+360+360+360+360+360+360+360+20+20+20+20+20+20+20+20+360+20+360+360+20+20+20+1140+111800</f>
        <v>125960</v>
      </c>
      <c r="Z24" s="116">
        <f>-9</f>
        <v>-9</v>
      </c>
      <c r="AA24" s="117">
        <f>8</f>
        <v>8</v>
      </c>
      <c r="AB24" s="118">
        <f>1440+1500+3240+5780+4720+4020+500</f>
        <v>21200</v>
      </c>
      <c r="AC24" s="119">
        <f>-14</f>
        <v>-14</v>
      </c>
      <c r="AD24" s="120">
        <v>12</v>
      </c>
      <c r="AE24" s="121">
        <f>20+80+360+20+60+20+20+20+360+31620</f>
        <v>32580</v>
      </c>
      <c r="AF24" s="107">
        <v>-2</v>
      </c>
      <c r="AG24" s="122">
        <v>68</v>
      </c>
      <c r="AH24" s="121">
        <f>20+13740+20+20</f>
        <v>13800</v>
      </c>
      <c r="AI24" s="107">
        <f>-5-6-10-8-19-2-2-9-14-2</f>
        <v>-77</v>
      </c>
      <c r="AJ24" s="110">
        <f>25+11+15+56+11+12+14+8+12+68</f>
        <v>232</v>
      </c>
      <c r="AK24" s="111">
        <f>G24+J24+M24+P24+S24+V24+Y24+AB24+AE24+AH24</f>
        <v>904535.03</v>
      </c>
      <c r="AL24" s="123">
        <f>AK24/AK27</f>
        <v>0.92214469234580632</v>
      </c>
      <c r="AM24" s="124">
        <f>E24+F24+H24+I24+K24+L24+N24+O24+Q24+R24+T24+U24+W24+X24+Z24+AA24+AC24+AD24+AF24+AG24</f>
        <v>155</v>
      </c>
      <c r="AN24" s="125">
        <f>2625767+AK24</f>
        <v>3530302.0300000003</v>
      </c>
    </row>
    <row r="25" spans="1:40" x14ac:dyDescent="0.25">
      <c r="A25" s="126" t="s">
        <v>31</v>
      </c>
      <c r="B25" s="104"/>
      <c r="C25" s="105"/>
      <c r="D25" s="106">
        <f>174975.13</f>
        <v>174975.13</v>
      </c>
      <c r="E25" s="107"/>
      <c r="F25" s="107"/>
      <c r="G25" s="115">
        <f>8732.32</f>
        <v>8732.32</v>
      </c>
      <c r="H25" s="107"/>
      <c r="I25" s="107"/>
      <c r="J25" s="115">
        <v>6781.57</v>
      </c>
      <c r="K25" s="107"/>
      <c r="L25" s="107"/>
      <c r="M25" s="115">
        <v>6199.68</v>
      </c>
      <c r="N25" s="107"/>
      <c r="O25" s="107"/>
      <c r="P25" s="115">
        <v>7252.4</v>
      </c>
      <c r="Q25" s="107"/>
      <c r="R25" s="107"/>
      <c r="S25" s="115">
        <v>8016.26</v>
      </c>
      <c r="T25" s="107"/>
      <c r="U25" s="107"/>
      <c r="V25" s="115">
        <v>7378.23</v>
      </c>
      <c r="W25" s="107"/>
      <c r="X25" s="107"/>
      <c r="Y25" s="115">
        <f>9188.45</f>
        <v>9188.4500000000007</v>
      </c>
      <c r="Z25" s="106"/>
      <c r="AA25" s="106"/>
      <c r="AB25" s="118">
        <f>2635.97+1659.5+3172.24+159.75</f>
        <v>7627.4599999999991</v>
      </c>
      <c r="AC25" s="121"/>
      <c r="AD25" s="121"/>
      <c r="AE25" s="121">
        <f>3663.57+2420.54+1323.76</f>
        <v>7407.8700000000008</v>
      </c>
      <c r="AF25" s="107"/>
      <c r="AG25" s="122"/>
      <c r="AH25" s="121">
        <f>3592.28+378.5+1181.62+712.74+1919.17</f>
        <v>7784.3099999999995</v>
      </c>
      <c r="AI25" s="107"/>
      <c r="AJ25" s="110"/>
      <c r="AK25" s="111">
        <f>G25+J25+M25+P25+S25+V25+Y25+AB25+AE25+AH25</f>
        <v>76368.55</v>
      </c>
      <c r="AL25" s="123">
        <f>AK25/AK27</f>
        <v>7.7855307654193698E-2</v>
      </c>
      <c r="AM25" s="110"/>
      <c r="AN25" s="125">
        <f>174975.13+AK25</f>
        <v>251343.68</v>
      </c>
    </row>
    <row r="26" spans="1:40" x14ac:dyDescent="0.25">
      <c r="A26" s="110" t="s">
        <v>32</v>
      </c>
      <c r="B26" s="104"/>
      <c r="C26" s="105"/>
      <c r="D26" s="106"/>
      <c r="E26" s="107"/>
      <c r="F26" s="107"/>
      <c r="G26" s="106"/>
      <c r="H26" s="107"/>
      <c r="I26" s="107"/>
      <c r="J26" s="106"/>
      <c r="K26" s="107"/>
      <c r="L26" s="107"/>
      <c r="M26" s="106"/>
      <c r="N26" s="107"/>
      <c r="O26" s="107"/>
      <c r="P26" s="106"/>
      <c r="Q26" s="107"/>
      <c r="R26" s="107"/>
      <c r="S26" s="106"/>
      <c r="T26" s="107"/>
      <c r="U26" s="107"/>
      <c r="V26" s="106"/>
      <c r="W26" s="107"/>
      <c r="X26" s="107"/>
      <c r="Y26" s="106"/>
      <c r="Z26" s="106"/>
      <c r="AA26" s="106"/>
      <c r="AB26" s="108"/>
      <c r="AC26" s="109"/>
      <c r="AD26" s="109"/>
      <c r="AE26" s="109"/>
      <c r="AF26" s="107"/>
      <c r="AG26" s="110"/>
      <c r="AH26" s="109"/>
      <c r="AI26" s="107"/>
      <c r="AJ26" s="110"/>
      <c r="AK26" s="111"/>
      <c r="AL26" s="112"/>
      <c r="AM26" s="113"/>
      <c r="AN26" s="114">
        <f>24.57</f>
        <v>24.57</v>
      </c>
    </row>
    <row r="27" spans="1:40" x14ac:dyDescent="0.25">
      <c r="A27" s="127" t="s">
        <v>33</v>
      </c>
      <c r="B27" s="128">
        <f>SUM(B23:C26)</f>
        <v>5742</v>
      </c>
      <c r="C27" s="129"/>
      <c r="D27" s="130">
        <f>SUM(D23:D26)</f>
        <v>3009042.79</v>
      </c>
      <c r="E27" s="128">
        <f>B27+E24+F24</f>
        <v>5762</v>
      </c>
      <c r="F27" s="129"/>
      <c r="G27" s="130">
        <f>SUM(G23:G26)</f>
        <v>120652.32</v>
      </c>
      <c r="H27" s="128">
        <f>E27+H24+I24</f>
        <v>5767</v>
      </c>
      <c r="I27" s="129"/>
      <c r="J27" s="130">
        <f>SUM(J23:J26)</f>
        <v>118701.57</v>
      </c>
      <c r="K27" s="128">
        <f>H27+K24+L24</f>
        <v>5772</v>
      </c>
      <c r="L27" s="129"/>
      <c r="M27" s="130">
        <f>SUM(M23:M26)</f>
        <v>119314.68</v>
      </c>
      <c r="N27" s="128">
        <f>K27+N24+O24</f>
        <v>5820</v>
      </c>
      <c r="O27" s="129"/>
      <c r="P27" s="130">
        <f>SUM(P23:P26)</f>
        <v>120552.4</v>
      </c>
      <c r="Q27" s="128">
        <f>N27+Q24+R24</f>
        <v>5812</v>
      </c>
      <c r="R27" s="129"/>
      <c r="S27" s="130">
        <f>SUM(S23:S26)</f>
        <v>168836.26</v>
      </c>
      <c r="T27" s="128">
        <f>Q27+T24+U24</f>
        <v>5822</v>
      </c>
      <c r="U27" s="129"/>
      <c r="V27" s="130">
        <f>SUM(V23:V26)</f>
        <v>107298.26</v>
      </c>
      <c r="W27" s="128">
        <f>T27+W24+X24</f>
        <v>5834</v>
      </c>
      <c r="X27" s="129"/>
      <c r="Y27" s="130">
        <f>SUM(Y23:Y26)</f>
        <v>135148.45000000001</v>
      </c>
      <c r="Z27" s="131">
        <f>W27+Z24+AA24</f>
        <v>5833</v>
      </c>
      <c r="AA27" s="132"/>
      <c r="AB27" s="133">
        <f>SUM(AB23:AB26)</f>
        <v>28827.46</v>
      </c>
      <c r="AC27" s="134">
        <f>Z27+AC24+AD24</f>
        <v>5831</v>
      </c>
      <c r="AD27" s="134"/>
      <c r="AE27" s="135">
        <f>SUM(AE23:AE26)</f>
        <v>39987.870000000003</v>
      </c>
      <c r="AF27" s="134">
        <f>AC27+AF24+AG24</f>
        <v>5897</v>
      </c>
      <c r="AG27" s="134"/>
      <c r="AH27" s="136">
        <f>AH24+AH25</f>
        <v>21584.309999999998</v>
      </c>
      <c r="AI27" s="128">
        <f>B27+AI24+AJ24</f>
        <v>5897</v>
      </c>
      <c r="AJ27" s="129"/>
      <c r="AK27" s="130">
        <f>SUM(AK23:AK26)</f>
        <v>980903.58000000007</v>
      </c>
      <c r="AL27" s="137">
        <f>AK27/AK27</f>
        <v>1</v>
      </c>
      <c r="AM27" s="138">
        <f>SUM(AM23:AM26)</f>
        <v>5897</v>
      </c>
      <c r="AN27" s="139">
        <f>SUM(AN23:AN26)</f>
        <v>3989970.9400000004</v>
      </c>
    </row>
    <row r="28" spans="1:40" x14ac:dyDescent="0.25">
      <c r="A28" s="140"/>
      <c r="B28" s="140"/>
      <c r="C28" s="140"/>
      <c r="D28" s="140"/>
      <c r="E28" s="140"/>
      <c r="F28" s="140"/>
      <c r="G28" s="140"/>
      <c r="H28" s="140"/>
      <c r="I28" s="140"/>
      <c r="J28" s="140"/>
      <c r="K28" s="140"/>
      <c r="L28" s="140"/>
      <c r="M28" s="140"/>
      <c r="N28" s="140"/>
      <c r="O28" s="140"/>
      <c r="P28" s="140"/>
      <c r="Q28" s="140"/>
      <c r="R28" s="140"/>
      <c r="S28" s="140"/>
      <c r="T28" s="140"/>
      <c r="U28" s="140"/>
      <c r="V28" s="140"/>
      <c r="W28" s="140"/>
      <c r="X28" s="140"/>
      <c r="Y28" s="140"/>
      <c r="Z28" s="140"/>
      <c r="AA28" s="140"/>
      <c r="AB28" s="140"/>
      <c r="AC28" s="140"/>
      <c r="AD28" s="140"/>
      <c r="AE28" s="140"/>
      <c r="AF28" s="140"/>
      <c r="AG28" s="140"/>
      <c r="AH28" s="140"/>
      <c r="AI28" s="140"/>
      <c r="AJ28" s="140"/>
      <c r="AK28" s="140"/>
      <c r="AL28" s="140"/>
      <c r="AM28" s="140"/>
      <c r="AN28" s="140"/>
    </row>
    <row r="29" spans="1:40" x14ac:dyDescent="0.25">
      <c r="A29" s="140"/>
      <c r="B29" s="140"/>
      <c r="C29" s="140"/>
      <c r="D29" s="140"/>
      <c r="E29" s="140"/>
      <c r="F29" s="140"/>
      <c r="G29" s="140"/>
      <c r="H29" s="140"/>
      <c r="I29" s="140"/>
      <c r="J29" s="140"/>
      <c r="K29" s="140"/>
      <c r="L29" s="140"/>
      <c r="M29" s="140"/>
      <c r="N29" s="140"/>
      <c r="O29" s="140"/>
      <c r="P29" s="140"/>
      <c r="Q29" s="140"/>
      <c r="R29" s="140"/>
      <c r="S29" s="140"/>
      <c r="T29" s="140"/>
      <c r="U29" s="140"/>
      <c r="V29" s="140"/>
      <c r="W29" s="140"/>
      <c r="X29" s="140"/>
      <c r="Y29" s="140"/>
      <c r="Z29" s="140"/>
      <c r="AA29" s="140"/>
      <c r="AB29" s="140"/>
      <c r="AC29" s="140"/>
      <c r="AD29" s="140"/>
      <c r="AE29" s="140"/>
      <c r="AF29" s="140"/>
      <c r="AG29" s="140"/>
      <c r="AH29" s="140"/>
      <c r="AI29" s="140"/>
      <c r="AJ29" s="140"/>
      <c r="AK29" s="140"/>
      <c r="AL29" s="140"/>
      <c r="AM29" s="140"/>
      <c r="AN29" s="140"/>
    </row>
    <row r="30" spans="1:40" ht="15.75" x14ac:dyDescent="0.25">
      <c r="A30" s="141" t="s">
        <v>34</v>
      </c>
      <c r="B30" s="141"/>
      <c r="C30" s="141"/>
      <c r="D30" s="141"/>
      <c r="E30" s="141"/>
      <c r="F30" s="141"/>
      <c r="G30" s="141"/>
      <c r="H30" s="141"/>
      <c r="I30" s="141"/>
      <c r="J30" s="141"/>
      <c r="K30" s="141"/>
      <c r="L30" s="141"/>
      <c r="M30" s="141"/>
      <c r="N30" s="141"/>
      <c r="O30" s="141"/>
      <c r="P30" s="141"/>
      <c r="Q30" s="141"/>
      <c r="R30" s="141"/>
      <c r="S30" s="141"/>
      <c r="T30" s="141"/>
      <c r="U30" s="141"/>
      <c r="V30" s="141"/>
      <c r="W30" s="141"/>
      <c r="X30" s="141"/>
      <c r="Y30" s="141"/>
      <c r="Z30" s="141"/>
      <c r="AA30" s="141"/>
      <c r="AB30" s="141"/>
      <c r="AC30" s="141"/>
      <c r="AD30" s="141"/>
      <c r="AE30" s="141"/>
      <c r="AF30" s="141"/>
      <c r="AG30" s="141"/>
      <c r="AH30" s="141"/>
      <c r="AI30" s="141"/>
      <c r="AJ30" s="141"/>
      <c r="AK30" s="141"/>
      <c r="AL30" s="141"/>
      <c r="AM30" s="141"/>
      <c r="AN30" s="141"/>
    </row>
    <row r="31" spans="1:40" x14ac:dyDescent="0.25">
      <c r="A31" s="142"/>
      <c r="B31" s="142"/>
      <c r="C31" s="142"/>
      <c r="D31" s="142"/>
      <c r="E31" s="142"/>
      <c r="F31" s="142"/>
      <c r="G31" s="142"/>
      <c r="H31" s="142"/>
      <c r="I31" s="142"/>
      <c r="J31" s="142"/>
      <c r="K31" s="142"/>
      <c r="L31" s="142"/>
      <c r="M31" s="142"/>
      <c r="N31" s="142"/>
      <c r="O31" s="142"/>
      <c r="P31" s="142"/>
      <c r="Q31" s="142"/>
      <c r="R31" s="142"/>
      <c r="S31" s="142"/>
      <c r="T31" s="142"/>
      <c r="U31" s="142"/>
      <c r="V31" s="142"/>
      <c r="W31" s="142"/>
      <c r="X31" s="142"/>
      <c r="Y31" s="142"/>
      <c r="Z31" s="142"/>
      <c r="AA31" s="142"/>
      <c r="AB31" s="142"/>
      <c r="AC31" s="142"/>
      <c r="AD31" s="142"/>
      <c r="AE31" s="142"/>
      <c r="AF31" s="142"/>
      <c r="AG31" s="142"/>
      <c r="AH31" s="142"/>
      <c r="AI31" s="142"/>
      <c r="AJ31" s="142"/>
      <c r="AK31" s="142"/>
      <c r="AL31" s="142"/>
      <c r="AM31" s="142"/>
      <c r="AN31" s="142"/>
    </row>
    <row r="32" spans="1:40" x14ac:dyDescent="0.25">
      <c r="A32" s="143" t="s">
        <v>21</v>
      </c>
      <c r="B32" s="9" t="s">
        <v>3</v>
      </c>
      <c r="C32" s="9"/>
      <c r="D32" s="9"/>
      <c r="E32" s="144" t="s">
        <v>4</v>
      </c>
      <c r="F32" s="145"/>
      <c r="G32" s="145"/>
      <c r="H32" s="144" t="s">
        <v>5</v>
      </c>
      <c r="I32" s="145"/>
      <c r="J32" s="145"/>
      <c r="K32" s="146" t="s">
        <v>6</v>
      </c>
      <c r="L32" s="146"/>
      <c r="M32" s="146"/>
      <c r="N32" s="144" t="s">
        <v>7</v>
      </c>
      <c r="O32" s="145"/>
      <c r="P32" s="147"/>
      <c r="Q32" s="144" t="s">
        <v>8</v>
      </c>
      <c r="R32" s="145"/>
      <c r="S32" s="145"/>
      <c r="T32" s="144" t="s">
        <v>9</v>
      </c>
      <c r="U32" s="145"/>
      <c r="V32" s="147"/>
      <c r="W32" s="10" t="s">
        <v>10</v>
      </c>
      <c r="X32" s="11"/>
      <c r="Y32" s="11"/>
      <c r="Z32" s="10" t="s">
        <v>11</v>
      </c>
      <c r="AA32" s="11"/>
      <c r="AB32" s="11"/>
      <c r="AC32" s="9" t="s">
        <v>12</v>
      </c>
      <c r="AD32" s="9"/>
      <c r="AE32" s="9"/>
      <c r="AF32" s="10" t="s">
        <v>13</v>
      </c>
      <c r="AG32" s="11"/>
      <c r="AH32" s="12"/>
      <c r="AI32" s="9" t="s">
        <v>14</v>
      </c>
      <c r="AJ32" s="9"/>
      <c r="AK32" s="9"/>
      <c r="AL32" s="148" t="s">
        <v>24</v>
      </c>
      <c r="AM32" s="95" t="s">
        <v>15</v>
      </c>
      <c r="AN32" s="95"/>
    </row>
    <row r="33" spans="1:40" x14ac:dyDescent="0.25">
      <c r="A33" s="149" t="s">
        <v>35</v>
      </c>
      <c r="B33" s="150">
        <f>SUM(B34:D41)</f>
        <v>171975.98</v>
      </c>
      <c r="C33" s="150"/>
      <c r="D33" s="150"/>
      <c r="E33" s="151">
        <f>SUM(E34:E41)</f>
        <v>2990.34</v>
      </c>
      <c r="F33" s="152"/>
      <c r="G33" s="153"/>
      <c r="H33" s="151">
        <f>SUM(H34:H41)</f>
        <v>15532.5</v>
      </c>
      <c r="I33" s="152"/>
      <c r="J33" s="153"/>
      <c r="K33" s="154">
        <f>SUM(K34:K41)</f>
        <v>5932.5</v>
      </c>
      <c r="L33" s="154"/>
      <c r="M33" s="154"/>
      <c r="N33" s="151">
        <f t="shared" ref="N33" si="0">SUM(N34:N41)</f>
        <v>5682.5</v>
      </c>
      <c r="O33" s="152"/>
      <c r="P33" s="153"/>
      <c r="Q33" s="151">
        <f t="shared" ref="Q33" si="1">SUM(Q34:Q41)</f>
        <v>5678.15</v>
      </c>
      <c r="R33" s="152"/>
      <c r="S33" s="153"/>
      <c r="T33" s="151">
        <f t="shared" ref="T33" si="2">SUM(T34:T41)</f>
        <v>5574.27</v>
      </c>
      <c r="U33" s="152"/>
      <c r="V33" s="153"/>
      <c r="W33" s="155">
        <f>SUM(W34:Y41)</f>
        <v>11532.5</v>
      </c>
      <c r="X33" s="156"/>
      <c r="Y33" s="156"/>
      <c r="Z33" s="155">
        <f>SUM(Z34:AB41)</f>
        <v>11952.5</v>
      </c>
      <c r="AA33" s="156"/>
      <c r="AB33" s="156"/>
      <c r="AC33" s="150">
        <f>SUM(AC34:AE41)</f>
        <v>11952.5</v>
      </c>
      <c r="AD33" s="150"/>
      <c r="AE33" s="150"/>
      <c r="AF33" s="155">
        <f>SUM(AF34:AH41)</f>
        <v>16186.41</v>
      </c>
      <c r="AG33" s="156"/>
      <c r="AH33" s="156"/>
      <c r="AI33" s="150">
        <f>SUM(AI34:AK41)</f>
        <v>93014.17</v>
      </c>
      <c r="AJ33" s="150"/>
      <c r="AK33" s="150"/>
      <c r="AL33" s="157">
        <f>AI33/AI99</f>
        <v>0.16827008756002143</v>
      </c>
      <c r="AM33" s="158">
        <f>SUM(AM34:AN41)</f>
        <v>263350.20999999996</v>
      </c>
      <c r="AN33" s="158"/>
    </row>
    <row r="34" spans="1:40" x14ac:dyDescent="0.25">
      <c r="A34" s="159" t="s">
        <v>36</v>
      </c>
      <c r="B34" s="160">
        <f>61810.3</f>
        <v>61810.3</v>
      </c>
      <c r="C34" s="160"/>
      <c r="D34" s="160"/>
      <c r="E34" s="161">
        <v>1790.34</v>
      </c>
      <c r="F34" s="162"/>
      <c r="G34" s="163"/>
      <c r="H34" s="161">
        <v>10000</v>
      </c>
      <c r="I34" s="162"/>
      <c r="J34" s="163"/>
      <c r="K34" s="164">
        <v>0</v>
      </c>
      <c r="L34" s="164"/>
      <c r="M34" s="164"/>
      <c r="N34" s="161">
        <v>0</v>
      </c>
      <c r="O34" s="162"/>
      <c r="P34" s="163"/>
      <c r="Q34" s="165">
        <v>0</v>
      </c>
      <c r="R34" s="166"/>
      <c r="S34" s="167"/>
      <c r="T34" s="161">
        <v>0</v>
      </c>
      <c r="U34" s="162"/>
      <c r="V34" s="163"/>
      <c r="W34" s="165">
        <v>0</v>
      </c>
      <c r="X34" s="166"/>
      <c r="Y34" s="166"/>
      <c r="Z34" s="165">
        <v>0</v>
      </c>
      <c r="AA34" s="166"/>
      <c r="AB34" s="167"/>
      <c r="AC34" s="168">
        <v>0</v>
      </c>
      <c r="AD34" s="168"/>
      <c r="AE34" s="168"/>
      <c r="AF34" s="165">
        <v>0</v>
      </c>
      <c r="AG34" s="166"/>
      <c r="AH34" s="167"/>
      <c r="AI34" s="160">
        <f>1790.34+10000</f>
        <v>11790.34</v>
      </c>
      <c r="AJ34" s="160"/>
      <c r="AK34" s="160"/>
      <c r="AL34" s="169">
        <f>AI34/AI99</f>
        <v>2.1329669921931499E-2</v>
      </c>
      <c r="AM34" s="168">
        <f>60410.3+AI34</f>
        <v>72200.639999999999</v>
      </c>
      <c r="AN34" s="168"/>
    </row>
    <row r="35" spans="1:40" x14ac:dyDescent="0.25">
      <c r="A35" s="170" t="s">
        <v>37</v>
      </c>
      <c r="B35" s="160">
        <v>0</v>
      </c>
      <c r="C35" s="160"/>
      <c r="D35" s="160"/>
      <c r="E35" s="165">
        <v>0</v>
      </c>
      <c r="F35" s="166"/>
      <c r="G35" s="167"/>
      <c r="H35" s="165">
        <v>0</v>
      </c>
      <c r="I35" s="166"/>
      <c r="J35" s="167"/>
      <c r="K35" s="164">
        <v>0</v>
      </c>
      <c r="L35" s="164"/>
      <c r="M35" s="164"/>
      <c r="N35" s="165">
        <v>0</v>
      </c>
      <c r="O35" s="166"/>
      <c r="P35" s="167"/>
      <c r="Q35" s="165">
        <v>0</v>
      </c>
      <c r="R35" s="166"/>
      <c r="S35" s="167"/>
      <c r="T35" s="165">
        <v>0</v>
      </c>
      <c r="U35" s="166"/>
      <c r="V35" s="167"/>
      <c r="W35" s="165">
        <f>6000</f>
        <v>6000</v>
      </c>
      <c r="X35" s="166"/>
      <c r="Y35" s="166"/>
      <c r="Z35" s="165">
        <f>6000</f>
        <v>6000</v>
      </c>
      <c r="AA35" s="166"/>
      <c r="AB35" s="167"/>
      <c r="AC35" s="168">
        <f>6000</f>
        <v>6000</v>
      </c>
      <c r="AD35" s="168"/>
      <c r="AE35" s="168"/>
      <c r="AF35" s="165">
        <f>6000</f>
        <v>6000</v>
      </c>
      <c r="AG35" s="166"/>
      <c r="AH35" s="167"/>
      <c r="AI35" s="160">
        <f>6000+6000+6000+6000</f>
        <v>24000</v>
      </c>
      <c r="AJ35" s="160"/>
      <c r="AK35" s="160"/>
      <c r="AL35" s="169">
        <f>AI35/AI99</f>
        <v>4.3417923327601748E-2</v>
      </c>
      <c r="AM35" s="165">
        <f>0+AI35</f>
        <v>24000</v>
      </c>
      <c r="AN35" s="167"/>
    </row>
    <row r="36" spans="1:40" x14ac:dyDescent="0.25">
      <c r="A36" s="159" t="s">
        <v>38</v>
      </c>
      <c r="B36" s="160">
        <f>28820.48</f>
        <v>28820.48</v>
      </c>
      <c r="C36" s="160"/>
      <c r="D36" s="160"/>
      <c r="E36" s="161">
        <v>1200</v>
      </c>
      <c r="F36" s="162"/>
      <c r="G36" s="163"/>
      <c r="H36" s="161">
        <v>840</v>
      </c>
      <c r="I36" s="162"/>
      <c r="J36" s="163"/>
      <c r="K36" s="164">
        <v>1240</v>
      </c>
      <c r="L36" s="164"/>
      <c r="M36" s="164"/>
      <c r="N36" s="161">
        <v>990</v>
      </c>
      <c r="O36" s="162"/>
      <c r="P36" s="163"/>
      <c r="Q36" s="165">
        <v>985.65</v>
      </c>
      <c r="R36" s="166"/>
      <c r="S36" s="167"/>
      <c r="T36" s="161">
        <v>881.77</v>
      </c>
      <c r="U36" s="162"/>
      <c r="V36" s="163"/>
      <c r="W36" s="165">
        <f>840</f>
        <v>840</v>
      </c>
      <c r="X36" s="166"/>
      <c r="Y36" s="166"/>
      <c r="Z36" s="165">
        <f>1260</f>
        <v>1260</v>
      </c>
      <c r="AA36" s="166"/>
      <c r="AB36" s="167"/>
      <c r="AC36" s="168">
        <f>1260</f>
        <v>1260</v>
      </c>
      <c r="AD36" s="168"/>
      <c r="AE36" s="168"/>
      <c r="AF36" s="165">
        <f>840</f>
        <v>840</v>
      </c>
      <c r="AG36" s="166"/>
      <c r="AH36" s="167"/>
      <c r="AI36" s="160">
        <f>1200+840+1240+990+985.65+881.77+840+1260+1260+840</f>
        <v>10337.42</v>
      </c>
      <c r="AJ36" s="160"/>
      <c r="AK36" s="160"/>
      <c r="AL36" s="169">
        <f>AI36/AI99</f>
        <v>1.8701221206884035E-2</v>
      </c>
      <c r="AM36" s="168">
        <f>28580.54+AI36</f>
        <v>38917.96</v>
      </c>
      <c r="AN36" s="168"/>
    </row>
    <row r="37" spans="1:40" x14ac:dyDescent="0.25">
      <c r="A37" s="159" t="s">
        <v>39</v>
      </c>
      <c r="B37" s="160">
        <f>45518.05</f>
        <v>45518.05</v>
      </c>
      <c r="C37" s="160"/>
      <c r="D37" s="160"/>
      <c r="E37" s="161">
        <v>0</v>
      </c>
      <c r="F37" s="162"/>
      <c r="G37" s="163"/>
      <c r="H37" s="161">
        <v>4692.5</v>
      </c>
      <c r="I37" s="162"/>
      <c r="J37" s="163"/>
      <c r="K37" s="164">
        <v>4692.5</v>
      </c>
      <c r="L37" s="164"/>
      <c r="M37" s="164"/>
      <c r="N37" s="161">
        <v>4692.5</v>
      </c>
      <c r="O37" s="162"/>
      <c r="P37" s="163"/>
      <c r="Q37" s="165">
        <v>4692.5</v>
      </c>
      <c r="R37" s="166"/>
      <c r="S37" s="167"/>
      <c r="T37" s="161">
        <v>4692.5</v>
      </c>
      <c r="U37" s="162"/>
      <c r="V37" s="163"/>
      <c r="W37" s="165">
        <f>4692.5</f>
        <v>4692.5</v>
      </c>
      <c r="X37" s="166"/>
      <c r="Y37" s="166"/>
      <c r="Z37" s="165">
        <f>4692.5</f>
        <v>4692.5</v>
      </c>
      <c r="AA37" s="166"/>
      <c r="AB37" s="167"/>
      <c r="AC37" s="168">
        <f>4692.5</f>
        <v>4692.5</v>
      </c>
      <c r="AD37" s="168"/>
      <c r="AE37" s="168"/>
      <c r="AF37" s="165">
        <f>4846.41</f>
        <v>4846.41</v>
      </c>
      <c r="AG37" s="166"/>
      <c r="AH37" s="167"/>
      <c r="AI37" s="160">
        <f>4692.5+4692.5+4692.5+4692.5+4692.5+4692.5+4692.5+4692.5+4846.41</f>
        <v>42386.41</v>
      </c>
      <c r="AJ37" s="160"/>
      <c r="AK37" s="160"/>
      <c r="AL37" s="169">
        <f>AI37/AI99</f>
        <v>7.6680412479678842E-2</v>
      </c>
      <c r="AM37" s="168">
        <f>45518.05+AI37</f>
        <v>87904.46</v>
      </c>
      <c r="AN37" s="168"/>
    </row>
    <row r="38" spans="1:40" x14ac:dyDescent="0.25">
      <c r="A38" s="159" t="s">
        <v>40</v>
      </c>
      <c r="B38" s="160">
        <f>17669.75</f>
        <v>17669.75</v>
      </c>
      <c r="C38" s="160"/>
      <c r="D38" s="160"/>
      <c r="E38" s="161">
        <v>0</v>
      </c>
      <c r="F38" s="162"/>
      <c r="G38" s="163"/>
      <c r="H38" s="161">
        <v>0</v>
      </c>
      <c r="I38" s="162"/>
      <c r="J38" s="163"/>
      <c r="K38" s="164">
        <v>0</v>
      </c>
      <c r="L38" s="164"/>
      <c r="M38" s="164"/>
      <c r="N38" s="161">
        <v>0</v>
      </c>
      <c r="O38" s="162"/>
      <c r="P38" s="163"/>
      <c r="Q38" s="165">
        <v>0</v>
      </c>
      <c r="R38" s="166"/>
      <c r="S38" s="167"/>
      <c r="T38" s="161">
        <v>0</v>
      </c>
      <c r="U38" s="162"/>
      <c r="V38" s="163"/>
      <c r="W38" s="165">
        <v>0</v>
      </c>
      <c r="X38" s="166"/>
      <c r="Y38" s="166"/>
      <c r="Z38" s="165">
        <v>0</v>
      </c>
      <c r="AA38" s="166"/>
      <c r="AB38" s="167"/>
      <c r="AC38" s="168">
        <v>0</v>
      </c>
      <c r="AD38" s="168"/>
      <c r="AE38" s="168"/>
      <c r="AF38" s="165">
        <f>4500</f>
        <v>4500</v>
      </c>
      <c r="AG38" s="166"/>
      <c r="AH38" s="167"/>
      <c r="AI38" s="160">
        <f>4500</f>
        <v>4500</v>
      </c>
      <c r="AJ38" s="160"/>
      <c r="AK38" s="160"/>
      <c r="AL38" s="169">
        <f>AI38/AI99</f>
        <v>8.1408606239253278E-3</v>
      </c>
      <c r="AM38" s="168">
        <f>17669.75+AI38</f>
        <v>22169.75</v>
      </c>
      <c r="AN38" s="168"/>
    </row>
    <row r="39" spans="1:40" x14ac:dyDescent="0.25">
      <c r="A39" s="159" t="s">
        <v>41</v>
      </c>
      <c r="B39" s="160">
        <f>8289</f>
        <v>8289</v>
      </c>
      <c r="C39" s="160"/>
      <c r="D39" s="160"/>
      <c r="E39" s="161">
        <v>0</v>
      </c>
      <c r="F39" s="162"/>
      <c r="G39" s="163"/>
      <c r="H39" s="161">
        <v>0</v>
      </c>
      <c r="I39" s="162"/>
      <c r="J39" s="163"/>
      <c r="K39" s="164">
        <v>0</v>
      </c>
      <c r="L39" s="164"/>
      <c r="M39" s="164"/>
      <c r="N39" s="161">
        <v>0</v>
      </c>
      <c r="O39" s="162"/>
      <c r="P39" s="163"/>
      <c r="Q39" s="165">
        <v>0</v>
      </c>
      <c r="R39" s="166"/>
      <c r="S39" s="167"/>
      <c r="T39" s="161">
        <v>0</v>
      </c>
      <c r="U39" s="162"/>
      <c r="V39" s="163"/>
      <c r="W39" s="165">
        <v>0</v>
      </c>
      <c r="X39" s="166"/>
      <c r="Y39" s="166"/>
      <c r="Z39" s="165">
        <v>0</v>
      </c>
      <c r="AA39" s="166"/>
      <c r="AB39" s="167"/>
      <c r="AC39" s="168">
        <v>0</v>
      </c>
      <c r="AD39" s="168"/>
      <c r="AE39" s="168"/>
      <c r="AF39" s="165">
        <v>0</v>
      </c>
      <c r="AG39" s="166"/>
      <c r="AH39" s="167"/>
      <c r="AI39" s="160">
        <v>0</v>
      </c>
      <c r="AJ39" s="160"/>
      <c r="AK39" s="160"/>
      <c r="AL39" s="169">
        <f>AI39/AI99</f>
        <v>0</v>
      </c>
      <c r="AM39" s="168">
        <f>8289+AI39</f>
        <v>8289</v>
      </c>
      <c r="AN39" s="168"/>
    </row>
    <row r="40" spans="1:40" x14ac:dyDescent="0.25">
      <c r="A40" s="159" t="s">
        <v>42</v>
      </c>
      <c r="B40" s="160">
        <f>7863.4</f>
        <v>7863.4</v>
      </c>
      <c r="C40" s="160"/>
      <c r="D40" s="160"/>
      <c r="E40" s="161">
        <v>0</v>
      </c>
      <c r="F40" s="162"/>
      <c r="G40" s="163"/>
      <c r="H40" s="161">
        <v>0</v>
      </c>
      <c r="I40" s="162"/>
      <c r="J40" s="163"/>
      <c r="K40" s="164">
        <v>0</v>
      </c>
      <c r="L40" s="164"/>
      <c r="M40" s="164"/>
      <c r="N40" s="161">
        <v>0</v>
      </c>
      <c r="O40" s="162"/>
      <c r="P40" s="163"/>
      <c r="Q40" s="165">
        <v>0</v>
      </c>
      <c r="R40" s="166"/>
      <c r="S40" s="167"/>
      <c r="T40" s="161">
        <v>0</v>
      </c>
      <c r="U40" s="162"/>
      <c r="V40" s="163"/>
      <c r="W40" s="165">
        <v>0</v>
      </c>
      <c r="X40" s="166"/>
      <c r="Y40" s="166"/>
      <c r="Z40" s="165">
        <v>0</v>
      </c>
      <c r="AA40" s="166"/>
      <c r="AB40" s="167"/>
      <c r="AC40" s="168">
        <v>0</v>
      </c>
      <c r="AD40" s="168"/>
      <c r="AE40" s="168"/>
      <c r="AF40" s="165">
        <v>0</v>
      </c>
      <c r="AG40" s="166"/>
      <c r="AH40" s="167"/>
      <c r="AI40" s="160">
        <f>0</f>
        <v>0</v>
      </c>
      <c r="AJ40" s="160"/>
      <c r="AK40" s="160"/>
      <c r="AL40" s="169">
        <f>AI40/AI99</f>
        <v>0</v>
      </c>
      <c r="AM40" s="168">
        <f>7863.4+AI40</f>
        <v>7863.4</v>
      </c>
      <c r="AN40" s="168"/>
    </row>
    <row r="41" spans="1:40" x14ac:dyDescent="0.25">
      <c r="A41" s="159" t="s">
        <v>43</v>
      </c>
      <c r="B41" s="160">
        <f>2005</f>
        <v>2005</v>
      </c>
      <c r="C41" s="160"/>
      <c r="D41" s="160"/>
      <c r="E41" s="161">
        <v>0</v>
      </c>
      <c r="F41" s="162"/>
      <c r="G41" s="163"/>
      <c r="H41" s="161">
        <v>0</v>
      </c>
      <c r="I41" s="162"/>
      <c r="J41" s="163"/>
      <c r="K41" s="164">
        <v>0</v>
      </c>
      <c r="L41" s="164"/>
      <c r="M41" s="164"/>
      <c r="N41" s="161">
        <v>0</v>
      </c>
      <c r="O41" s="162"/>
      <c r="P41" s="163"/>
      <c r="Q41" s="165">
        <v>0</v>
      </c>
      <c r="R41" s="166"/>
      <c r="S41" s="167"/>
      <c r="T41" s="161">
        <v>0</v>
      </c>
      <c r="U41" s="162"/>
      <c r="V41" s="163"/>
      <c r="W41" s="165">
        <v>0</v>
      </c>
      <c r="X41" s="166"/>
      <c r="Y41" s="166"/>
      <c r="Z41" s="165">
        <v>0</v>
      </c>
      <c r="AA41" s="166"/>
      <c r="AB41" s="167"/>
      <c r="AC41" s="168">
        <v>0</v>
      </c>
      <c r="AD41" s="168"/>
      <c r="AE41" s="168"/>
      <c r="AF41" s="165">
        <v>0</v>
      </c>
      <c r="AG41" s="166"/>
      <c r="AH41" s="167"/>
      <c r="AI41" s="160">
        <v>0</v>
      </c>
      <c r="AJ41" s="160"/>
      <c r="AK41" s="160"/>
      <c r="AL41" s="169">
        <f>AI41/AI99</f>
        <v>0</v>
      </c>
      <c r="AM41" s="168">
        <f>2005+AI41</f>
        <v>2005</v>
      </c>
      <c r="AN41" s="168"/>
    </row>
    <row r="42" spans="1:40" x14ac:dyDescent="0.25">
      <c r="A42" s="149" t="s">
        <v>44</v>
      </c>
      <c r="B42" s="150">
        <f>SUM(B43:D44)</f>
        <v>366074.13</v>
      </c>
      <c r="C42" s="150"/>
      <c r="D42" s="150"/>
      <c r="E42" s="150">
        <f t="shared" ref="E42" si="3">SUM(E43:G44)</f>
        <v>0</v>
      </c>
      <c r="F42" s="150"/>
      <c r="G42" s="150"/>
      <c r="H42" s="150">
        <f t="shared" ref="H42" si="4">SUM(H43:J44)</f>
        <v>0</v>
      </c>
      <c r="I42" s="150"/>
      <c r="J42" s="150"/>
      <c r="K42" s="150">
        <f t="shared" ref="K42" si="5">SUM(K43:M44)</f>
        <v>0</v>
      </c>
      <c r="L42" s="150"/>
      <c r="M42" s="150"/>
      <c r="N42" s="150">
        <f t="shared" ref="N42" si="6">SUM(N43:P44)</f>
        <v>0</v>
      </c>
      <c r="O42" s="150"/>
      <c r="P42" s="150"/>
      <c r="Q42" s="150">
        <f t="shared" ref="Q42" si="7">SUM(Q43:S44)</f>
        <v>0</v>
      </c>
      <c r="R42" s="150"/>
      <c r="S42" s="150"/>
      <c r="T42" s="150">
        <f t="shared" ref="T42" si="8">SUM(T43:V44)</f>
        <v>0</v>
      </c>
      <c r="U42" s="150"/>
      <c r="V42" s="150"/>
      <c r="W42" s="150">
        <f>SUM(W43:Y44)</f>
        <v>0</v>
      </c>
      <c r="X42" s="150"/>
      <c r="Y42" s="155"/>
      <c r="Z42" s="150">
        <f>SUM(Z43:AB44)</f>
        <v>0</v>
      </c>
      <c r="AA42" s="150"/>
      <c r="AB42" s="155"/>
      <c r="AC42" s="150">
        <f>SUM(AC43:AE44)</f>
        <v>0</v>
      </c>
      <c r="AD42" s="150"/>
      <c r="AE42" s="150"/>
      <c r="AF42" s="150">
        <f>SUM(AF43:AH44)</f>
        <v>0</v>
      </c>
      <c r="AG42" s="150"/>
      <c r="AH42" s="155"/>
      <c r="AI42" s="150">
        <f>SUM(AJ43:AK44)</f>
        <v>0</v>
      </c>
      <c r="AJ42" s="150"/>
      <c r="AK42" s="150"/>
      <c r="AL42" s="171">
        <f>AI42/AI99</f>
        <v>0</v>
      </c>
      <c r="AM42" s="172">
        <f>SUM(AM43:AN44)</f>
        <v>366074.13</v>
      </c>
      <c r="AN42" s="172"/>
    </row>
    <row r="43" spans="1:40" x14ac:dyDescent="0.25">
      <c r="A43" s="159" t="s">
        <v>45</v>
      </c>
      <c r="B43" s="160">
        <f>214077.5</f>
        <v>214077.5</v>
      </c>
      <c r="C43" s="160"/>
      <c r="D43" s="160"/>
      <c r="E43" s="161">
        <v>0</v>
      </c>
      <c r="F43" s="162"/>
      <c r="G43" s="163"/>
      <c r="H43" s="161">
        <v>0</v>
      </c>
      <c r="I43" s="162"/>
      <c r="J43" s="163"/>
      <c r="K43" s="164">
        <v>0</v>
      </c>
      <c r="L43" s="164"/>
      <c r="M43" s="164"/>
      <c r="N43" s="161">
        <v>0</v>
      </c>
      <c r="O43" s="162"/>
      <c r="P43" s="163"/>
      <c r="Q43" s="165">
        <v>0</v>
      </c>
      <c r="R43" s="166"/>
      <c r="S43" s="167"/>
      <c r="T43" s="161">
        <v>0</v>
      </c>
      <c r="U43" s="162"/>
      <c r="V43" s="163"/>
      <c r="W43" s="165">
        <v>0</v>
      </c>
      <c r="X43" s="166"/>
      <c r="Y43" s="166"/>
      <c r="Z43" s="165">
        <v>0</v>
      </c>
      <c r="AA43" s="166"/>
      <c r="AB43" s="167"/>
      <c r="AC43" s="168">
        <v>0</v>
      </c>
      <c r="AD43" s="168"/>
      <c r="AE43" s="168"/>
      <c r="AF43" s="165">
        <v>0</v>
      </c>
      <c r="AG43" s="166"/>
      <c r="AH43" s="167"/>
      <c r="AI43" s="160">
        <v>0</v>
      </c>
      <c r="AJ43" s="160"/>
      <c r="AK43" s="160"/>
      <c r="AL43" s="169">
        <f>AI43/AI99</f>
        <v>0</v>
      </c>
      <c r="AM43" s="168">
        <f>214077.5+AI43</f>
        <v>214077.5</v>
      </c>
      <c r="AN43" s="168"/>
    </row>
    <row r="44" spans="1:40" x14ac:dyDescent="0.25">
      <c r="A44" s="159" t="s">
        <v>46</v>
      </c>
      <c r="B44" s="160">
        <f>151996.63</f>
        <v>151996.63</v>
      </c>
      <c r="C44" s="160"/>
      <c r="D44" s="160"/>
      <c r="E44" s="161">
        <v>0</v>
      </c>
      <c r="F44" s="162"/>
      <c r="G44" s="163"/>
      <c r="H44" s="161">
        <v>0</v>
      </c>
      <c r="I44" s="162"/>
      <c r="J44" s="163"/>
      <c r="K44" s="164">
        <v>0</v>
      </c>
      <c r="L44" s="164"/>
      <c r="M44" s="164"/>
      <c r="N44" s="161">
        <v>0</v>
      </c>
      <c r="O44" s="162"/>
      <c r="P44" s="163"/>
      <c r="Q44" s="165">
        <v>0</v>
      </c>
      <c r="R44" s="166"/>
      <c r="S44" s="167"/>
      <c r="T44" s="161">
        <v>0</v>
      </c>
      <c r="U44" s="162"/>
      <c r="V44" s="163"/>
      <c r="W44" s="165">
        <v>0</v>
      </c>
      <c r="X44" s="166"/>
      <c r="Y44" s="166"/>
      <c r="Z44" s="165">
        <v>0</v>
      </c>
      <c r="AA44" s="166"/>
      <c r="AB44" s="167"/>
      <c r="AC44" s="168">
        <v>0</v>
      </c>
      <c r="AD44" s="168"/>
      <c r="AE44" s="168"/>
      <c r="AF44" s="165">
        <v>0</v>
      </c>
      <c r="AG44" s="166"/>
      <c r="AH44" s="167"/>
      <c r="AI44" s="160">
        <v>0</v>
      </c>
      <c r="AJ44" s="160"/>
      <c r="AK44" s="160"/>
      <c r="AL44" s="169">
        <f>AI44/AI99</f>
        <v>0</v>
      </c>
      <c r="AM44" s="168">
        <f>151996.63+AI44</f>
        <v>151996.63</v>
      </c>
      <c r="AN44" s="168"/>
    </row>
    <row r="45" spans="1:40" x14ac:dyDescent="0.25">
      <c r="A45" s="149" t="s">
        <v>47</v>
      </c>
      <c r="B45" s="150">
        <f>SUM(B46:D48)</f>
        <v>57379.83</v>
      </c>
      <c r="C45" s="150"/>
      <c r="D45" s="150"/>
      <c r="E45" s="150">
        <f t="shared" ref="E45" si="9">SUM(E46:G48)</f>
        <v>0</v>
      </c>
      <c r="F45" s="150"/>
      <c r="G45" s="150"/>
      <c r="H45" s="150">
        <f t="shared" ref="H45" si="10">SUM(H46:J48)</f>
        <v>12.25</v>
      </c>
      <c r="I45" s="150"/>
      <c r="J45" s="150"/>
      <c r="K45" s="150">
        <f t="shared" ref="K45" si="11">SUM(K46:M48)</f>
        <v>9.5</v>
      </c>
      <c r="L45" s="150"/>
      <c r="M45" s="150"/>
      <c r="N45" s="150">
        <f t="shared" ref="N45" si="12">SUM(N46:P48)</f>
        <v>0</v>
      </c>
      <c r="O45" s="150"/>
      <c r="P45" s="150"/>
      <c r="Q45" s="150">
        <f t="shared" ref="Q45" si="13">SUM(Q46:S48)</f>
        <v>8265</v>
      </c>
      <c r="R45" s="150"/>
      <c r="S45" s="150"/>
      <c r="T45" s="150">
        <f t="shared" ref="T45" si="14">SUM(T46:V48)</f>
        <v>0</v>
      </c>
      <c r="U45" s="150"/>
      <c r="V45" s="150"/>
      <c r="W45" s="150">
        <f t="shared" ref="W45" si="15">SUM(W46:Y48)</f>
        <v>1449.95</v>
      </c>
      <c r="X45" s="150"/>
      <c r="Y45" s="155"/>
      <c r="Z45" s="150">
        <f>SUM(Z46:AB48)</f>
        <v>6.25</v>
      </c>
      <c r="AA45" s="150"/>
      <c r="AB45" s="155"/>
      <c r="AC45" s="150">
        <f>SUM(AC46:AE48)</f>
        <v>176.58</v>
      </c>
      <c r="AD45" s="150"/>
      <c r="AE45" s="150"/>
      <c r="AF45" s="150">
        <f>SUM(AF46:AH48)</f>
        <v>0</v>
      </c>
      <c r="AG45" s="150"/>
      <c r="AH45" s="155"/>
      <c r="AI45" s="150">
        <f>SUM(AI46:AK48)</f>
        <v>9919.5300000000007</v>
      </c>
      <c r="AJ45" s="150"/>
      <c r="AK45" s="150"/>
      <c r="AL45" s="157">
        <f>AI45/AI99</f>
        <v>1.7945224707743557E-2</v>
      </c>
      <c r="AM45" s="158">
        <f>SUM(AM46:AN48)</f>
        <v>66705.84</v>
      </c>
      <c r="AN45" s="158"/>
    </row>
    <row r="46" spans="1:40" x14ac:dyDescent="0.25">
      <c r="A46" s="159" t="s">
        <v>48</v>
      </c>
      <c r="B46" s="173">
        <f>3448.33</f>
        <v>3448.33</v>
      </c>
      <c r="C46" s="173"/>
      <c r="D46" s="173"/>
      <c r="E46" s="161">
        <v>0</v>
      </c>
      <c r="F46" s="162"/>
      <c r="G46" s="163"/>
      <c r="H46" s="161">
        <v>0</v>
      </c>
      <c r="I46" s="162"/>
      <c r="J46" s="163"/>
      <c r="K46" s="164">
        <v>0</v>
      </c>
      <c r="L46" s="164"/>
      <c r="M46" s="164"/>
      <c r="N46" s="161">
        <v>0</v>
      </c>
      <c r="O46" s="162"/>
      <c r="P46" s="163"/>
      <c r="Q46" s="165">
        <v>0</v>
      </c>
      <c r="R46" s="166"/>
      <c r="S46" s="167"/>
      <c r="T46" s="161">
        <v>0</v>
      </c>
      <c r="U46" s="162"/>
      <c r="V46" s="163"/>
      <c r="W46" s="174">
        <v>0</v>
      </c>
      <c r="X46" s="175"/>
      <c r="Y46" s="175"/>
      <c r="Z46" s="165">
        <v>0</v>
      </c>
      <c r="AA46" s="166"/>
      <c r="AB46" s="167"/>
      <c r="AC46" s="168">
        <f>176.58</f>
        <v>176.58</v>
      </c>
      <c r="AD46" s="168"/>
      <c r="AE46" s="168"/>
      <c r="AF46" s="165">
        <v>0</v>
      </c>
      <c r="AG46" s="166"/>
      <c r="AH46" s="167"/>
      <c r="AI46" s="160">
        <f>176.58</f>
        <v>176.58</v>
      </c>
      <c r="AJ46" s="160"/>
      <c r="AK46" s="160"/>
      <c r="AL46" s="169">
        <f>AI46/AI99</f>
        <v>3.1944737088282987E-4</v>
      </c>
      <c r="AM46" s="168">
        <f>3238.33+AI46</f>
        <v>3414.91</v>
      </c>
      <c r="AN46" s="168"/>
    </row>
    <row r="47" spans="1:40" x14ac:dyDescent="0.25">
      <c r="A47" s="159" t="s">
        <v>49</v>
      </c>
      <c r="B47" s="160">
        <f>8945.5</f>
        <v>8945.5</v>
      </c>
      <c r="C47" s="160"/>
      <c r="D47" s="160"/>
      <c r="E47" s="161">
        <v>0</v>
      </c>
      <c r="F47" s="162"/>
      <c r="G47" s="163"/>
      <c r="H47" s="161">
        <v>12.25</v>
      </c>
      <c r="I47" s="162"/>
      <c r="J47" s="163"/>
      <c r="K47" s="164">
        <v>9.5</v>
      </c>
      <c r="L47" s="164"/>
      <c r="M47" s="164"/>
      <c r="N47" s="161">
        <v>0</v>
      </c>
      <c r="O47" s="162"/>
      <c r="P47" s="163"/>
      <c r="Q47" s="165">
        <v>0</v>
      </c>
      <c r="R47" s="166"/>
      <c r="S47" s="167"/>
      <c r="T47" s="161">
        <v>0</v>
      </c>
      <c r="U47" s="162"/>
      <c r="V47" s="163"/>
      <c r="W47" s="165">
        <f>1449.95</f>
        <v>1449.95</v>
      </c>
      <c r="X47" s="166"/>
      <c r="Y47" s="166"/>
      <c r="Z47" s="165">
        <f>6.25</f>
        <v>6.25</v>
      </c>
      <c r="AA47" s="166"/>
      <c r="AB47" s="167"/>
      <c r="AC47" s="168">
        <v>0</v>
      </c>
      <c r="AD47" s="168"/>
      <c r="AE47" s="168"/>
      <c r="AF47" s="165">
        <v>0</v>
      </c>
      <c r="AG47" s="166"/>
      <c r="AH47" s="167"/>
      <c r="AI47" s="160">
        <f>12.25+9.5+1449.95+6.25</f>
        <v>1477.95</v>
      </c>
      <c r="AJ47" s="160"/>
      <c r="AK47" s="160"/>
      <c r="AL47" s="169">
        <f>AI47/AI99</f>
        <v>2.6737299909178752E-3</v>
      </c>
      <c r="AM47" s="168">
        <f>8561.98+AI47</f>
        <v>10039.93</v>
      </c>
      <c r="AN47" s="168"/>
    </row>
    <row r="48" spans="1:40" x14ac:dyDescent="0.25">
      <c r="A48" s="159" t="s">
        <v>50</v>
      </c>
      <c r="B48" s="160">
        <f>44986</f>
        <v>44986</v>
      </c>
      <c r="C48" s="160"/>
      <c r="D48" s="160"/>
      <c r="E48" s="161">
        <v>0</v>
      </c>
      <c r="F48" s="162"/>
      <c r="G48" s="163"/>
      <c r="H48" s="161">
        <v>0</v>
      </c>
      <c r="I48" s="162"/>
      <c r="J48" s="163"/>
      <c r="K48" s="164">
        <v>0</v>
      </c>
      <c r="L48" s="164"/>
      <c r="M48" s="164"/>
      <c r="N48" s="161">
        <v>0</v>
      </c>
      <c r="O48" s="162"/>
      <c r="P48" s="163"/>
      <c r="Q48" s="165">
        <v>8265</v>
      </c>
      <c r="R48" s="166"/>
      <c r="S48" s="167"/>
      <c r="T48" s="161">
        <v>0</v>
      </c>
      <c r="U48" s="162"/>
      <c r="V48" s="163"/>
      <c r="W48" s="165">
        <v>0</v>
      </c>
      <c r="X48" s="166"/>
      <c r="Y48" s="166"/>
      <c r="Z48" s="165">
        <v>0</v>
      </c>
      <c r="AA48" s="166"/>
      <c r="AB48" s="167"/>
      <c r="AC48" s="168">
        <v>0</v>
      </c>
      <c r="AD48" s="168"/>
      <c r="AE48" s="168"/>
      <c r="AF48" s="165">
        <v>0</v>
      </c>
      <c r="AG48" s="166"/>
      <c r="AH48" s="167"/>
      <c r="AI48" s="160">
        <f>8265</f>
        <v>8265</v>
      </c>
      <c r="AJ48" s="160"/>
      <c r="AK48" s="160"/>
      <c r="AL48" s="169">
        <f>AI48/AI99</f>
        <v>1.4952047345942852E-2</v>
      </c>
      <c r="AM48" s="168">
        <f>44986+AI48</f>
        <v>53251</v>
      </c>
      <c r="AN48" s="168"/>
    </row>
    <row r="49" spans="1:40" x14ac:dyDescent="0.25">
      <c r="A49" s="149" t="s">
        <v>51</v>
      </c>
      <c r="B49" s="150">
        <f>SUM(B50:D61)</f>
        <v>196250.06</v>
      </c>
      <c r="C49" s="150"/>
      <c r="D49" s="150"/>
      <c r="E49" s="150">
        <f t="shared" ref="E49" si="16">SUM(E50:G61)</f>
        <v>3394.76</v>
      </c>
      <c r="F49" s="150"/>
      <c r="G49" s="150"/>
      <c r="H49" s="150">
        <f t="shared" ref="H49" si="17">SUM(H50:J61)</f>
        <v>3445.4700000000003</v>
      </c>
      <c r="I49" s="150"/>
      <c r="J49" s="150"/>
      <c r="K49" s="150">
        <f t="shared" ref="K49" si="18">SUM(K50:M61)</f>
        <v>3648.71</v>
      </c>
      <c r="L49" s="150"/>
      <c r="M49" s="150"/>
      <c r="N49" s="150">
        <f t="shared" ref="N49" si="19">SUM(N50:P61)</f>
        <v>3566.1600000000003</v>
      </c>
      <c r="O49" s="150"/>
      <c r="P49" s="150"/>
      <c r="Q49" s="150">
        <f t="shared" ref="Q49" si="20">SUM(Q50:S61)</f>
        <v>5452.22</v>
      </c>
      <c r="R49" s="150"/>
      <c r="S49" s="150"/>
      <c r="T49" s="150">
        <f t="shared" ref="T49" si="21">SUM(T50:V61)</f>
        <v>5594.24</v>
      </c>
      <c r="U49" s="150"/>
      <c r="V49" s="150"/>
      <c r="W49" s="150">
        <f>SUM(W50:Y61)</f>
        <v>3578.57</v>
      </c>
      <c r="X49" s="150"/>
      <c r="Y49" s="155"/>
      <c r="Z49" s="150">
        <f>SUM(Z50:AB61)</f>
        <v>3583.9700000000003</v>
      </c>
      <c r="AA49" s="150"/>
      <c r="AB49" s="155"/>
      <c r="AC49" s="150">
        <f>SUM(AC50:AE61)</f>
        <v>3583.52</v>
      </c>
      <c r="AD49" s="150"/>
      <c r="AE49" s="150"/>
      <c r="AF49" s="150">
        <f>SUM(AF50:AH61)</f>
        <v>3586.8</v>
      </c>
      <c r="AG49" s="150"/>
      <c r="AH49" s="155"/>
      <c r="AI49" s="150">
        <f>SUM(AI50:AK61)</f>
        <v>39434.42</v>
      </c>
      <c r="AJ49" s="150"/>
      <c r="AK49" s="150"/>
      <c r="AL49" s="157">
        <f>AI49/AI99</f>
        <v>7.1340026001185206E-2</v>
      </c>
      <c r="AM49" s="158">
        <f>SUM(AM50:AN61)</f>
        <v>232643.70999999996</v>
      </c>
      <c r="AN49" s="158"/>
    </row>
    <row r="50" spans="1:40" x14ac:dyDescent="0.25">
      <c r="A50" s="176" t="s">
        <v>52</v>
      </c>
      <c r="B50" s="160">
        <f>5210.64</f>
        <v>5210.6400000000003</v>
      </c>
      <c r="C50" s="160"/>
      <c r="D50" s="160"/>
      <c r="E50" s="161">
        <v>0</v>
      </c>
      <c r="F50" s="162"/>
      <c r="G50" s="163"/>
      <c r="H50" s="161">
        <v>0</v>
      </c>
      <c r="I50" s="162"/>
      <c r="J50" s="163"/>
      <c r="K50" s="164">
        <v>0</v>
      </c>
      <c r="L50" s="164"/>
      <c r="M50" s="164"/>
      <c r="N50" s="161">
        <v>0</v>
      </c>
      <c r="O50" s="162"/>
      <c r="P50" s="163"/>
      <c r="Q50" s="165">
        <v>0</v>
      </c>
      <c r="R50" s="166"/>
      <c r="S50" s="167"/>
      <c r="T50" s="161">
        <v>0</v>
      </c>
      <c r="U50" s="162"/>
      <c r="V50" s="163"/>
      <c r="W50" s="165">
        <v>0</v>
      </c>
      <c r="X50" s="166"/>
      <c r="Y50" s="166"/>
      <c r="Z50" s="165">
        <v>0</v>
      </c>
      <c r="AA50" s="166"/>
      <c r="AB50" s="167"/>
      <c r="AC50" s="168">
        <v>0</v>
      </c>
      <c r="AD50" s="168"/>
      <c r="AE50" s="168"/>
      <c r="AF50" s="165">
        <v>0</v>
      </c>
      <c r="AG50" s="166"/>
      <c r="AH50" s="167"/>
      <c r="AI50" s="32">
        <v>0</v>
      </c>
      <c r="AJ50" s="33"/>
      <c r="AK50" s="34"/>
      <c r="AL50" s="169">
        <f>AI50/AI99</f>
        <v>0</v>
      </c>
      <c r="AM50" s="177">
        <f>28211.28+AI50</f>
        <v>28211.279999999999</v>
      </c>
      <c r="AN50" s="178"/>
    </row>
    <row r="51" spans="1:40" x14ac:dyDescent="0.25">
      <c r="A51" s="159" t="s">
        <v>53</v>
      </c>
      <c r="B51" s="160">
        <f>7320</f>
        <v>7320</v>
      </c>
      <c r="C51" s="160"/>
      <c r="D51" s="160"/>
      <c r="E51" s="161">
        <v>0</v>
      </c>
      <c r="F51" s="162"/>
      <c r="G51" s="163"/>
      <c r="H51" s="161">
        <v>0</v>
      </c>
      <c r="I51" s="162"/>
      <c r="J51" s="163"/>
      <c r="K51" s="164">
        <v>0</v>
      </c>
      <c r="L51" s="164"/>
      <c r="M51" s="164"/>
      <c r="N51" s="161">
        <v>0</v>
      </c>
      <c r="O51" s="162"/>
      <c r="P51" s="163"/>
      <c r="Q51" s="165">
        <v>0</v>
      </c>
      <c r="R51" s="166"/>
      <c r="S51" s="167"/>
      <c r="T51" s="161">
        <v>2020</v>
      </c>
      <c r="U51" s="162"/>
      <c r="V51" s="163"/>
      <c r="W51" s="165">
        <v>0</v>
      </c>
      <c r="X51" s="166"/>
      <c r="Y51" s="166"/>
      <c r="Z51" s="165">
        <v>0</v>
      </c>
      <c r="AA51" s="166"/>
      <c r="AB51" s="167"/>
      <c r="AC51" s="168">
        <v>0</v>
      </c>
      <c r="AD51" s="168"/>
      <c r="AE51" s="168"/>
      <c r="AF51" s="165">
        <v>0</v>
      </c>
      <c r="AG51" s="166"/>
      <c r="AH51" s="167"/>
      <c r="AI51" s="32">
        <f>2020</f>
        <v>2020</v>
      </c>
      <c r="AJ51" s="33"/>
      <c r="AK51" s="34"/>
      <c r="AL51" s="169">
        <f>AI51/AI99</f>
        <v>3.6543418800731469E-3</v>
      </c>
      <c r="AM51" s="165">
        <f>7320+AI51</f>
        <v>9340</v>
      </c>
      <c r="AN51" s="167"/>
    </row>
    <row r="52" spans="1:40" x14ac:dyDescent="0.25">
      <c r="A52" s="159" t="s">
        <v>54</v>
      </c>
      <c r="B52" s="160">
        <f>38253.84</f>
        <v>38253.839999999997</v>
      </c>
      <c r="C52" s="160"/>
      <c r="D52" s="160"/>
      <c r="E52" s="161">
        <v>450</v>
      </c>
      <c r="F52" s="162"/>
      <c r="G52" s="163"/>
      <c r="H52" s="161">
        <v>450</v>
      </c>
      <c r="I52" s="162"/>
      <c r="J52" s="163"/>
      <c r="K52" s="164">
        <v>690</v>
      </c>
      <c r="L52" s="164"/>
      <c r="M52" s="164"/>
      <c r="N52" s="161">
        <v>450</v>
      </c>
      <c r="O52" s="162"/>
      <c r="P52" s="163"/>
      <c r="Q52" s="165">
        <v>450</v>
      </c>
      <c r="R52" s="166"/>
      <c r="S52" s="167"/>
      <c r="T52" s="161">
        <v>450</v>
      </c>
      <c r="U52" s="162"/>
      <c r="V52" s="163"/>
      <c r="W52" s="165">
        <f>450</f>
        <v>450</v>
      </c>
      <c r="X52" s="166"/>
      <c r="Y52" s="166"/>
      <c r="Z52" s="165">
        <f>450</f>
        <v>450</v>
      </c>
      <c r="AA52" s="166"/>
      <c r="AB52" s="167"/>
      <c r="AC52" s="168">
        <f>450</f>
        <v>450</v>
      </c>
      <c r="AD52" s="168"/>
      <c r="AE52" s="168"/>
      <c r="AF52" s="165">
        <f>450</f>
        <v>450</v>
      </c>
      <c r="AG52" s="166"/>
      <c r="AH52" s="167"/>
      <c r="AI52" s="32">
        <f>450+450+690+450+450+450+450+450+450+450</f>
        <v>4740</v>
      </c>
      <c r="AJ52" s="33"/>
      <c r="AK52" s="34"/>
      <c r="AL52" s="169">
        <f>AI52/AI99</f>
        <v>8.5750398572013442E-3</v>
      </c>
      <c r="AM52" s="165">
        <f>11250+AI52</f>
        <v>15990</v>
      </c>
      <c r="AN52" s="167"/>
    </row>
    <row r="53" spans="1:40" x14ac:dyDescent="0.25">
      <c r="A53" s="159" t="s">
        <v>55</v>
      </c>
      <c r="B53" s="160">
        <f>43576.7</f>
        <v>43576.7</v>
      </c>
      <c r="C53" s="160"/>
      <c r="D53" s="160"/>
      <c r="E53" s="161">
        <v>0</v>
      </c>
      <c r="F53" s="162"/>
      <c r="G53" s="163"/>
      <c r="H53" s="161">
        <v>0</v>
      </c>
      <c r="I53" s="162"/>
      <c r="J53" s="163"/>
      <c r="K53" s="164">
        <v>0</v>
      </c>
      <c r="L53" s="164"/>
      <c r="M53" s="164"/>
      <c r="N53" s="161">
        <v>0</v>
      </c>
      <c r="O53" s="162"/>
      <c r="P53" s="163"/>
      <c r="Q53" s="165">
        <v>0</v>
      </c>
      <c r="R53" s="166"/>
      <c r="S53" s="167"/>
      <c r="T53" s="161">
        <v>0</v>
      </c>
      <c r="U53" s="162"/>
      <c r="V53" s="163"/>
      <c r="W53" s="165">
        <v>0</v>
      </c>
      <c r="X53" s="166"/>
      <c r="Y53" s="166"/>
      <c r="Z53" s="165">
        <v>0</v>
      </c>
      <c r="AA53" s="166"/>
      <c r="AB53" s="167"/>
      <c r="AC53" s="168">
        <v>0</v>
      </c>
      <c r="AD53" s="168"/>
      <c r="AE53" s="168"/>
      <c r="AF53" s="165">
        <v>0</v>
      </c>
      <c r="AG53" s="166"/>
      <c r="AH53" s="167"/>
      <c r="AI53" s="32">
        <v>0</v>
      </c>
      <c r="AJ53" s="33"/>
      <c r="AK53" s="34"/>
      <c r="AL53" s="169">
        <f>AI53/AI99</f>
        <v>0</v>
      </c>
      <c r="AM53" s="165">
        <f>43576.7+AI53</f>
        <v>43576.7</v>
      </c>
      <c r="AN53" s="167"/>
    </row>
    <row r="54" spans="1:40" x14ac:dyDescent="0.25">
      <c r="A54" s="159" t="s">
        <v>56</v>
      </c>
      <c r="B54" s="160">
        <f>65396.1</f>
        <v>65396.1</v>
      </c>
      <c r="C54" s="160"/>
      <c r="D54" s="160"/>
      <c r="E54" s="161">
        <v>2581.65</v>
      </c>
      <c r="F54" s="162"/>
      <c r="G54" s="163"/>
      <c r="H54" s="161">
        <v>2590.5100000000002</v>
      </c>
      <c r="I54" s="162"/>
      <c r="J54" s="163"/>
      <c r="K54" s="164">
        <v>2595.6</v>
      </c>
      <c r="L54" s="164"/>
      <c r="M54" s="164"/>
      <c r="N54" s="161">
        <v>2597.4</v>
      </c>
      <c r="O54" s="162"/>
      <c r="P54" s="163"/>
      <c r="Q54" s="165">
        <v>2618.5500000000002</v>
      </c>
      <c r="R54" s="166"/>
      <c r="S54" s="167"/>
      <c r="T54" s="161">
        <v>2615.4</v>
      </c>
      <c r="U54" s="162"/>
      <c r="V54" s="163"/>
      <c r="W54" s="165">
        <f>2619.9</f>
        <v>2619.9</v>
      </c>
      <c r="X54" s="166"/>
      <c r="Y54" s="166"/>
      <c r="Z54" s="165">
        <f>2625.3</f>
        <v>2625.3</v>
      </c>
      <c r="AA54" s="166"/>
      <c r="AB54" s="167"/>
      <c r="AC54" s="168">
        <f>2624.85</f>
        <v>2624.85</v>
      </c>
      <c r="AD54" s="168"/>
      <c r="AE54" s="168"/>
      <c r="AF54" s="165">
        <f>2623.05</f>
        <v>2623.05</v>
      </c>
      <c r="AG54" s="166"/>
      <c r="AH54" s="167"/>
      <c r="AI54" s="160">
        <f>2581.65+2590.51+2595.6+2597.4+2618.55+2615.4+2619.9+2625.3+2624.85+2623.05</f>
        <v>26092.209999999995</v>
      </c>
      <c r="AJ54" s="160"/>
      <c r="AK54" s="160"/>
      <c r="AL54" s="169">
        <f>AI54/AI99</f>
        <v>4.720289888448681E-2</v>
      </c>
      <c r="AM54" s="179">
        <f>65396.1+AI54</f>
        <v>91488.31</v>
      </c>
      <c r="AN54" s="179"/>
    </row>
    <row r="55" spans="1:40" x14ac:dyDescent="0.25">
      <c r="A55" s="159" t="s">
        <v>57</v>
      </c>
      <c r="B55" s="160">
        <f>5687.89</f>
        <v>5687.89</v>
      </c>
      <c r="C55" s="160"/>
      <c r="D55" s="160"/>
      <c r="E55" s="161">
        <v>273.11</v>
      </c>
      <c r="F55" s="162"/>
      <c r="G55" s="163"/>
      <c r="H55" s="161">
        <v>273.11</v>
      </c>
      <c r="I55" s="162"/>
      <c r="J55" s="163"/>
      <c r="K55" s="164">
        <v>273.11</v>
      </c>
      <c r="L55" s="164"/>
      <c r="M55" s="164"/>
      <c r="N55" s="161">
        <v>293.67</v>
      </c>
      <c r="O55" s="162"/>
      <c r="P55" s="163"/>
      <c r="Q55" s="165">
        <v>293.67</v>
      </c>
      <c r="R55" s="166"/>
      <c r="S55" s="167"/>
      <c r="T55" s="161">
        <v>293.67</v>
      </c>
      <c r="U55" s="162"/>
      <c r="V55" s="163"/>
      <c r="W55" s="165">
        <f>293.67</f>
        <v>293.67</v>
      </c>
      <c r="X55" s="166"/>
      <c r="Y55" s="166"/>
      <c r="Z55" s="165">
        <f>293.67</f>
        <v>293.67</v>
      </c>
      <c r="AA55" s="166"/>
      <c r="AB55" s="167"/>
      <c r="AC55" s="168">
        <f>293.67</f>
        <v>293.67</v>
      </c>
      <c r="AD55" s="168"/>
      <c r="AE55" s="168"/>
      <c r="AF55" s="165">
        <f>293.67</f>
        <v>293.67</v>
      </c>
      <c r="AG55" s="166"/>
      <c r="AH55" s="167"/>
      <c r="AI55" s="160">
        <f>273.11+273.11+273.11+293.67+293.67+293.67+293.67+293.67+293.67+293.67</f>
        <v>2875.0200000000004</v>
      </c>
      <c r="AJ55" s="160"/>
      <c r="AK55" s="160"/>
      <c r="AL55" s="169">
        <f>AI55/AI99</f>
        <v>5.2011415802217329E-3</v>
      </c>
      <c r="AM55" s="168">
        <f>5687.89+AI55</f>
        <v>8562.91</v>
      </c>
      <c r="AN55" s="168"/>
    </row>
    <row r="56" spans="1:40" x14ac:dyDescent="0.25">
      <c r="A56" s="159" t="s">
        <v>58</v>
      </c>
      <c r="B56" s="160">
        <f>360</f>
        <v>360</v>
      </c>
      <c r="C56" s="160"/>
      <c r="D56" s="160"/>
      <c r="E56" s="161">
        <v>90</v>
      </c>
      <c r="F56" s="162"/>
      <c r="G56" s="163"/>
      <c r="H56" s="161">
        <v>131.85</v>
      </c>
      <c r="I56" s="162"/>
      <c r="J56" s="163"/>
      <c r="K56" s="164">
        <v>90</v>
      </c>
      <c r="L56" s="164"/>
      <c r="M56" s="164"/>
      <c r="N56" s="161">
        <v>225.09</v>
      </c>
      <c r="O56" s="162"/>
      <c r="P56" s="163"/>
      <c r="Q56" s="165">
        <v>90</v>
      </c>
      <c r="R56" s="166"/>
      <c r="S56" s="167"/>
      <c r="T56" s="161">
        <v>215.17</v>
      </c>
      <c r="U56" s="162"/>
      <c r="V56" s="163"/>
      <c r="W56" s="165">
        <f>215</f>
        <v>215</v>
      </c>
      <c r="X56" s="166"/>
      <c r="Y56" s="166"/>
      <c r="Z56" s="165">
        <f>215</f>
        <v>215</v>
      </c>
      <c r="AA56" s="166"/>
      <c r="AB56" s="167"/>
      <c r="AC56" s="168">
        <f>215</f>
        <v>215</v>
      </c>
      <c r="AD56" s="168"/>
      <c r="AE56" s="168"/>
      <c r="AF56" s="165">
        <f>220.08</f>
        <v>220.08</v>
      </c>
      <c r="AG56" s="166"/>
      <c r="AH56" s="167"/>
      <c r="AI56" s="160">
        <f>90+131.85+90+225.09+90+215.17+215+215+215+220.08</f>
        <v>1707.19</v>
      </c>
      <c r="AJ56" s="160"/>
      <c r="AK56" s="160"/>
      <c r="AL56" s="169">
        <f>AI56/AI99</f>
        <v>3.0884435219020179E-3</v>
      </c>
      <c r="AM56" s="168">
        <f>696.75+AI56</f>
        <v>2403.94</v>
      </c>
      <c r="AN56" s="168"/>
    </row>
    <row r="57" spans="1:40" x14ac:dyDescent="0.25">
      <c r="A57" s="159" t="s">
        <v>59</v>
      </c>
      <c r="B57" s="160">
        <f>19782.78</f>
        <v>19782.78</v>
      </c>
      <c r="C57" s="160"/>
      <c r="D57" s="160"/>
      <c r="E57" s="161">
        <v>0</v>
      </c>
      <c r="F57" s="162"/>
      <c r="G57" s="163"/>
      <c r="H57" s="161">
        <v>0</v>
      </c>
      <c r="I57" s="162"/>
      <c r="J57" s="163"/>
      <c r="K57" s="164">
        <v>0</v>
      </c>
      <c r="L57" s="164"/>
      <c r="M57" s="164"/>
      <c r="N57" s="161">
        <v>0</v>
      </c>
      <c r="O57" s="162"/>
      <c r="P57" s="163"/>
      <c r="Q57" s="165">
        <v>2000</v>
      </c>
      <c r="R57" s="166"/>
      <c r="S57" s="167"/>
      <c r="T57" s="161">
        <v>0</v>
      </c>
      <c r="U57" s="162"/>
      <c r="V57" s="163"/>
      <c r="W57" s="165">
        <v>0</v>
      </c>
      <c r="X57" s="166"/>
      <c r="Y57" s="166"/>
      <c r="Z57" s="165">
        <v>0</v>
      </c>
      <c r="AA57" s="166"/>
      <c r="AB57" s="167"/>
      <c r="AC57" s="168">
        <v>0</v>
      </c>
      <c r="AD57" s="168"/>
      <c r="AE57" s="168"/>
      <c r="AF57" s="165">
        <v>0</v>
      </c>
      <c r="AG57" s="166"/>
      <c r="AH57" s="167"/>
      <c r="AI57" s="160">
        <f>2000</f>
        <v>2000</v>
      </c>
      <c r="AJ57" s="160"/>
      <c r="AK57" s="160"/>
      <c r="AL57" s="169">
        <f>AI57/AI99</f>
        <v>3.6181602773001456E-3</v>
      </c>
      <c r="AM57" s="168">
        <f>21782.46+AI57</f>
        <v>23782.46</v>
      </c>
      <c r="AN57" s="168"/>
    </row>
    <row r="58" spans="1:40" x14ac:dyDescent="0.25">
      <c r="A58" s="159" t="s">
        <v>60</v>
      </c>
      <c r="B58" s="160">
        <f>3000</f>
        <v>3000</v>
      </c>
      <c r="C58" s="160"/>
      <c r="D58" s="160"/>
      <c r="E58" s="161">
        <v>0</v>
      </c>
      <c r="F58" s="162"/>
      <c r="G58" s="163"/>
      <c r="H58" s="161">
        <v>0</v>
      </c>
      <c r="I58" s="162"/>
      <c r="J58" s="163"/>
      <c r="K58" s="164">
        <v>0</v>
      </c>
      <c r="L58" s="164"/>
      <c r="M58" s="164"/>
      <c r="N58" s="161">
        <v>0</v>
      </c>
      <c r="O58" s="162"/>
      <c r="P58" s="163"/>
      <c r="Q58" s="165">
        <v>0</v>
      </c>
      <c r="R58" s="166"/>
      <c r="S58" s="167"/>
      <c r="T58" s="161">
        <v>0</v>
      </c>
      <c r="U58" s="162"/>
      <c r="V58" s="163"/>
      <c r="W58" s="165">
        <v>0</v>
      </c>
      <c r="X58" s="166"/>
      <c r="Y58" s="166"/>
      <c r="Z58" s="165">
        <v>0</v>
      </c>
      <c r="AA58" s="166"/>
      <c r="AB58" s="167"/>
      <c r="AC58" s="168">
        <v>0</v>
      </c>
      <c r="AD58" s="168"/>
      <c r="AE58" s="168"/>
      <c r="AF58" s="165">
        <v>0</v>
      </c>
      <c r="AG58" s="166"/>
      <c r="AH58" s="167"/>
      <c r="AI58" s="160">
        <v>0</v>
      </c>
      <c r="AJ58" s="160"/>
      <c r="AK58" s="160"/>
      <c r="AL58" s="169">
        <f>AI58/AI99</f>
        <v>0</v>
      </c>
      <c r="AM58" s="168">
        <f>1500+AI58</f>
        <v>1500</v>
      </c>
      <c r="AN58" s="168"/>
    </row>
    <row r="59" spans="1:40" x14ac:dyDescent="0.25">
      <c r="A59" s="159" t="s">
        <v>61</v>
      </c>
      <c r="B59" s="160">
        <f>5618.11</f>
        <v>5618.11</v>
      </c>
      <c r="C59" s="160"/>
      <c r="D59" s="160"/>
      <c r="E59" s="161">
        <v>0</v>
      </c>
      <c r="F59" s="162"/>
      <c r="G59" s="163"/>
      <c r="H59" s="161">
        <v>0</v>
      </c>
      <c r="I59" s="162"/>
      <c r="J59" s="163"/>
      <c r="K59" s="164">
        <v>0</v>
      </c>
      <c r="L59" s="164"/>
      <c r="M59" s="164"/>
      <c r="N59" s="161">
        <v>0</v>
      </c>
      <c r="O59" s="162"/>
      <c r="P59" s="163"/>
      <c r="Q59" s="165">
        <v>0</v>
      </c>
      <c r="R59" s="166"/>
      <c r="S59" s="167"/>
      <c r="T59" s="161">
        <v>0</v>
      </c>
      <c r="U59" s="162"/>
      <c r="V59" s="163"/>
      <c r="W59" s="165">
        <v>0</v>
      </c>
      <c r="X59" s="166"/>
      <c r="Y59" s="166"/>
      <c r="Z59" s="165">
        <v>0</v>
      </c>
      <c r="AA59" s="166"/>
      <c r="AB59" s="167"/>
      <c r="AC59" s="168">
        <v>0</v>
      </c>
      <c r="AD59" s="168"/>
      <c r="AE59" s="168"/>
      <c r="AF59" s="165">
        <v>0</v>
      </c>
      <c r="AG59" s="166"/>
      <c r="AH59" s="167"/>
      <c r="AI59" s="160">
        <v>0</v>
      </c>
      <c r="AJ59" s="160"/>
      <c r="AK59" s="160"/>
      <c r="AL59" s="169">
        <f>AI59/AI99</f>
        <v>0</v>
      </c>
      <c r="AM59" s="168">
        <f>5618.11+AI59</f>
        <v>5618.11</v>
      </c>
      <c r="AN59" s="168"/>
    </row>
    <row r="60" spans="1:40" x14ac:dyDescent="0.25">
      <c r="A60" s="159" t="s">
        <v>62</v>
      </c>
      <c r="B60" s="160">
        <f>84</f>
        <v>84</v>
      </c>
      <c r="C60" s="160"/>
      <c r="D60" s="160"/>
      <c r="E60" s="161">
        <v>0</v>
      </c>
      <c r="F60" s="162"/>
      <c r="G60" s="163"/>
      <c r="H60" s="161">
        <v>0</v>
      </c>
      <c r="I60" s="162"/>
      <c r="J60" s="163"/>
      <c r="K60" s="164">
        <v>0</v>
      </c>
      <c r="L60" s="164"/>
      <c r="M60" s="164"/>
      <c r="N60" s="161">
        <v>0</v>
      </c>
      <c r="O60" s="162"/>
      <c r="P60" s="163"/>
      <c r="Q60" s="165">
        <v>0</v>
      </c>
      <c r="R60" s="166"/>
      <c r="S60" s="167"/>
      <c r="T60" s="161">
        <v>0</v>
      </c>
      <c r="U60" s="162"/>
      <c r="V60" s="163"/>
      <c r="W60" s="165">
        <v>0</v>
      </c>
      <c r="X60" s="166"/>
      <c r="Y60" s="166"/>
      <c r="Z60" s="165">
        <v>0</v>
      </c>
      <c r="AA60" s="166"/>
      <c r="AB60" s="167"/>
      <c r="AC60" s="168">
        <v>0</v>
      </c>
      <c r="AD60" s="168"/>
      <c r="AE60" s="168"/>
      <c r="AF60" s="165">
        <v>0</v>
      </c>
      <c r="AG60" s="166"/>
      <c r="AH60" s="167"/>
      <c r="AI60" s="160">
        <f>0</f>
        <v>0</v>
      </c>
      <c r="AJ60" s="160"/>
      <c r="AK60" s="160"/>
      <c r="AL60" s="169">
        <f>AI60/AI99</f>
        <v>0</v>
      </c>
      <c r="AM60" s="168">
        <f>0+AI60</f>
        <v>0</v>
      </c>
      <c r="AN60" s="168"/>
    </row>
    <row r="61" spans="1:40" x14ac:dyDescent="0.25">
      <c r="A61" s="159" t="s">
        <v>63</v>
      </c>
      <c r="B61" s="160">
        <f>1960</f>
        <v>1960</v>
      </c>
      <c r="C61" s="160"/>
      <c r="D61" s="160"/>
      <c r="E61" s="161">
        <v>0</v>
      </c>
      <c r="F61" s="162"/>
      <c r="G61" s="163"/>
      <c r="H61" s="161">
        <v>0</v>
      </c>
      <c r="I61" s="162"/>
      <c r="J61" s="163"/>
      <c r="K61" s="164">
        <v>0</v>
      </c>
      <c r="L61" s="164"/>
      <c r="M61" s="164"/>
      <c r="N61" s="161">
        <v>0</v>
      </c>
      <c r="O61" s="162"/>
      <c r="P61" s="163"/>
      <c r="Q61" s="165">
        <v>0</v>
      </c>
      <c r="R61" s="166"/>
      <c r="S61" s="167"/>
      <c r="T61" s="161">
        <v>0</v>
      </c>
      <c r="U61" s="162"/>
      <c r="V61" s="163"/>
      <c r="W61" s="165">
        <v>0</v>
      </c>
      <c r="X61" s="166"/>
      <c r="Y61" s="166"/>
      <c r="Z61" s="165">
        <v>0</v>
      </c>
      <c r="AA61" s="166"/>
      <c r="AB61" s="167"/>
      <c r="AC61" s="168">
        <v>0</v>
      </c>
      <c r="AD61" s="168"/>
      <c r="AE61" s="168"/>
      <c r="AF61" s="165">
        <v>0</v>
      </c>
      <c r="AG61" s="166"/>
      <c r="AH61" s="167"/>
      <c r="AI61" s="160">
        <v>0</v>
      </c>
      <c r="AJ61" s="160"/>
      <c r="AK61" s="160"/>
      <c r="AL61" s="169">
        <f>AI61/AI99</f>
        <v>0</v>
      </c>
      <c r="AM61" s="168">
        <f>2170+AI61</f>
        <v>2170</v>
      </c>
      <c r="AN61" s="168"/>
    </row>
    <row r="62" spans="1:40" x14ac:dyDescent="0.25">
      <c r="A62" s="149" t="s">
        <v>64</v>
      </c>
      <c r="B62" s="150">
        <v>36231.96</v>
      </c>
      <c r="C62" s="150"/>
      <c r="D62" s="150"/>
      <c r="E62" s="151">
        <f>SUM(E63:E66)</f>
        <v>3987.0299999999997</v>
      </c>
      <c r="F62" s="152"/>
      <c r="G62" s="153"/>
      <c r="H62" s="151">
        <f t="shared" ref="H62" si="22">SUM(H63:H66)</f>
        <v>4769.6900000000005</v>
      </c>
      <c r="I62" s="152"/>
      <c r="J62" s="153"/>
      <c r="K62" s="154">
        <f>SUM(K63:K66)</f>
        <v>4101.08</v>
      </c>
      <c r="L62" s="154"/>
      <c r="M62" s="154"/>
      <c r="N62" s="151">
        <f t="shared" ref="N62" si="23">SUM(N63:N66)</f>
        <v>4024.0099999999998</v>
      </c>
      <c r="O62" s="152"/>
      <c r="P62" s="153"/>
      <c r="Q62" s="151">
        <f t="shared" ref="Q62" si="24">SUM(Q63:Q66)</f>
        <v>7067.6200000000008</v>
      </c>
      <c r="R62" s="152"/>
      <c r="S62" s="153"/>
      <c r="T62" s="151">
        <f t="shared" ref="T62" si="25">SUM(T63:T66)</f>
        <v>434.25</v>
      </c>
      <c r="U62" s="152"/>
      <c r="V62" s="153"/>
      <c r="W62" s="155">
        <f>SUM(W63:Y66)</f>
        <v>4297.43</v>
      </c>
      <c r="X62" s="156"/>
      <c r="Y62" s="156"/>
      <c r="Z62" s="155">
        <f>SUM(Z63:AB66)</f>
        <v>1359.5900000000001</v>
      </c>
      <c r="AA62" s="156"/>
      <c r="AB62" s="156"/>
      <c r="AC62" s="150">
        <f>SUM(AC63:AE66)</f>
        <v>3969.12</v>
      </c>
      <c r="AD62" s="150"/>
      <c r="AE62" s="150"/>
      <c r="AF62" s="155">
        <f>SUM(AF63:AH66)</f>
        <v>5752.85</v>
      </c>
      <c r="AG62" s="156"/>
      <c r="AH62" s="156"/>
      <c r="AI62" s="150">
        <f>SUM(AI63:AK66)</f>
        <v>39762.67</v>
      </c>
      <c r="AJ62" s="150"/>
      <c r="AK62" s="150"/>
      <c r="AL62" s="157">
        <f>AI62/AI99</f>
        <v>7.1933856556697082E-2</v>
      </c>
      <c r="AM62" s="158">
        <f>SUM(AM63:AN66)</f>
        <v>176604.76999999996</v>
      </c>
      <c r="AN62" s="158"/>
    </row>
    <row r="63" spans="1:40" x14ac:dyDescent="0.25">
      <c r="A63" s="159" t="s">
        <v>65</v>
      </c>
      <c r="B63" s="160">
        <v>20526.309999999998</v>
      </c>
      <c r="C63" s="160"/>
      <c r="D63" s="160"/>
      <c r="E63" s="161">
        <v>3422.2</v>
      </c>
      <c r="F63" s="162"/>
      <c r="G63" s="163"/>
      <c r="H63" s="161">
        <v>3668.5</v>
      </c>
      <c r="I63" s="162"/>
      <c r="J63" s="163"/>
      <c r="K63" s="164">
        <v>3437.6</v>
      </c>
      <c r="L63" s="164"/>
      <c r="M63" s="164"/>
      <c r="N63" s="161">
        <v>3450.4</v>
      </c>
      <c r="O63" s="162"/>
      <c r="P63" s="163"/>
      <c r="Q63" s="165">
        <v>3538.9</v>
      </c>
      <c r="R63" s="166"/>
      <c r="S63" s="167"/>
      <c r="T63" s="161">
        <v>120.6</v>
      </c>
      <c r="U63" s="162"/>
      <c r="V63" s="163"/>
      <c r="W63" s="165">
        <f>3441</f>
        <v>3441</v>
      </c>
      <c r="X63" s="166"/>
      <c r="Y63" s="166"/>
      <c r="Z63" s="165">
        <f>24.5+9.5+1.5+1.5+9.5+9.5+42</f>
        <v>98</v>
      </c>
      <c r="AA63" s="166"/>
      <c r="AB63" s="167"/>
      <c r="AC63" s="168">
        <f>24.5+9.5+9.5+9.5+9.5+9.5+1+1+3156.14+42+1</f>
        <v>3273.14</v>
      </c>
      <c r="AD63" s="168"/>
      <c r="AE63" s="168"/>
      <c r="AF63" s="165">
        <f>12.25+9.5+1391.01+9+9.5+9.5+42</f>
        <v>1482.76</v>
      </c>
      <c r="AG63" s="166"/>
      <c r="AH63" s="167"/>
      <c r="AI63" s="160">
        <f>3422.2+3668.5+3437.6+3450.4+3538.9+120.6+3441+98+3273.14+1482.76</f>
        <v>25933.099999999995</v>
      </c>
      <c r="AJ63" s="160"/>
      <c r="AK63" s="160"/>
      <c r="AL63" s="169">
        <f>AI63/AI99</f>
        <v>4.6915056143626191E-2</v>
      </c>
      <c r="AM63" s="179">
        <f>82070.16+AI63</f>
        <v>108003.26</v>
      </c>
      <c r="AN63" s="179"/>
    </row>
    <row r="64" spans="1:40" x14ac:dyDescent="0.25">
      <c r="A64" s="159" t="s">
        <v>66</v>
      </c>
      <c r="B64" s="160">
        <v>9727.3100000000013</v>
      </c>
      <c r="C64" s="160"/>
      <c r="D64" s="160"/>
      <c r="E64" s="161">
        <v>529.87</v>
      </c>
      <c r="F64" s="162"/>
      <c r="G64" s="163"/>
      <c r="H64" s="161">
        <v>562.69000000000005</v>
      </c>
      <c r="I64" s="162"/>
      <c r="J64" s="163"/>
      <c r="K64" s="164">
        <v>551.74</v>
      </c>
      <c r="L64" s="164"/>
      <c r="M64" s="164"/>
      <c r="N64" s="161">
        <v>524.16</v>
      </c>
      <c r="O64" s="162"/>
      <c r="P64" s="163"/>
      <c r="Q64" s="165">
        <v>529.87</v>
      </c>
      <c r="R64" s="166"/>
      <c r="S64" s="167"/>
      <c r="T64" s="161">
        <v>311.62</v>
      </c>
      <c r="U64" s="162"/>
      <c r="V64" s="163"/>
      <c r="W64" s="165">
        <f>75+232.5+240.73+257.07</f>
        <v>805.3</v>
      </c>
      <c r="X64" s="166"/>
      <c r="Y64" s="166"/>
      <c r="Z64" s="165">
        <f>255.4+75+232.5</f>
        <v>562.9</v>
      </c>
      <c r="AA64" s="166"/>
      <c r="AB64" s="167"/>
      <c r="AC64" s="168">
        <f>232.5+75+262.73</f>
        <v>570.23</v>
      </c>
      <c r="AD64" s="168"/>
      <c r="AE64" s="168"/>
      <c r="AF64" s="165">
        <f>232.5+75+254.82</f>
        <v>562.31999999999994</v>
      </c>
      <c r="AG64" s="166"/>
      <c r="AH64" s="167"/>
      <c r="AI64" s="160">
        <f>529.87+562.69+551.74+524.16+529.87+311.62+805.3+562.9+570.23+562.32</f>
        <v>5510.6999999999989</v>
      </c>
      <c r="AJ64" s="160"/>
      <c r="AK64" s="160"/>
      <c r="AL64" s="169">
        <f>AI64/AI99</f>
        <v>9.9692979200589546E-3</v>
      </c>
      <c r="AM64" s="179">
        <f>40464.83+AI64</f>
        <v>45975.53</v>
      </c>
      <c r="AN64" s="179"/>
    </row>
    <row r="65" spans="1:40" x14ac:dyDescent="0.25">
      <c r="A65" s="159" t="s">
        <v>67</v>
      </c>
      <c r="B65" s="160">
        <v>5978.34</v>
      </c>
      <c r="C65" s="160"/>
      <c r="D65" s="160"/>
      <c r="E65" s="161">
        <v>34.96</v>
      </c>
      <c r="F65" s="162"/>
      <c r="G65" s="163"/>
      <c r="H65" s="161">
        <v>538.5</v>
      </c>
      <c r="I65" s="162"/>
      <c r="J65" s="163"/>
      <c r="K65" s="164">
        <v>111.74</v>
      </c>
      <c r="L65" s="164"/>
      <c r="M65" s="164"/>
      <c r="N65" s="161">
        <v>49.45</v>
      </c>
      <c r="O65" s="162"/>
      <c r="P65" s="163"/>
      <c r="Q65" s="165">
        <v>2998.8500000000004</v>
      </c>
      <c r="R65" s="166"/>
      <c r="S65" s="167"/>
      <c r="T65" s="161">
        <v>2.0299999999999998</v>
      </c>
      <c r="U65" s="162"/>
      <c r="V65" s="163"/>
      <c r="W65" s="165">
        <f>51.13</f>
        <v>51.13</v>
      </c>
      <c r="X65" s="166"/>
      <c r="Y65" s="166"/>
      <c r="Z65" s="165">
        <f>698.69</f>
        <v>698.69</v>
      </c>
      <c r="AA65" s="166"/>
      <c r="AB65" s="167"/>
      <c r="AC65" s="168">
        <f>125.75</f>
        <v>125.75</v>
      </c>
      <c r="AD65" s="168"/>
      <c r="AE65" s="168"/>
      <c r="AF65" s="165">
        <f>1290.02+11.2+2406.55</f>
        <v>3707.7700000000004</v>
      </c>
      <c r="AG65" s="166"/>
      <c r="AH65" s="167"/>
      <c r="AI65" s="160">
        <f>34.96+538.5+111.74+49.45+2998.85+2.03+51.13+698.69+125.75+3707.77</f>
        <v>8318.8700000000008</v>
      </c>
      <c r="AJ65" s="160"/>
      <c r="AK65" s="160"/>
      <c r="AL65" s="169">
        <f>AI65/AI99</f>
        <v>1.5049502493011933E-2</v>
      </c>
      <c r="AM65" s="179">
        <f>14281.74+AI65</f>
        <v>22600.61</v>
      </c>
      <c r="AN65" s="179"/>
    </row>
    <row r="66" spans="1:40" x14ac:dyDescent="0.25">
      <c r="A66" s="159" t="s">
        <v>68</v>
      </c>
      <c r="B66" s="160">
        <v>0</v>
      </c>
      <c r="C66" s="160"/>
      <c r="D66" s="160"/>
      <c r="E66" s="161">
        <v>0</v>
      </c>
      <c r="F66" s="162"/>
      <c r="G66" s="163"/>
      <c r="H66" s="161">
        <v>0</v>
      </c>
      <c r="I66" s="162"/>
      <c r="J66" s="163"/>
      <c r="K66" s="164">
        <v>0</v>
      </c>
      <c r="L66" s="164"/>
      <c r="M66" s="164"/>
      <c r="N66" s="161">
        <v>0</v>
      </c>
      <c r="O66" s="162"/>
      <c r="P66" s="163"/>
      <c r="Q66" s="165">
        <v>0</v>
      </c>
      <c r="R66" s="166"/>
      <c r="S66" s="167"/>
      <c r="T66" s="161">
        <v>0</v>
      </c>
      <c r="U66" s="162"/>
      <c r="V66" s="163"/>
      <c r="W66" s="165">
        <v>0</v>
      </c>
      <c r="X66" s="166"/>
      <c r="Y66" s="166"/>
      <c r="Z66" s="165">
        <v>0</v>
      </c>
      <c r="AA66" s="166"/>
      <c r="AB66" s="167"/>
      <c r="AC66" s="168">
        <v>0</v>
      </c>
      <c r="AD66" s="168"/>
      <c r="AE66" s="168"/>
      <c r="AF66" s="165">
        <v>0</v>
      </c>
      <c r="AG66" s="166"/>
      <c r="AH66" s="167"/>
      <c r="AI66" s="160">
        <v>0</v>
      </c>
      <c r="AJ66" s="160"/>
      <c r="AK66" s="160"/>
      <c r="AL66" s="169">
        <f>AI66/AI99</f>
        <v>0</v>
      </c>
      <c r="AM66" s="177">
        <f>25.37+AI66</f>
        <v>25.37</v>
      </c>
      <c r="AN66" s="178"/>
    </row>
    <row r="67" spans="1:40" x14ac:dyDescent="0.25">
      <c r="A67" s="149" t="s">
        <v>69</v>
      </c>
      <c r="B67" s="150">
        <v>130947.96</v>
      </c>
      <c r="C67" s="150"/>
      <c r="D67" s="150"/>
      <c r="E67" s="151">
        <f>SUM(E68:E79)</f>
        <v>9724.5499999999993</v>
      </c>
      <c r="F67" s="152"/>
      <c r="G67" s="153"/>
      <c r="H67" s="151">
        <f t="shared" ref="H67" si="26">SUM(H68:H79)</f>
        <v>12319.49</v>
      </c>
      <c r="I67" s="152"/>
      <c r="J67" s="153"/>
      <c r="K67" s="154">
        <f>SUM(K68:K79)</f>
        <v>8863.43</v>
      </c>
      <c r="L67" s="154"/>
      <c r="M67" s="154"/>
      <c r="N67" s="151">
        <f t="shared" ref="N67" si="27">SUM(N68:N79)</f>
        <v>9496.3100000000013</v>
      </c>
      <c r="O67" s="152"/>
      <c r="P67" s="153"/>
      <c r="Q67" s="151">
        <f t="shared" ref="Q67" si="28">SUM(Q68:Q79)</f>
        <v>10003.540000000001</v>
      </c>
      <c r="R67" s="152"/>
      <c r="S67" s="153"/>
      <c r="T67" s="151">
        <f t="shared" ref="T67" si="29">SUM(T68:T79)</f>
        <v>10812.829999999998</v>
      </c>
      <c r="U67" s="152"/>
      <c r="V67" s="153"/>
      <c r="W67" s="155">
        <f>SUM(W68:Y79)</f>
        <v>11711.54</v>
      </c>
      <c r="X67" s="156"/>
      <c r="Y67" s="156"/>
      <c r="Z67" s="155">
        <f>SUM(Z68:AB79)</f>
        <v>10229.530000000001</v>
      </c>
      <c r="AA67" s="156"/>
      <c r="AB67" s="156"/>
      <c r="AC67" s="150">
        <f>SUM(AC68:AE79)</f>
        <v>20191.64</v>
      </c>
      <c r="AD67" s="150"/>
      <c r="AE67" s="150"/>
      <c r="AF67" s="155">
        <f>SUM(AF68:AH79)</f>
        <v>8389.65</v>
      </c>
      <c r="AG67" s="156"/>
      <c r="AH67" s="156"/>
      <c r="AI67" s="155">
        <f>SUM(AI68:AK79)</f>
        <v>111742.51</v>
      </c>
      <c r="AJ67" s="156"/>
      <c r="AK67" s="180"/>
      <c r="AL67" s="157">
        <f>AI67/AI99</f>
        <v>0.20215115548390714</v>
      </c>
      <c r="AM67" s="158">
        <f>SUM(AM68:AN79)</f>
        <v>359917.70999999996</v>
      </c>
      <c r="AN67" s="158"/>
    </row>
    <row r="68" spans="1:40" x14ac:dyDescent="0.25">
      <c r="A68" s="176" t="s">
        <v>70</v>
      </c>
      <c r="B68" s="160">
        <v>3962.51</v>
      </c>
      <c r="C68" s="160"/>
      <c r="D68" s="160"/>
      <c r="E68" s="161">
        <v>0</v>
      </c>
      <c r="F68" s="162"/>
      <c r="G68" s="163"/>
      <c r="H68" s="161">
        <v>0</v>
      </c>
      <c r="I68" s="162"/>
      <c r="J68" s="163"/>
      <c r="K68" s="164">
        <v>0</v>
      </c>
      <c r="L68" s="164"/>
      <c r="M68" s="164"/>
      <c r="N68" s="161">
        <v>0</v>
      </c>
      <c r="O68" s="162"/>
      <c r="P68" s="163"/>
      <c r="Q68" s="165">
        <v>0</v>
      </c>
      <c r="R68" s="166"/>
      <c r="S68" s="167"/>
      <c r="T68" s="161">
        <v>0</v>
      </c>
      <c r="U68" s="162"/>
      <c r="V68" s="163"/>
      <c r="W68" s="165">
        <v>0</v>
      </c>
      <c r="X68" s="166"/>
      <c r="Y68" s="166"/>
      <c r="Z68" s="165">
        <v>0</v>
      </c>
      <c r="AA68" s="166"/>
      <c r="AB68" s="167"/>
      <c r="AC68" s="168">
        <v>0</v>
      </c>
      <c r="AD68" s="168"/>
      <c r="AE68" s="168"/>
      <c r="AF68" s="165">
        <v>0</v>
      </c>
      <c r="AG68" s="166"/>
      <c r="AH68" s="167"/>
      <c r="AI68" s="32">
        <v>0</v>
      </c>
      <c r="AJ68" s="33"/>
      <c r="AK68" s="34"/>
      <c r="AL68" s="169">
        <f>AI68/AI99</f>
        <v>0</v>
      </c>
      <c r="AM68" s="179">
        <f>9608.91+AI68</f>
        <v>9608.91</v>
      </c>
      <c r="AN68" s="179"/>
    </row>
    <row r="69" spans="1:40" x14ac:dyDescent="0.25">
      <c r="A69" s="176" t="s">
        <v>71</v>
      </c>
      <c r="B69" s="160">
        <v>0</v>
      </c>
      <c r="C69" s="160"/>
      <c r="D69" s="160"/>
      <c r="E69" s="161">
        <v>0</v>
      </c>
      <c r="F69" s="162"/>
      <c r="G69" s="163"/>
      <c r="H69" s="161">
        <v>0</v>
      </c>
      <c r="I69" s="162"/>
      <c r="J69" s="163"/>
      <c r="K69" s="164">
        <v>0</v>
      </c>
      <c r="L69" s="164"/>
      <c r="M69" s="164"/>
      <c r="N69" s="161">
        <v>0</v>
      </c>
      <c r="O69" s="162"/>
      <c r="P69" s="163"/>
      <c r="Q69" s="165">
        <v>0</v>
      </c>
      <c r="R69" s="166"/>
      <c r="S69" s="167"/>
      <c r="T69" s="161">
        <v>859</v>
      </c>
      <c r="U69" s="162"/>
      <c r="V69" s="163"/>
      <c r="W69" s="165">
        <v>0</v>
      </c>
      <c r="X69" s="166"/>
      <c r="Y69" s="166"/>
      <c r="Z69" s="165">
        <v>0</v>
      </c>
      <c r="AA69" s="166"/>
      <c r="AB69" s="167"/>
      <c r="AC69" s="168">
        <v>0</v>
      </c>
      <c r="AD69" s="168"/>
      <c r="AE69" s="168"/>
      <c r="AF69" s="165">
        <v>0</v>
      </c>
      <c r="AG69" s="166"/>
      <c r="AH69" s="167"/>
      <c r="AI69" s="32">
        <f>859</f>
        <v>859</v>
      </c>
      <c r="AJ69" s="33"/>
      <c r="AK69" s="34"/>
      <c r="AL69" s="169">
        <f>AI69/AI99</f>
        <v>1.5539998391004126E-3</v>
      </c>
      <c r="AM69" s="179">
        <f>8251+AI69</f>
        <v>9110</v>
      </c>
      <c r="AN69" s="179"/>
    </row>
    <row r="70" spans="1:40" x14ac:dyDescent="0.25">
      <c r="A70" s="176" t="s">
        <v>72</v>
      </c>
      <c r="B70" s="160">
        <v>720.8</v>
      </c>
      <c r="C70" s="160"/>
      <c r="D70" s="160"/>
      <c r="E70" s="161">
        <v>0</v>
      </c>
      <c r="F70" s="162"/>
      <c r="G70" s="163"/>
      <c r="H70" s="161">
        <v>2093.1799999999998</v>
      </c>
      <c r="I70" s="162"/>
      <c r="J70" s="163"/>
      <c r="K70" s="164">
        <v>0</v>
      </c>
      <c r="L70" s="164"/>
      <c r="M70" s="164"/>
      <c r="N70" s="161">
        <v>0</v>
      </c>
      <c r="O70" s="162"/>
      <c r="P70" s="163"/>
      <c r="Q70" s="165">
        <v>0</v>
      </c>
      <c r="R70" s="166"/>
      <c r="S70" s="167"/>
      <c r="T70" s="161">
        <v>0</v>
      </c>
      <c r="U70" s="162"/>
      <c r="V70" s="163"/>
      <c r="W70" s="165">
        <v>0</v>
      </c>
      <c r="X70" s="166"/>
      <c r="Y70" s="166"/>
      <c r="Z70" s="165">
        <v>0</v>
      </c>
      <c r="AA70" s="166"/>
      <c r="AB70" s="167"/>
      <c r="AC70" s="168">
        <v>0</v>
      </c>
      <c r="AD70" s="168"/>
      <c r="AE70" s="168"/>
      <c r="AF70" s="165">
        <v>0</v>
      </c>
      <c r="AG70" s="166"/>
      <c r="AH70" s="167"/>
      <c r="AI70" s="32">
        <f>2093.18</f>
        <v>2093.1799999999998</v>
      </c>
      <c r="AJ70" s="33"/>
      <c r="AK70" s="34"/>
      <c r="AL70" s="169">
        <f>AI70/AI99</f>
        <v>3.7867303646195588E-3</v>
      </c>
      <c r="AM70" s="179">
        <f>2037.04+AI70</f>
        <v>4130.2199999999993</v>
      </c>
      <c r="AN70" s="179"/>
    </row>
    <row r="71" spans="1:40" x14ac:dyDescent="0.25">
      <c r="A71" s="159" t="s">
        <v>73</v>
      </c>
      <c r="B71" s="160">
        <v>945.44</v>
      </c>
      <c r="C71" s="160"/>
      <c r="D71" s="160"/>
      <c r="E71" s="161">
        <v>150</v>
      </c>
      <c r="F71" s="162"/>
      <c r="G71" s="163"/>
      <c r="H71" s="161">
        <v>147.87</v>
      </c>
      <c r="I71" s="162"/>
      <c r="J71" s="163"/>
      <c r="K71" s="164">
        <v>209.7</v>
      </c>
      <c r="L71" s="164"/>
      <c r="M71" s="164"/>
      <c r="N71" s="161">
        <v>0</v>
      </c>
      <c r="O71" s="162"/>
      <c r="P71" s="163"/>
      <c r="Q71" s="165">
        <v>137.32999999999998</v>
      </c>
      <c r="R71" s="166"/>
      <c r="S71" s="167"/>
      <c r="T71" s="161">
        <v>5</v>
      </c>
      <c r="U71" s="162"/>
      <c r="V71" s="163"/>
      <c r="W71" s="165">
        <f>231+10.62</f>
        <v>241.62</v>
      </c>
      <c r="X71" s="166"/>
      <c r="Y71" s="166"/>
      <c r="Z71" s="165">
        <v>0</v>
      </c>
      <c r="AA71" s="166"/>
      <c r="AB71" s="167"/>
      <c r="AC71" s="168">
        <v>0</v>
      </c>
      <c r="AD71" s="168"/>
      <c r="AE71" s="168"/>
      <c r="AF71" s="165">
        <v>0</v>
      </c>
      <c r="AG71" s="166"/>
      <c r="AH71" s="167"/>
      <c r="AI71" s="32">
        <f>150+147.87+209.7+137.33+5+241.62</f>
        <v>891.52</v>
      </c>
      <c r="AJ71" s="33"/>
      <c r="AK71" s="34"/>
      <c r="AL71" s="169">
        <f>AI71/AI99</f>
        <v>1.6128311252093129E-3</v>
      </c>
      <c r="AM71" s="179">
        <f>5085.95+AI71</f>
        <v>5977.4699999999993</v>
      </c>
      <c r="AN71" s="179"/>
    </row>
    <row r="72" spans="1:40" x14ac:dyDescent="0.25">
      <c r="A72" s="176" t="s">
        <v>74</v>
      </c>
      <c r="B72" s="160">
        <v>16097.460000000003</v>
      </c>
      <c r="C72" s="160"/>
      <c r="D72" s="160"/>
      <c r="E72" s="161">
        <v>1233.49</v>
      </c>
      <c r="F72" s="162"/>
      <c r="G72" s="163"/>
      <c r="H72" s="161">
        <v>1355.23</v>
      </c>
      <c r="I72" s="162"/>
      <c r="J72" s="163"/>
      <c r="K72" s="164">
        <v>1418.45</v>
      </c>
      <c r="L72" s="164"/>
      <c r="M72" s="164"/>
      <c r="N72" s="161">
        <v>1400.19</v>
      </c>
      <c r="O72" s="162"/>
      <c r="P72" s="163"/>
      <c r="Q72" s="165">
        <v>1414.67</v>
      </c>
      <c r="R72" s="166"/>
      <c r="S72" s="167"/>
      <c r="T72" s="161">
        <v>1380.6499999999999</v>
      </c>
      <c r="U72" s="162"/>
      <c r="V72" s="163"/>
      <c r="W72" s="165">
        <f>1358.44+52.31</f>
        <v>1410.75</v>
      </c>
      <c r="X72" s="166"/>
      <c r="Y72" s="166"/>
      <c r="Z72" s="165">
        <f>1396.74+52.52</f>
        <v>1449.26</v>
      </c>
      <c r="AA72" s="166"/>
      <c r="AB72" s="167"/>
      <c r="AC72" s="168">
        <f>1396.74+52.51</f>
        <v>1449.25</v>
      </c>
      <c r="AD72" s="168"/>
      <c r="AE72" s="168"/>
      <c r="AF72" s="165">
        <f>1483.4+52.5</f>
        <v>1535.9</v>
      </c>
      <c r="AG72" s="166"/>
      <c r="AH72" s="167"/>
      <c r="AI72" s="32">
        <f>1233.49+1355.23+1418.45+1400.19+1414.67+1380.65+1410.75+1449.26+1449.25+1535.9</f>
        <v>14047.84</v>
      </c>
      <c r="AJ72" s="33"/>
      <c r="AK72" s="34"/>
      <c r="AL72" s="169">
        <f>AI72/AI99</f>
        <v>2.5413668334934039E-2</v>
      </c>
      <c r="AM72" s="168">
        <f>36304.7+AI72</f>
        <v>50352.539999999994</v>
      </c>
      <c r="AN72" s="168"/>
    </row>
    <row r="73" spans="1:40" x14ac:dyDescent="0.25">
      <c r="A73" s="176" t="s">
        <v>75</v>
      </c>
      <c r="B73" s="160">
        <v>4311.88</v>
      </c>
      <c r="C73" s="160"/>
      <c r="D73" s="160"/>
      <c r="E73" s="161">
        <v>618.41</v>
      </c>
      <c r="F73" s="162"/>
      <c r="G73" s="163"/>
      <c r="H73" s="161">
        <v>269.39</v>
      </c>
      <c r="I73" s="162"/>
      <c r="J73" s="163"/>
      <c r="K73" s="164">
        <v>312.01</v>
      </c>
      <c r="L73" s="164"/>
      <c r="M73" s="164"/>
      <c r="N73" s="161">
        <v>343.07</v>
      </c>
      <c r="O73" s="162"/>
      <c r="P73" s="163"/>
      <c r="Q73" s="165">
        <v>300.14999999999998</v>
      </c>
      <c r="R73" s="166"/>
      <c r="S73" s="167"/>
      <c r="T73" s="161">
        <v>314.70999999999998</v>
      </c>
      <c r="U73" s="162"/>
      <c r="V73" s="163"/>
      <c r="W73" s="165">
        <f>259.93+121.83</f>
        <v>381.76</v>
      </c>
      <c r="X73" s="166"/>
      <c r="Y73" s="166"/>
      <c r="Z73" s="165">
        <f>55.08+137.97+99.25</f>
        <v>292.3</v>
      </c>
      <c r="AA73" s="166"/>
      <c r="AB73" s="167"/>
      <c r="AC73" s="168">
        <f>114.99+137.91+60.02</f>
        <v>312.91999999999996</v>
      </c>
      <c r="AD73" s="168"/>
      <c r="AE73" s="168"/>
      <c r="AF73" s="165">
        <f>51.31+114.99+66.05</f>
        <v>232.35000000000002</v>
      </c>
      <c r="AG73" s="166"/>
      <c r="AH73" s="167"/>
      <c r="AI73" s="32">
        <f>618.41+269.39+312.01+343.07+300.15+314.71+381.76+292.3+312.92+232.35</f>
        <v>3377.07</v>
      </c>
      <c r="AJ73" s="33"/>
      <c r="AK73" s="34"/>
      <c r="AL73" s="169">
        <f>AI73/AI99</f>
        <v>6.1093902638310014E-3</v>
      </c>
      <c r="AM73" s="168">
        <f>9284.02+AI73</f>
        <v>12661.09</v>
      </c>
      <c r="AN73" s="168"/>
    </row>
    <row r="74" spans="1:40" x14ac:dyDescent="0.25">
      <c r="A74" s="176" t="s">
        <v>76</v>
      </c>
      <c r="B74" s="160">
        <v>2319.3700000000003</v>
      </c>
      <c r="C74" s="160"/>
      <c r="D74" s="160"/>
      <c r="E74" s="161">
        <v>76.8</v>
      </c>
      <c r="F74" s="162"/>
      <c r="G74" s="163"/>
      <c r="H74" s="161">
        <v>54.9</v>
      </c>
      <c r="I74" s="162"/>
      <c r="J74" s="163"/>
      <c r="K74" s="164">
        <v>62</v>
      </c>
      <c r="L74" s="164"/>
      <c r="M74" s="164"/>
      <c r="N74" s="161">
        <v>78.489999999999995</v>
      </c>
      <c r="O74" s="162"/>
      <c r="P74" s="163"/>
      <c r="Q74" s="165">
        <v>110.78</v>
      </c>
      <c r="R74" s="166"/>
      <c r="S74" s="167"/>
      <c r="T74" s="161">
        <v>87.78</v>
      </c>
      <c r="U74" s="162"/>
      <c r="V74" s="163"/>
      <c r="W74" s="165">
        <f>22+4.39+7.99+22+14.95+10.8+22</f>
        <v>104.13</v>
      </c>
      <c r="X74" s="166"/>
      <c r="Y74" s="166"/>
      <c r="Z74" s="165">
        <f>22+7.5+15.5+22+10.8+22</f>
        <v>99.8</v>
      </c>
      <c r="AA74" s="166"/>
      <c r="AB74" s="167"/>
      <c r="AC74" s="168">
        <f>22+10.8+20+22+22</f>
        <v>96.8</v>
      </c>
      <c r="AD74" s="168"/>
      <c r="AE74" s="168"/>
      <c r="AF74" s="165">
        <f>23+23+16.95</f>
        <v>62.95</v>
      </c>
      <c r="AG74" s="166"/>
      <c r="AH74" s="167"/>
      <c r="AI74" s="32">
        <f>76.8+54.9+62+78.49+110.78+87.78+104.13+99.8+96.8+62.95</f>
        <v>834.43</v>
      </c>
      <c r="AJ74" s="33"/>
      <c r="AK74" s="34"/>
      <c r="AL74" s="169">
        <f>AI74/AI99</f>
        <v>1.5095507400937802E-3</v>
      </c>
      <c r="AM74" s="168">
        <f>6536.06+AI74</f>
        <v>7370.4900000000007</v>
      </c>
      <c r="AN74" s="168"/>
    </row>
    <row r="75" spans="1:40" x14ac:dyDescent="0.25">
      <c r="A75" s="176" t="s">
        <v>77</v>
      </c>
      <c r="B75" s="160">
        <v>576</v>
      </c>
      <c r="C75" s="160"/>
      <c r="D75" s="160"/>
      <c r="E75" s="161">
        <v>0</v>
      </c>
      <c r="F75" s="162"/>
      <c r="G75" s="163"/>
      <c r="H75" s="161">
        <v>468</v>
      </c>
      <c r="I75" s="162"/>
      <c r="J75" s="163"/>
      <c r="K75" s="164">
        <v>0</v>
      </c>
      <c r="L75" s="164"/>
      <c r="M75" s="164"/>
      <c r="N75" s="161">
        <v>0</v>
      </c>
      <c r="O75" s="162"/>
      <c r="P75" s="163"/>
      <c r="Q75" s="165">
        <v>0</v>
      </c>
      <c r="R75" s="166"/>
      <c r="S75" s="167"/>
      <c r="T75" s="161">
        <v>0</v>
      </c>
      <c r="U75" s="162"/>
      <c r="V75" s="163"/>
      <c r="W75" s="165">
        <v>0</v>
      </c>
      <c r="X75" s="166"/>
      <c r="Y75" s="166"/>
      <c r="Z75" s="165">
        <v>0</v>
      </c>
      <c r="AA75" s="166"/>
      <c r="AB75" s="167"/>
      <c r="AC75" s="168">
        <v>0</v>
      </c>
      <c r="AD75" s="168"/>
      <c r="AE75" s="168"/>
      <c r="AF75" s="165">
        <f>348</f>
        <v>348</v>
      </c>
      <c r="AG75" s="166"/>
      <c r="AH75" s="167"/>
      <c r="AI75" s="32">
        <f>468+348</f>
        <v>816</v>
      </c>
      <c r="AJ75" s="33"/>
      <c r="AK75" s="34"/>
      <c r="AL75" s="169">
        <f>AI75/AI99</f>
        <v>1.4762093931384593E-3</v>
      </c>
      <c r="AM75" s="168">
        <f>3355.6+AI75</f>
        <v>4171.6000000000004</v>
      </c>
      <c r="AN75" s="168"/>
    </row>
    <row r="76" spans="1:40" x14ac:dyDescent="0.25">
      <c r="A76" s="176" t="s">
        <v>78</v>
      </c>
      <c r="B76" s="160">
        <v>1290.2100000000003</v>
      </c>
      <c r="C76" s="160"/>
      <c r="D76" s="160"/>
      <c r="E76" s="161">
        <v>42.75</v>
      </c>
      <c r="F76" s="162"/>
      <c r="G76" s="163"/>
      <c r="H76" s="161">
        <v>0</v>
      </c>
      <c r="I76" s="162"/>
      <c r="J76" s="163"/>
      <c r="K76" s="164">
        <v>62.81</v>
      </c>
      <c r="L76" s="164"/>
      <c r="M76" s="164"/>
      <c r="N76" s="161">
        <v>69.150000000000006</v>
      </c>
      <c r="O76" s="162"/>
      <c r="P76" s="163"/>
      <c r="Q76" s="165">
        <v>27.9</v>
      </c>
      <c r="R76" s="166"/>
      <c r="S76" s="167"/>
      <c r="T76" s="161">
        <v>17.989999999999998</v>
      </c>
      <c r="U76" s="162"/>
      <c r="V76" s="163"/>
      <c r="W76" s="165">
        <f>7.98+6.5+12.25+27.9+29.59</f>
        <v>84.22</v>
      </c>
      <c r="X76" s="166"/>
      <c r="Y76" s="166"/>
      <c r="Z76" s="165">
        <f>27.9</f>
        <v>27.9</v>
      </c>
      <c r="AA76" s="166"/>
      <c r="AB76" s="167"/>
      <c r="AC76" s="168">
        <v>0</v>
      </c>
      <c r="AD76" s="168"/>
      <c r="AE76" s="168"/>
      <c r="AF76" s="165">
        <f>49.6</f>
        <v>49.6</v>
      </c>
      <c r="AG76" s="166"/>
      <c r="AH76" s="167"/>
      <c r="AI76" s="32">
        <f>42.75+62.81+69.15+27.9+17.99+84.22+27.9+49.6</f>
        <v>382.32000000000005</v>
      </c>
      <c r="AJ76" s="33"/>
      <c r="AK76" s="34"/>
      <c r="AL76" s="169">
        <f>AI76/AI99</f>
        <v>6.916475186086959E-4</v>
      </c>
      <c r="AM76" s="168">
        <f>3151.88+AI76</f>
        <v>3534.2000000000003</v>
      </c>
      <c r="AN76" s="168"/>
    </row>
    <row r="77" spans="1:40" x14ac:dyDescent="0.25">
      <c r="A77" s="176" t="s">
        <v>79</v>
      </c>
      <c r="B77" s="160">
        <v>0</v>
      </c>
      <c r="C77" s="160"/>
      <c r="D77" s="160"/>
      <c r="E77" s="161">
        <v>0</v>
      </c>
      <c r="F77" s="162"/>
      <c r="G77" s="163"/>
      <c r="H77" s="161">
        <v>0</v>
      </c>
      <c r="I77" s="162"/>
      <c r="J77" s="163"/>
      <c r="K77" s="164">
        <v>0</v>
      </c>
      <c r="L77" s="164"/>
      <c r="M77" s="164"/>
      <c r="N77" s="161">
        <v>0</v>
      </c>
      <c r="O77" s="162"/>
      <c r="P77" s="163"/>
      <c r="Q77" s="165">
        <v>0</v>
      </c>
      <c r="R77" s="166"/>
      <c r="S77" s="167"/>
      <c r="T77" s="161">
        <v>0</v>
      </c>
      <c r="U77" s="162"/>
      <c r="V77" s="163"/>
      <c r="W77" s="165">
        <v>0</v>
      </c>
      <c r="X77" s="166"/>
      <c r="Y77" s="166"/>
      <c r="Z77" s="165">
        <v>0</v>
      </c>
      <c r="AA77" s="166"/>
      <c r="AB77" s="167"/>
      <c r="AC77" s="168">
        <v>0</v>
      </c>
      <c r="AD77" s="168"/>
      <c r="AE77" s="168"/>
      <c r="AF77" s="165">
        <v>0</v>
      </c>
      <c r="AG77" s="166"/>
      <c r="AH77" s="167"/>
      <c r="AI77" s="32">
        <v>0</v>
      </c>
      <c r="AJ77" s="33"/>
      <c r="AK77" s="34"/>
      <c r="AL77" s="169">
        <f>AI77/AI99</f>
        <v>0</v>
      </c>
      <c r="AM77" s="179">
        <f>2056.76+AI77</f>
        <v>2056.7600000000002</v>
      </c>
      <c r="AN77" s="179"/>
    </row>
    <row r="78" spans="1:40" x14ac:dyDescent="0.25">
      <c r="A78" s="176" t="s">
        <v>80</v>
      </c>
      <c r="B78" s="160">
        <v>51207.24</v>
      </c>
      <c r="C78" s="160"/>
      <c r="D78" s="160"/>
      <c r="E78" s="161">
        <v>4202.8</v>
      </c>
      <c r="F78" s="162"/>
      <c r="G78" s="163"/>
      <c r="H78" s="161">
        <v>4221.16</v>
      </c>
      <c r="I78" s="162"/>
      <c r="J78" s="163"/>
      <c r="K78" s="164">
        <v>3035.75</v>
      </c>
      <c r="L78" s="164"/>
      <c r="M78" s="164"/>
      <c r="N78" s="161">
        <v>3922.71</v>
      </c>
      <c r="O78" s="162"/>
      <c r="P78" s="163"/>
      <c r="Q78" s="165">
        <v>4202.8</v>
      </c>
      <c r="R78" s="166"/>
      <c r="S78" s="167"/>
      <c r="T78" s="161">
        <v>4460.6499999999996</v>
      </c>
      <c r="U78" s="162"/>
      <c r="V78" s="163"/>
      <c r="W78" s="165">
        <f>1267.58+2642.57+1892.71</f>
        <v>5802.8600000000006</v>
      </c>
      <c r="X78" s="166"/>
      <c r="Y78" s="166"/>
      <c r="Z78" s="165">
        <f>2002.78+1699.16+1007.15</f>
        <v>4709.09</v>
      </c>
      <c r="AA78" s="166"/>
      <c r="AB78" s="167"/>
      <c r="AC78" s="168">
        <f>2505.48+1488.82+8009.33</f>
        <v>12003.630000000001</v>
      </c>
      <c r="AD78" s="168"/>
      <c r="AE78" s="168"/>
      <c r="AF78" s="165">
        <f>2534.78</f>
        <v>2534.7800000000002</v>
      </c>
      <c r="AG78" s="166"/>
      <c r="AH78" s="167"/>
      <c r="AI78" s="32">
        <f>4202.8+4221.16+3035.75+3922.71+4202.8+4460.65+5802.86+4709.09+12003.63+2534.78</f>
        <v>49096.229999999989</v>
      </c>
      <c r="AJ78" s="33"/>
      <c r="AK78" s="34"/>
      <c r="AL78" s="169">
        <f>AI78/AI99</f>
        <v>8.8819014575595837E-2</v>
      </c>
      <c r="AM78" s="179">
        <f>87672.22+AI78</f>
        <v>136768.44999999998</v>
      </c>
      <c r="AN78" s="179"/>
    </row>
    <row r="79" spans="1:40" x14ac:dyDescent="0.25">
      <c r="A79" s="176" t="s">
        <v>81</v>
      </c>
      <c r="B79" s="160">
        <v>49517.05</v>
      </c>
      <c r="C79" s="160"/>
      <c r="D79" s="160"/>
      <c r="E79" s="161">
        <v>3400.3</v>
      </c>
      <c r="F79" s="162"/>
      <c r="G79" s="163"/>
      <c r="H79" s="161">
        <v>3709.76</v>
      </c>
      <c r="I79" s="162"/>
      <c r="J79" s="163"/>
      <c r="K79" s="164">
        <v>3762.71</v>
      </c>
      <c r="L79" s="164"/>
      <c r="M79" s="164"/>
      <c r="N79" s="161">
        <v>3682.7</v>
      </c>
      <c r="O79" s="162"/>
      <c r="P79" s="163"/>
      <c r="Q79" s="165">
        <v>3809.91</v>
      </c>
      <c r="R79" s="166"/>
      <c r="S79" s="167"/>
      <c r="T79" s="161">
        <v>3687.0499999999997</v>
      </c>
      <c r="U79" s="162"/>
      <c r="V79" s="163"/>
      <c r="W79" s="165">
        <f>81.7+427.96+1723.75+53.49+981+418.3</f>
        <v>3686.2</v>
      </c>
      <c r="X79" s="166"/>
      <c r="Y79" s="166"/>
      <c r="Z79" s="165">
        <f>454.04+1828.93+56.75+49.76+881+380.7</f>
        <v>3651.1800000000003</v>
      </c>
      <c r="AA79" s="166"/>
      <c r="AB79" s="167"/>
      <c r="AC79" s="168">
        <f>467.06+58.38+63.83+1871.79+437.1+578+2782.88+70</f>
        <v>6329.04</v>
      </c>
      <c r="AD79" s="168"/>
      <c r="AE79" s="168"/>
      <c r="AF79" s="165">
        <f>480.74+261.92+67.83+380.7+503+52.58+82.3+1797</f>
        <v>3626.0699999999997</v>
      </c>
      <c r="AG79" s="166"/>
      <c r="AH79" s="167"/>
      <c r="AI79" s="32">
        <f>3400.3+3709.76+3762.71+3682.7+3809.91+3687.05+3686.2+3651.18+6329.04+3626.07</f>
        <v>39344.92</v>
      </c>
      <c r="AJ79" s="33"/>
      <c r="AK79" s="34"/>
      <c r="AL79" s="169">
        <f>AI79/AI99</f>
        <v>7.1178113328776021E-2</v>
      </c>
      <c r="AM79" s="179">
        <f>74831.06+AI79</f>
        <v>114175.98</v>
      </c>
      <c r="AN79" s="179"/>
    </row>
    <row r="80" spans="1:40" x14ac:dyDescent="0.25">
      <c r="A80" s="149" t="s">
        <v>82</v>
      </c>
      <c r="B80" s="150">
        <v>1929.6799999999998</v>
      </c>
      <c r="C80" s="150"/>
      <c r="D80" s="150"/>
      <c r="E80" s="151">
        <f>SUM(E81:E85)</f>
        <v>75</v>
      </c>
      <c r="F80" s="152"/>
      <c r="G80" s="153"/>
      <c r="H80" s="151">
        <f t="shared" ref="H80" si="30">SUM(H81:H85)</f>
        <v>227.23000000000002</v>
      </c>
      <c r="I80" s="152"/>
      <c r="J80" s="153"/>
      <c r="K80" s="154">
        <f>SUM(K81:K85)</f>
        <v>53</v>
      </c>
      <c r="L80" s="154"/>
      <c r="M80" s="154"/>
      <c r="N80" s="151">
        <f t="shared" ref="N80" si="31">SUM(N81:N85)</f>
        <v>34</v>
      </c>
      <c r="O80" s="152"/>
      <c r="P80" s="153"/>
      <c r="Q80" s="151">
        <f t="shared" ref="Q80" si="32">SUM(Q81:Q85)</f>
        <v>60.5</v>
      </c>
      <c r="R80" s="152"/>
      <c r="S80" s="153"/>
      <c r="T80" s="151">
        <f t="shared" ref="T80" si="33">SUM(T81:T85)</f>
        <v>53</v>
      </c>
      <c r="U80" s="152"/>
      <c r="V80" s="153"/>
      <c r="W80" s="155">
        <f>SUM(W81:Y85)</f>
        <v>17</v>
      </c>
      <c r="X80" s="156"/>
      <c r="Y80" s="156"/>
      <c r="Z80" s="155">
        <f>SUM(Z81:AB85)</f>
        <v>223.89999999999998</v>
      </c>
      <c r="AA80" s="156"/>
      <c r="AB80" s="156"/>
      <c r="AC80" s="150">
        <f>SUM(AC81:AE85)</f>
        <v>114.3</v>
      </c>
      <c r="AD80" s="150"/>
      <c r="AE80" s="150"/>
      <c r="AF80" s="155">
        <f>SUM(AF81:AH85)</f>
        <v>17</v>
      </c>
      <c r="AG80" s="156"/>
      <c r="AH80" s="156"/>
      <c r="AI80" s="155">
        <f>SUM(AI81:AK85)</f>
        <v>874.93</v>
      </c>
      <c r="AJ80" s="156"/>
      <c r="AK80" s="180"/>
      <c r="AL80" s="157">
        <f>AI80/AI99</f>
        <v>1.5828184857091081E-3</v>
      </c>
      <c r="AM80" s="158">
        <f>SUM(AM81:AN85)</f>
        <v>21054.52</v>
      </c>
      <c r="AN80" s="158"/>
    </row>
    <row r="81" spans="1:40" x14ac:dyDescent="0.25">
      <c r="A81" s="159" t="s">
        <v>83</v>
      </c>
      <c r="B81" s="160">
        <v>354.09999999999997</v>
      </c>
      <c r="C81" s="160"/>
      <c r="D81" s="160"/>
      <c r="E81" s="161">
        <v>0</v>
      </c>
      <c r="F81" s="162"/>
      <c r="G81" s="163"/>
      <c r="H81" s="161">
        <v>0</v>
      </c>
      <c r="I81" s="162"/>
      <c r="J81" s="163"/>
      <c r="K81" s="164">
        <v>0</v>
      </c>
      <c r="L81" s="164"/>
      <c r="M81" s="164"/>
      <c r="N81" s="161">
        <v>0</v>
      </c>
      <c r="O81" s="162"/>
      <c r="P81" s="163"/>
      <c r="Q81" s="165">
        <v>0</v>
      </c>
      <c r="R81" s="166"/>
      <c r="S81" s="167"/>
      <c r="T81" s="161">
        <v>0</v>
      </c>
      <c r="U81" s="162"/>
      <c r="V81" s="163"/>
      <c r="W81" s="165">
        <v>0</v>
      </c>
      <c r="X81" s="166"/>
      <c r="Y81" s="166"/>
      <c r="Z81" s="165">
        <v>0</v>
      </c>
      <c r="AA81" s="166"/>
      <c r="AB81" s="167"/>
      <c r="AC81" s="168">
        <v>0</v>
      </c>
      <c r="AD81" s="168"/>
      <c r="AE81" s="168"/>
      <c r="AF81" s="165">
        <v>0</v>
      </c>
      <c r="AG81" s="166"/>
      <c r="AH81" s="167"/>
      <c r="AI81" s="32">
        <v>0</v>
      </c>
      <c r="AJ81" s="33"/>
      <c r="AK81" s="34"/>
      <c r="AL81" s="169">
        <f>AI81/AI99</f>
        <v>0</v>
      </c>
      <c r="AM81" s="168">
        <f>4832.06+AI81</f>
        <v>4832.0600000000004</v>
      </c>
      <c r="AN81" s="168"/>
    </row>
    <row r="82" spans="1:40" x14ac:dyDescent="0.25">
      <c r="A82" s="159" t="s">
        <v>84</v>
      </c>
      <c r="B82" s="32">
        <v>0</v>
      </c>
      <c r="C82" s="33"/>
      <c r="D82" s="34"/>
      <c r="E82" s="161">
        <v>0</v>
      </c>
      <c r="F82" s="162"/>
      <c r="G82" s="163"/>
      <c r="H82" s="161">
        <v>0</v>
      </c>
      <c r="I82" s="162"/>
      <c r="J82" s="163"/>
      <c r="K82" s="164">
        <v>0</v>
      </c>
      <c r="L82" s="164"/>
      <c r="M82" s="164"/>
      <c r="N82" s="161">
        <v>0</v>
      </c>
      <c r="O82" s="162"/>
      <c r="P82" s="163"/>
      <c r="Q82" s="165">
        <v>0</v>
      </c>
      <c r="R82" s="166"/>
      <c r="S82" s="167"/>
      <c r="T82" s="161">
        <v>0</v>
      </c>
      <c r="U82" s="162"/>
      <c r="V82" s="163"/>
      <c r="W82" s="165">
        <v>0</v>
      </c>
      <c r="X82" s="166"/>
      <c r="Y82" s="166"/>
      <c r="Z82" s="165">
        <v>0</v>
      </c>
      <c r="AA82" s="166"/>
      <c r="AB82" s="167"/>
      <c r="AC82" s="168">
        <v>0</v>
      </c>
      <c r="AD82" s="168"/>
      <c r="AE82" s="168"/>
      <c r="AF82" s="165">
        <v>0</v>
      </c>
      <c r="AG82" s="166"/>
      <c r="AH82" s="167"/>
      <c r="AI82" s="32">
        <v>0</v>
      </c>
      <c r="AJ82" s="33"/>
      <c r="AK82" s="34"/>
      <c r="AL82" s="169">
        <f>AI82/AI99</f>
        <v>0</v>
      </c>
      <c r="AM82" s="168">
        <f>0+AI82</f>
        <v>0</v>
      </c>
      <c r="AN82" s="168"/>
    </row>
    <row r="83" spans="1:40" x14ac:dyDescent="0.25">
      <c r="A83" s="159" t="s">
        <v>85</v>
      </c>
      <c r="B83" s="32">
        <v>335</v>
      </c>
      <c r="C83" s="33"/>
      <c r="D83" s="34"/>
      <c r="E83" s="161">
        <v>75</v>
      </c>
      <c r="F83" s="162"/>
      <c r="G83" s="163"/>
      <c r="H83" s="161">
        <v>35</v>
      </c>
      <c r="I83" s="162"/>
      <c r="J83" s="163"/>
      <c r="K83" s="164">
        <v>17</v>
      </c>
      <c r="L83" s="164"/>
      <c r="M83" s="164"/>
      <c r="N83" s="161">
        <v>34</v>
      </c>
      <c r="O83" s="162"/>
      <c r="P83" s="163"/>
      <c r="Q83" s="165">
        <v>32</v>
      </c>
      <c r="R83" s="166"/>
      <c r="S83" s="167"/>
      <c r="T83" s="161">
        <v>17</v>
      </c>
      <c r="U83" s="162"/>
      <c r="V83" s="163"/>
      <c r="W83" s="165">
        <f>17</f>
        <v>17</v>
      </c>
      <c r="X83" s="166"/>
      <c r="Y83" s="166"/>
      <c r="Z83" s="165">
        <f>17+15</f>
        <v>32</v>
      </c>
      <c r="AA83" s="166"/>
      <c r="AB83" s="167"/>
      <c r="AC83" s="168">
        <f>17</f>
        <v>17</v>
      </c>
      <c r="AD83" s="168"/>
      <c r="AE83" s="168"/>
      <c r="AF83" s="165">
        <f>17</f>
        <v>17</v>
      </c>
      <c r="AG83" s="166"/>
      <c r="AH83" s="167"/>
      <c r="AI83" s="32">
        <f>75+35+17+34+32+17+17+32+17+17</f>
        <v>293</v>
      </c>
      <c r="AJ83" s="33"/>
      <c r="AK83" s="34"/>
      <c r="AL83" s="169">
        <f>AI83/AI99</f>
        <v>5.3006048062447127E-4</v>
      </c>
      <c r="AM83" s="168">
        <f>722+AI83</f>
        <v>1015</v>
      </c>
      <c r="AN83" s="168"/>
    </row>
    <row r="84" spans="1:40" x14ac:dyDescent="0.25">
      <c r="A84" s="159" t="s">
        <v>86</v>
      </c>
      <c r="B84" s="32">
        <v>849.74999999999989</v>
      </c>
      <c r="C84" s="33"/>
      <c r="D84" s="34"/>
      <c r="E84" s="161">
        <v>0</v>
      </c>
      <c r="F84" s="162"/>
      <c r="G84" s="163"/>
      <c r="H84" s="161">
        <v>135.46</v>
      </c>
      <c r="I84" s="162"/>
      <c r="J84" s="163"/>
      <c r="K84" s="164">
        <v>36</v>
      </c>
      <c r="L84" s="164"/>
      <c r="M84" s="164"/>
      <c r="N84" s="161">
        <v>0</v>
      </c>
      <c r="O84" s="162"/>
      <c r="P84" s="163"/>
      <c r="Q84" s="165">
        <v>0</v>
      </c>
      <c r="R84" s="166"/>
      <c r="S84" s="167"/>
      <c r="T84" s="161">
        <v>36</v>
      </c>
      <c r="U84" s="162"/>
      <c r="V84" s="163"/>
      <c r="W84" s="165">
        <v>0</v>
      </c>
      <c r="X84" s="166"/>
      <c r="Y84" s="166"/>
      <c r="Z84" s="165">
        <f>72+33.1+33.1+33.1</f>
        <v>171.29999999999998</v>
      </c>
      <c r="AA84" s="166"/>
      <c r="AB84" s="167"/>
      <c r="AC84" s="168">
        <f>69.3</f>
        <v>69.3</v>
      </c>
      <c r="AD84" s="168"/>
      <c r="AE84" s="168"/>
      <c r="AF84" s="165">
        <v>0</v>
      </c>
      <c r="AG84" s="166"/>
      <c r="AH84" s="167"/>
      <c r="AI84" s="32">
        <f>135.46+36+36+171.3+69.3</f>
        <v>448.06</v>
      </c>
      <c r="AJ84" s="33"/>
      <c r="AK84" s="34"/>
      <c r="AL84" s="169">
        <f>AI84/AI99</f>
        <v>8.1057644692355158E-4</v>
      </c>
      <c r="AM84" s="168">
        <f>14234.7+AI84</f>
        <v>14682.76</v>
      </c>
      <c r="AN84" s="168"/>
    </row>
    <row r="85" spans="1:40" x14ac:dyDescent="0.25">
      <c r="A85" s="159" t="s">
        <v>87</v>
      </c>
      <c r="B85" s="32">
        <v>390.83</v>
      </c>
      <c r="C85" s="33"/>
      <c r="D85" s="34"/>
      <c r="E85" s="161">
        <v>0</v>
      </c>
      <c r="F85" s="162"/>
      <c r="G85" s="163"/>
      <c r="H85" s="161">
        <v>56.77</v>
      </c>
      <c r="I85" s="162"/>
      <c r="J85" s="163"/>
      <c r="K85" s="164">
        <v>0</v>
      </c>
      <c r="L85" s="164"/>
      <c r="M85" s="164"/>
      <c r="N85" s="161">
        <v>0</v>
      </c>
      <c r="O85" s="162"/>
      <c r="P85" s="163"/>
      <c r="Q85" s="165">
        <v>28.5</v>
      </c>
      <c r="R85" s="166"/>
      <c r="S85" s="167"/>
      <c r="T85" s="161">
        <v>0</v>
      </c>
      <c r="U85" s="162"/>
      <c r="V85" s="163"/>
      <c r="W85" s="165">
        <v>0</v>
      </c>
      <c r="X85" s="166"/>
      <c r="Y85" s="166"/>
      <c r="Z85" s="165">
        <f>9.5+11.1</f>
        <v>20.6</v>
      </c>
      <c r="AA85" s="166"/>
      <c r="AB85" s="167"/>
      <c r="AC85" s="168">
        <f>15+13</f>
        <v>28</v>
      </c>
      <c r="AD85" s="168"/>
      <c r="AE85" s="168"/>
      <c r="AF85" s="165">
        <v>0</v>
      </c>
      <c r="AG85" s="166"/>
      <c r="AH85" s="167"/>
      <c r="AI85" s="32">
        <f>56.77+28.5+20.6+28</f>
        <v>133.87</v>
      </c>
      <c r="AJ85" s="33"/>
      <c r="AK85" s="34"/>
      <c r="AL85" s="169">
        <f>AI85/AI99</f>
        <v>2.4218155816108525E-4</v>
      </c>
      <c r="AM85" s="168">
        <f>390.83+AI85</f>
        <v>524.70000000000005</v>
      </c>
      <c r="AN85" s="168"/>
    </row>
    <row r="86" spans="1:40" x14ac:dyDescent="0.25">
      <c r="A86" s="149" t="s">
        <v>88</v>
      </c>
      <c r="B86" s="155">
        <v>6551.1</v>
      </c>
      <c r="C86" s="156"/>
      <c r="D86" s="180"/>
      <c r="E86" s="151">
        <f>SUM(E87:E90)</f>
        <v>0</v>
      </c>
      <c r="F86" s="152"/>
      <c r="G86" s="153"/>
      <c r="H86" s="151">
        <f>SUM(H87:H90)</f>
        <v>173016.22</v>
      </c>
      <c r="I86" s="152"/>
      <c r="J86" s="153"/>
      <c r="K86" s="154">
        <f>SUM(K87:K90)</f>
        <v>7453.9</v>
      </c>
      <c r="L86" s="154"/>
      <c r="M86" s="154"/>
      <c r="N86" s="151">
        <f>SUM(N87:N90)</f>
        <v>0</v>
      </c>
      <c r="O86" s="152"/>
      <c r="P86" s="153"/>
      <c r="Q86" s="151">
        <f>SUM(Q87:Q90)</f>
        <v>7056.9</v>
      </c>
      <c r="R86" s="152"/>
      <c r="S86" s="153"/>
      <c r="T86" s="151">
        <f>SUM(T87:T90)</f>
        <v>863.99</v>
      </c>
      <c r="U86" s="152"/>
      <c r="V86" s="153"/>
      <c r="W86" s="151">
        <f>SUM(W87:W90)</f>
        <v>2227.6999999999998</v>
      </c>
      <c r="X86" s="152"/>
      <c r="Y86" s="153"/>
      <c r="Z86" s="151">
        <f>SUM(Z87:Z90)</f>
        <v>8223.25</v>
      </c>
      <c r="AA86" s="152"/>
      <c r="AB86" s="153"/>
      <c r="AC86" s="154">
        <f>SUM(AC87:AC90)</f>
        <v>360</v>
      </c>
      <c r="AD86" s="154"/>
      <c r="AE86" s="154"/>
      <c r="AF86" s="151">
        <f>SUM(AF87:AF90)</f>
        <v>340</v>
      </c>
      <c r="AG86" s="152"/>
      <c r="AH86" s="153"/>
      <c r="AI86" s="155">
        <f>SUM(AI87:AK90)</f>
        <v>199541.96000000002</v>
      </c>
      <c r="AJ86" s="156"/>
      <c r="AK86" s="180"/>
      <c r="AL86" s="157">
        <f>AI86/AI99</f>
        <v>0.36098739666330731</v>
      </c>
      <c r="AM86" s="158">
        <f>SUM(AM87:AN90)</f>
        <v>273602.88</v>
      </c>
      <c r="AN86" s="158"/>
    </row>
    <row r="87" spans="1:40" x14ac:dyDescent="0.25">
      <c r="A87" s="159" t="s">
        <v>89</v>
      </c>
      <c r="B87" s="32">
        <v>6489.1</v>
      </c>
      <c r="C87" s="33"/>
      <c r="D87" s="34"/>
      <c r="E87" s="161">
        <v>0</v>
      </c>
      <c r="F87" s="162"/>
      <c r="G87" s="163"/>
      <c r="H87" s="161">
        <v>0</v>
      </c>
      <c r="I87" s="162"/>
      <c r="J87" s="163"/>
      <c r="K87" s="164">
        <v>7453.9</v>
      </c>
      <c r="L87" s="164"/>
      <c r="M87" s="164"/>
      <c r="N87" s="161">
        <v>0</v>
      </c>
      <c r="O87" s="162"/>
      <c r="P87" s="163"/>
      <c r="Q87" s="165">
        <v>7056.9</v>
      </c>
      <c r="R87" s="166"/>
      <c r="S87" s="167"/>
      <c r="T87" s="161">
        <v>0</v>
      </c>
      <c r="U87" s="162"/>
      <c r="V87" s="163"/>
      <c r="W87" s="165">
        <f>1158.71+197.82</f>
        <v>1356.53</v>
      </c>
      <c r="X87" s="166"/>
      <c r="Y87" s="166"/>
      <c r="Z87" s="165">
        <f>8163.25</f>
        <v>8163.25</v>
      </c>
      <c r="AA87" s="166"/>
      <c r="AB87" s="167"/>
      <c r="AC87" s="168">
        <v>0</v>
      </c>
      <c r="AD87" s="168"/>
      <c r="AE87" s="168"/>
      <c r="AF87" s="165">
        <v>0</v>
      </c>
      <c r="AG87" s="166"/>
      <c r="AH87" s="167"/>
      <c r="AI87" s="32">
        <f>7453.9+7056.9+1356.53+8163.25</f>
        <v>24030.58</v>
      </c>
      <c r="AJ87" s="33"/>
      <c r="AK87" s="34"/>
      <c r="AL87" s="169">
        <f>AI87/AI99</f>
        <v>4.3473244998241671E-2</v>
      </c>
      <c r="AM87" s="168">
        <f>69328.92+AI87</f>
        <v>93359.5</v>
      </c>
      <c r="AN87" s="168"/>
    </row>
    <row r="88" spans="1:40" x14ac:dyDescent="0.25">
      <c r="A88" s="159" t="s">
        <v>90</v>
      </c>
      <c r="B88" s="32">
        <v>0</v>
      </c>
      <c r="C88" s="33"/>
      <c r="D88" s="34"/>
      <c r="E88" s="161">
        <v>0</v>
      </c>
      <c r="F88" s="162"/>
      <c r="G88" s="163"/>
      <c r="H88" s="161">
        <v>0</v>
      </c>
      <c r="I88" s="162"/>
      <c r="J88" s="163"/>
      <c r="K88" s="164">
        <v>0</v>
      </c>
      <c r="L88" s="164"/>
      <c r="M88" s="164"/>
      <c r="N88" s="161">
        <v>0</v>
      </c>
      <c r="O88" s="162"/>
      <c r="P88" s="163"/>
      <c r="Q88" s="165">
        <v>0</v>
      </c>
      <c r="R88" s="166"/>
      <c r="S88" s="167"/>
      <c r="T88" s="161">
        <v>0</v>
      </c>
      <c r="U88" s="162"/>
      <c r="V88" s="163"/>
      <c r="W88" s="165">
        <v>0</v>
      </c>
      <c r="X88" s="166"/>
      <c r="Y88" s="166"/>
      <c r="Z88" s="165">
        <v>0</v>
      </c>
      <c r="AA88" s="166"/>
      <c r="AB88" s="167"/>
      <c r="AC88" s="168">
        <v>0</v>
      </c>
      <c r="AD88" s="168"/>
      <c r="AE88" s="168"/>
      <c r="AF88" s="165">
        <v>0</v>
      </c>
      <c r="AG88" s="166"/>
      <c r="AH88" s="167"/>
      <c r="AI88" s="32">
        <f>0</f>
        <v>0</v>
      </c>
      <c r="AJ88" s="33"/>
      <c r="AK88" s="34"/>
      <c r="AL88" s="169">
        <f>AI88/AI99</f>
        <v>0</v>
      </c>
      <c r="AM88" s="168">
        <f>1000+AI88</f>
        <v>1000</v>
      </c>
      <c r="AN88" s="168"/>
    </row>
    <row r="89" spans="1:40" x14ac:dyDescent="0.25">
      <c r="A89" s="159" t="s">
        <v>91</v>
      </c>
      <c r="B89" s="32">
        <v>62</v>
      </c>
      <c r="C89" s="33"/>
      <c r="D89" s="34"/>
      <c r="E89" s="161">
        <v>0</v>
      </c>
      <c r="F89" s="162"/>
      <c r="G89" s="163"/>
      <c r="H89" s="161">
        <v>173016.22</v>
      </c>
      <c r="I89" s="162"/>
      <c r="J89" s="163"/>
      <c r="K89" s="164">
        <v>0</v>
      </c>
      <c r="L89" s="164"/>
      <c r="M89" s="164"/>
      <c r="N89" s="161">
        <v>0</v>
      </c>
      <c r="O89" s="162"/>
      <c r="P89" s="163"/>
      <c r="Q89" s="165">
        <v>0</v>
      </c>
      <c r="R89" s="166"/>
      <c r="S89" s="167"/>
      <c r="T89" s="161">
        <v>863.99</v>
      </c>
      <c r="U89" s="162"/>
      <c r="V89" s="163"/>
      <c r="W89" s="165">
        <f>511.17+360</f>
        <v>871.17000000000007</v>
      </c>
      <c r="X89" s="166"/>
      <c r="Y89" s="166"/>
      <c r="Z89" s="165">
        <v>0</v>
      </c>
      <c r="AA89" s="166"/>
      <c r="AB89" s="167"/>
      <c r="AC89" s="168">
        <f>360</f>
        <v>360</v>
      </c>
      <c r="AD89" s="168"/>
      <c r="AE89" s="168"/>
      <c r="AF89" s="165">
        <f>340</f>
        <v>340</v>
      </c>
      <c r="AG89" s="166"/>
      <c r="AH89" s="167"/>
      <c r="AI89" s="32">
        <f>173016.22+863.99+871.17+360+340</f>
        <v>175451.38</v>
      </c>
      <c r="AJ89" s="33"/>
      <c r="AK89" s="34"/>
      <c r="AL89" s="169">
        <f>AI89/AI99</f>
        <v>0.31740560685674662</v>
      </c>
      <c r="AM89" s="168">
        <f>3732+AI89</f>
        <v>179183.38</v>
      </c>
      <c r="AN89" s="168"/>
    </row>
    <row r="90" spans="1:40" x14ac:dyDescent="0.25">
      <c r="A90" s="159" t="s">
        <v>92</v>
      </c>
      <c r="B90" s="32">
        <v>0</v>
      </c>
      <c r="C90" s="33"/>
      <c r="D90" s="34"/>
      <c r="E90" s="161">
        <v>0</v>
      </c>
      <c r="F90" s="162"/>
      <c r="G90" s="163"/>
      <c r="H90" s="161">
        <v>0</v>
      </c>
      <c r="I90" s="162"/>
      <c r="J90" s="163"/>
      <c r="K90" s="161">
        <v>0</v>
      </c>
      <c r="L90" s="162"/>
      <c r="M90" s="163"/>
      <c r="N90" s="161">
        <v>0</v>
      </c>
      <c r="O90" s="162"/>
      <c r="P90" s="163"/>
      <c r="Q90" s="161">
        <v>0</v>
      </c>
      <c r="R90" s="162"/>
      <c r="S90" s="163"/>
      <c r="T90" s="161">
        <v>0</v>
      </c>
      <c r="U90" s="162"/>
      <c r="V90" s="163"/>
      <c r="W90" s="161">
        <v>0</v>
      </c>
      <c r="X90" s="162"/>
      <c r="Y90" s="163"/>
      <c r="Z90" s="165">
        <f>60</f>
        <v>60</v>
      </c>
      <c r="AA90" s="166"/>
      <c r="AB90" s="167"/>
      <c r="AC90" s="168">
        <v>0</v>
      </c>
      <c r="AD90" s="168"/>
      <c r="AE90" s="168"/>
      <c r="AF90" s="165">
        <v>0</v>
      </c>
      <c r="AG90" s="166"/>
      <c r="AH90" s="167"/>
      <c r="AI90" s="32">
        <f>60</f>
        <v>60</v>
      </c>
      <c r="AJ90" s="33"/>
      <c r="AK90" s="34"/>
      <c r="AL90" s="169">
        <f>AI90/AI99</f>
        <v>1.0854480831900436E-4</v>
      </c>
      <c r="AM90" s="165">
        <f>AI90+0</f>
        <v>60</v>
      </c>
      <c r="AN90" s="167"/>
    </row>
    <row r="91" spans="1:40" x14ac:dyDescent="0.25">
      <c r="A91" s="149" t="s">
        <v>93</v>
      </c>
      <c r="B91" s="155">
        <v>54706.3</v>
      </c>
      <c r="C91" s="156"/>
      <c r="D91" s="180"/>
      <c r="E91" s="151">
        <f>SUM(E92:E98)</f>
        <v>0</v>
      </c>
      <c r="F91" s="152"/>
      <c r="G91" s="153"/>
      <c r="H91" s="151">
        <f t="shared" ref="H91" si="34">SUM(H92:H98)</f>
        <v>2604.98</v>
      </c>
      <c r="I91" s="152"/>
      <c r="J91" s="153"/>
      <c r="K91" s="154">
        <f>SUM(K92:K98)</f>
        <v>14146.78</v>
      </c>
      <c r="L91" s="154"/>
      <c r="M91" s="154"/>
      <c r="N91" s="151">
        <f t="shared" ref="N91" si="35">SUM(N92:N98)</f>
        <v>5441.6900000000005</v>
      </c>
      <c r="O91" s="152"/>
      <c r="P91" s="153"/>
      <c r="Q91" s="151">
        <f t="shared" ref="Q91" si="36">SUM(Q92:Q98)</f>
        <v>1359.04</v>
      </c>
      <c r="R91" s="152"/>
      <c r="S91" s="153"/>
      <c r="T91" s="181">
        <f t="shared" ref="T91" si="37">SUM(T92:T98)</f>
        <v>12457.19</v>
      </c>
      <c r="U91" s="182"/>
      <c r="V91" s="183"/>
      <c r="W91" s="155">
        <f>SUM(W92:Y98)</f>
        <v>5101.3900000000003</v>
      </c>
      <c r="X91" s="156"/>
      <c r="Y91" s="156"/>
      <c r="Z91" s="151">
        <f t="shared" ref="Z91" si="38">SUM(Z92:Z98)</f>
        <v>1734.21</v>
      </c>
      <c r="AA91" s="152"/>
      <c r="AB91" s="153"/>
      <c r="AC91" s="154">
        <f t="shared" ref="AC91" si="39">SUM(AC92:AC98)</f>
        <v>15631.64</v>
      </c>
      <c r="AD91" s="154"/>
      <c r="AE91" s="154"/>
      <c r="AF91" s="151">
        <f t="shared" ref="AF91" si="40">SUM(AF92:AF98)</f>
        <v>0</v>
      </c>
      <c r="AG91" s="152"/>
      <c r="AH91" s="153"/>
      <c r="AI91" s="155">
        <f>SUM(AI92:AK98)</f>
        <v>58476.92</v>
      </c>
      <c r="AJ91" s="156"/>
      <c r="AK91" s="180"/>
      <c r="AL91" s="157">
        <f>AI91/AI99</f>
        <v>0.10578943454142921</v>
      </c>
      <c r="AM91" s="158">
        <f>SUM(AM92:AN98)</f>
        <v>163038.11000000002</v>
      </c>
      <c r="AN91" s="158"/>
    </row>
    <row r="92" spans="1:40" x14ac:dyDescent="0.25">
      <c r="A92" s="176" t="s">
        <v>94</v>
      </c>
      <c r="B92" s="32">
        <v>24831.980000000003</v>
      </c>
      <c r="C92" s="33"/>
      <c r="D92" s="34"/>
      <c r="E92" s="161">
        <v>0</v>
      </c>
      <c r="F92" s="162"/>
      <c r="G92" s="163"/>
      <c r="H92" s="161">
        <v>2417.9499999999998</v>
      </c>
      <c r="I92" s="162"/>
      <c r="J92" s="163"/>
      <c r="K92" s="164">
        <v>2278.7199999999998</v>
      </c>
      <c r="L92" s="164"/>
      <c r="M92" s="164"/>
      <c r="N92" s="161">
        <v>2603.92</v>
      </c>
      <c r="O92" s="162"/>
      <c r="P92" s="163"/>
      <c r="Q92" s="165">
        <v>0</v>
      </c>
      <c r="R92" s="166"/>
      <c r="S92" s="167"/>
      <c r="T92" s="161">
        <v>2258.09</v>
      </c>
      <c r="U92" s="162"/>
      <c r="V92" s="163"/>
      <c r="W92" s="165">
        <f>2413.24+2679.03</f>
        <v>5092.2700000000004</v>
      </c>
      <c r="X92" s="166"/>
      <c r="Y92" s="166"/>
      <c r="Z92" s="165">
        <f>983.02</f>
        <v>983.02</v>
      </c>
      <c r="AA92" s="166"/>
      <c r="AB92" s="167"/>
      <c r="AC92" s="168">
        <f>1809.54+2339.7+1342.41</f>
        <v>5491.65</v>
      </c>
      <c r="AD92" s="168"/>
      <c r="AE92" s="168"/>
      <c r="AF92" s="165">
        <v>0</v>
      </c>
      <c r="AG92" s="166"/>
      <c r="AH92" s="167"/>
      <c r="AI92" s="32">
        <f>2417.95+2278.72+2603.92+2258.09+5092.27+983.02+5491.65</f>
        <v>21125.620000000003</v>
      </c>
      <c r="AJ92" s="33"/>
      <c r="AK92" s="34"/>
      <c r="AL92" s="169">
        <f>AI92/AI99</f>
        <v>3.8217939558668756E-2</v>
      </c>
      <c r="AM92" s="168">
        <f>46575.11+AI92</f>
        <v>67700.73000000001</v>
      </c>
      <c r="AN92" s="168"/>
    </row>
    <row r="93" spans="1:40" x14ac:dyDescent="0.25">
      <c r="A93" s="176" t="s">
        <v>95</v>
      </c>
      <c r="B93" s="32">
        <v>8709.6500000000015</v>
      </c>
      <c r="C93" s="33"/>
      <c r="D93" s="34"/>
      <c r="E93" s="161">
        <v>0</v>
      </c>
      <c r="F93" s="162"/>
      <c r="G93" s="163"/>
      <c r="H93" s="161">
        <v>0</v>
      </c>
      <c r="I93" s="162"/>
      <c r="J93" s="163"/>
      <c r="K93" s="164">
        <v>1189.1500000000001</v>
      </c>
      <c r="L93" s="164"/>
      <c r="M93" s="164"/>
      <c r="N93" s="161">
        <v>2837.77</v>
      </c>
      <c r="O93" s="162"/>
      <c r="P93" s="163"/>
      <c r="Q93" s="165">
        <v>0</v>
      </c>
      <c r="R93" s="166"/>
      <c r="S93" s="167"/>
      <c r="T93" s="161">
        <v>1922.75</v>
      </c>
      <c r="U93" s="162"/>
      <c r="V93" s="163"/>
      <c r="W93" s="165">
        <v>0</v>
      </c>
      <c r="X93" s="166"/>
      <c r="Y93" s="166"/>
      <c r="Z93" s="165">
        <v>0</v>
      </c>
      <c r="AA93" s="166"/>
      <c r="AB93" s="167"/>
      <c r="AC93" s="168">
        <f>2048.93</f>
        <v>2048.9299999999998</v>
      </c>
      <c r="AD93" s="168"/>
      <c r="AE93" s="168"/>
      <c r="AF93" s="165">
        <v>0</v>
      </c>
      <c r="AG93" s="166"/>
      <c r="AH93" s="167"/>
      <c r="AI93" s="32">
        <f>1189.15+2837.77+1922.75+2048.93</f>
        <v>7998.6</v>
      </c>
      <c r="AJ93" s="33"/>
      <c r="AK93" s="34"/>
      <c r="AL93" s="169">
        <f>AI93/AI99</f>
        <v>1.4470108397006473E-2</v>
      </c>
      <c r="AM93" s="168">
        <f>10093.06+AI93</f>
        <v>18091.66</v>
      </c>
      <c r="AN93" s="168"/>
    </row>
    <row r="94" spans="1:40" x14ac:dyDescent="0.25">
      <c r="A94" s="176" t="s">
        <v>96</v>
      </c>
      <c r="B94" s="32">
        <v>4573</v>
      </c>
      <c r="C94" s="33"/>
      <c r="D94" s="34"/>
      <c r="E94" s="161">
        <v>0</v>
      </c>
      <c r="F94" s="162"/>
      <c r="G94" s="163"/>
      <c r="H94" s="161">
        <v>0</v>
      </c>
      <c r="I94" s="162"/>
      <c r="J94" s="163"/>
      <c r="K94" s="164">
        <v>566.03</v>
      </c>
      <c r="L94" s="164"/>
      <c r="M94" s="164"/>
      <c r="N94" s="161">
        <v>0</v>
      </c>
      <c r="O94" s="162"/>
      <c r="P94" s="163"/>
      <c r="Q94" s="165">
        <v>0</v>
      </c>
      <c r="R94" s="166"/>
      <c r="S94" s="167"/>
      <c r="T94" s="161">
        <v>1998.5</v>
      </c>
      <c r="U94" s="162"/>
      <c r="V94" s="163"/>
      <c r="W94" s="165">
        <v>0</v>
      </c>
      <c r="X94" s="166"/>
      <c r="Y94" s="166"/>
      <c r="Z94" s="165">
        <v>0</v>
      </c>
      <c r="AA94" s="166"/>
      <c r="AB94" s="167"/>
      <c r="AC94" s="168">
        <f>1214.69+626.71</f>
        <v>1841.4</v>
      </c>
      <c r="AD94" s="168"/>
      <c r="AE94" s="168"/>
      <c r="AF94" s="165">
        <v>0</v>
      </c>
      <c r="AG94" s="166"/>
      <c r="AH94" s="167"/>
      <c r="AI94" s="32">
        <f>566.03+1998.5+1841.4</f>
        <v>4405.93</v>
      </c>
      <c r="AJ94" s="33"/>
      <c r="AK94" s="34"/>
      <c r="AL94" s="169">
        <f>AI94/AI99</f>
        <v>7.9706804552825156E-3</v>
      </c>
      <c r="AM94" s="168">
        <f>17826.42+AI94</f>
        <v>22232.35</v>
      </c>
      <c r="AN94" s="168"/>
    </row>
    <row r="95" spans="1:40" x14ac:dyDescent="0.25">
      <c r="A95" s="176" t="s">
        <v>97</v>
      </c>
      <c r="B95" s="32">
        <v>1671.47</v>
      </c>
      <c r="C95" s="33"/>
      <c r="D95" s="34"/>
      <c r="E95" s="161">
        <v>0</v>
      </c>
      <c r="F95" s="162"/>
      <c r="G95" s="163"/>
      <c r="H95" s="161">
        <v>187.03</v>
      </c>
      <c r="I95" s="162"/>
      <c r="J95" s="163"/>
      <c r="K95" s="164">
        <v>1350.19</v>
      </c>
      <c r="L95" s="164"/>
      <c r="M95" s="164"/>
      <c r="N95" s="161">
        <v>0</v>
      </c>
      <c r="O95" s="162"/>
      <c r="P95" s="163"/>
      <c r="Q95" s="165">
        <v>0</v>
      </c>
      <c r="R95" s="166"/>
      <c r="S95" s="167"/>
      <c r="T95" s="161">
        <v>807.21</v>
      </c>
      <c r="U95" s="162"/>
      <c r="V95" s="163"/>
      <c r="W95" s="165">
        <v>0</v>
      </c>
      <c r="X95" s="166"/>
      <c r="Y95" s="166"/>
      <c r="Z95" s="165">
        <v>0</v>
      </c>
      <c r="AA95" s="166"/>
      <c r="AB95" s="167"/>
      <c r="AC95" s="168">
        <f>1813.38+35</f>
        <v>1848.38</v>
      </c>
      <c r="AD95" s="168"/>
      <c r="AE95" s="168"/>
      <c r="AF95" s="165">
        <v>0</v>
      </c>
      <c r="AG95" s="166"/>
      <c r="AH95" s="167"/>
      <c r="AI95" s="32">
        <f>187.03+1350.19+807.21+1848.38</f>
        <v>4192.8100000000004</v>
      </c>
      <c r="AJ95" s="33"/>
      <c r="AK95" s="34"/>
      <c r="AL95" s="184">
        <f>AI95/AI99</f>
        <v>7.5851292961334124E-3</v>
      </c>
      <c r="AM95" s="168">
        <f>1671.47+AI95</f>
        <v>5864.2800000000007</v>
      </c>
      <c r="AN95" s="168"/>
    </row>
    <row r="96" spans="1:40" x14ac:dyDescent="0.25">
      <c r="A96" s="176" t="s">
        <v>98</v>
      </c>
      <c r="B96" s="32">
        <v>5290.1100000000006</v>
      </c>
      <c r="C96" s="33"/>
      <c r="D96" s="34"/>
      <c r="E96" s="161">
        <v>0</v>
      </c>
      <c r="F96" s="162"/>
      <c r="G96" s="163"/>
      <c r="H96" s="161">
        <v>0</v>
      </c>
      <c r="I96" s="162"/>
      <c r="J96" s="163"/>
      <c r="K96" s="164">
        <v>0</v>
      </c>
      <c r="L96" s="164"/>
      <c r="M96" s="164"/>
      <c r="N96" s="161">
        <v>0</v>
      </c>
      <c r="O96" s="162"/>
      <c r="P96" s="163"/>
      <c r="Q96" s="165">
        <v>0</v>
      </c>
      <c r="R96" s="166"/>
      <c r="S96" s="167"/>
      <c r="T96" s="161">
        <v>1029.6500000000001</v>
      </c>
      <c r="U96" s="162"/>
      <c r="V96" s="163"/>
      <c r="W96" s="165">
        <v>0</v>
      </c>
      <c r="X96" s="166"/>
      <c r="Y96" s="166"/>
      <c r="Z96" s="165">
        <f>751.19</f>
        <v>751.19</v>
      </c>
      <c r="AA96" s="166"/>
      <c r="AB96" s="167"/>
      <c r="AC96" s="168">
        <f>135.23</f>
        <v>135.22999999999999</v>
      </c>
      <c r="AD96" s="168"/>
      <c r="AE96" s="168"/>
      <c r="AF96" s="165">
        <v>0</v>
      </c>
      <c r="AG96" s="166"/>
      <c r="AH96" s="167"/>
      <c r="AI96" s="32">
        <f>1029.65+751.19+135.23</f>
        <v>1916.0700000000002</v>
      </c>
      <c r="AJ96" s="33"/>
      <c r="AK96" s="34"/>
      <c r="AL96" s="169">
        <f>AI96/AI99</f>
        <v>3.4663241812632451E-3</v>
      </c>
      <c r="AM96" s="168">
        <f>5290.11+AI96</f>
        <v>7206.18</v>
      </c>
      <c r="AN96" s="168"/>
    </row>
    <row r="97" spans="1:40" x14ac:dyDescent="0.25">
      <c r="A97" s="176" t="s">
        <v>99</v>
      </c>
      <c r="B97" s="32">
        <v>8507.09</v>
      </c>
      <c r="C97" s="33"/>
      <c r="D97" s="34"/>
      <c r="E97" s="161">
        <v>0</v>
      </c>
      <c r="F97" s="162"/>
      <c r="G97" s="163"/>
      <c r="H97" s="161">
        <v>0</v>
      </c>
      <c r="I97" s="162"/>
      <c r="J97" s="163"/>
      <c r="K97" s="164">
        <v>0</v>
      </c>
      <c r="L97" s="164"/>
      <c r="M97" s="164"/>
      <c r="N97" s="161">
        <v>0</v>
      </c>
      <c r="O97" s="162"/>
      <c r="P97" s="163"/>
      <c r="Q97" s="165">
        <v>0</v>
      </c>
      <c r="R97" s="166"/>
      <c r="S97" s="167"/>
      <c r="T97" s="161">
        <v>1752.98</v>
      </c>
      <c r="U97" s="162"/>
      <c r="V97" s="163"/>
      <c r="W97" s="165">
        <f>6+3.12</f>
        <v>9.120000000000001</v>
      </c>
      <c r="X97" s="166"/>
      <c r="Y97" s="166"/>
      <c r="Z97" s="165">
        <v>0</v>
      </c>
      <c r="AA97" s="166"/>
      <c r="AB97" s="167"/>
      <c r="AC97" s="168">
        <v>0</v>
      </c>
      <c r="AD97" s="168"/>
      <c r="AE97" s="168"/>
      <c r="AF97" s="165">
        <v>0</v>
      </c>
      <c r="AG97" s="166"/>
      <c r="AH97" s="167"/>
      <c r="AI97" s="32">
        <f>1752.98+9.12</f>
        <v>1762.1</v>
      </c>
      <c r="AJ97" s="33"/>
      <c r="AK97" s="34"/>
      <c r="AL97" s="169">
        <f>AI97/AI99</f>
        <v>3.1877801123152932E-3</v>
      </c>
      <c r="AM97" s="168">
        <f>9766.44+AI97</f>
        <v>11528.54</v>
      </c>
      <c r="AN97" s="168"/>
    </row>
    <row r="98" spans="1:40" x14ac:dyDescent="0.25">
      <c r="A98" s="176" t="s">
        <v>100</v>
      </c>
      <c r="B98" s="32">
        <v>1123</v>
      </c>
      <c r="C98" s="33"/>
      <c r="D98" s="34"/>
      <c r="E98" s="161">
        <v>0</v>
      </c>
      <c r="F98" s="162"/>
      <c r="G98" s="163"/>
      <c r="H98" s="161">
        <v>0</v>
      </c>
      <c r="I98" s="162"/>
      <c r="J98" s="163"/>
      <c r="K98" s="164">
        <v>8762.69</v>
      </c>
      <c r="L98" s="164"/>
      <c r="M98" s="164"/>
      <c r="N98" s="161">
        <v>0</v>
      </c>
      <c r="O98" s="162"/>
      <c r="P98" s="163"/>
      <c r="Q98" s="165">
        <v>1359.04</v>
      </c>
      <c r="R98" s="166"/>
      <c r="S98" s="167"/>
      <c r="T98" s="161">
        <v>2688.01</v>
      </c>
      <c r="U98" s="162"/>
      <c r="V98" s="163"/>
      <c r="W98" s="165">
        <v>0</v>
      </c>
      <c r="X98" s="166"/>
      <c r="Y98" s="166"/>
      <c r="Z98" s="165">
        <v>0</v>
      </c>
      <c r="AA98" s="166"/>
      <c r="AB98" s="167"/>
      <c r="AC98" s="168">
        <f>1926.03+2340.02</f>
        <v>4266.05</v>
      </c>
      <c r="AD98" s="168"/>
      <c r="AE98" s="168"/>
      <c r="AF98" s="165">
        <v>0</v>
      </c>
      <c r="AG98" s="166"/>
      <c r="AH98" s="167"/>
      <c r="AI98" s="32">
        <f>8762.69+1359.04+2688.01+4266.05</f>
        <v>17075.79</v>
      </c>
      <c r="AJ98" s="33"/>
      <c r="AK98" s="34"/>
      <c r="AL98" s="169">
        <f>AI98/AI99</f>
        <v>3.0891472540759527E-2</v>
      </c>
      <c r="AM98" s="168">
        <f>13338.58+AI98</f>
        <v>30414.370000000003</v>
      </c>
      <c r="AN98" s="168"/>
    </row>
    <row r="99" spans="1:40" x14ac:dyDescent="0.25">
      <c r="A99" s="185" t="s">
        <v>101</v>
      </c>
      <c r="B99" s="186">
        <v>420074.00999999995</v>
      </c>
      <c r="C99" s="187"/>
      <c r="D99" s="188"/>
      <c r="E99" s="186">
        <f t="shared" ref="E99" si="41">E33+E42+E45+E49+E62+E67+E80+E86+E91</f>
        <v>20171.68</v>
      </c>
      <c r="F99" s="187"/>
      <c r="G99" s="188"/>
      <c r="H99" s="186">
        <f t="shared" ref="H99" si="42">H33+H42+H45+H49+H62+H67+H80+H86+H91</f>
        <v>211927.83000000002</v>
      </c>
      <c r="I99" s="187"/>
      <c r="J99" s="188"/>
      <c r="K99" s="189">
        <v>44208.9</v>
      </c>
      <c r="L99" s="189"/>
      <c r="M99" s="189"/>
      <c r="N99" s="186">
        <f t="shared" ref="N99" si="43">N33+N42+N45+N49+N62+N67+N80+N86+N91</f>
        <v>28244.670000000006</v>
      </c>
      <c r="O99" s="187"/>
      <c r="P99" s="188"/>
      <c r="Q99" s="186">
        <f t="shared" ref="Q99" si="44">Q33+Q42+Q45+Q49+Q62+Q67+Q80+Q86+Q91</f>
        <v>44942.97</v>
      </c>
      <c r="R99" s="187"/>
      <c r="S99" s="188"/>
      <c r="T99" s="186">
        <f t="shared" ref="T99" si="45">T33+T42+T45+T49+T62+T67+T80+T86+T91</f>
        <v>35789.769999999997</v>
      </c>
      <c r="U99" s="187"/>
      <c r="V99" s="188"/>
      <c r="W99" s="186">
        <f>W33+W42+W45+W49+W62+W67+W80+W86+W91</f>
        <v>39916.080000000002</v>
      </c>
      <c r="X99" s="187"/>
      <c r="Y99" s="187"/>
      <c r="Z99" s="186">
        <f>Z33+Z42+Z45+Z49+Z62+Z67+Z80+Z86+Z91</f>
        <v>37313.200000000004</v>
      </c>
      <c r="AA99" s="187"/>
      <c r="AB99" s="187"/>
      <c r="AC99" s="189">
        <f>AC33+AC42+AC45+AC49+AC62+AC67+AC80+AC86+AC91</f>
        <v>55979.3</v>
      </c>
      <c r="AD99" s="189"/>
      <c r="AE99" s="189"/>
      <c r="AF99" s="186">
        <f>AF33+AF42+AF45+AF49+AF62+AF67+AF80+AF86+AF91</f>
        <v>34272.71</v>
      </c>
      <c r="AG99" s="187"/>
      <c r="AH99" s="187"/>
      <c r="AI99" s="186">
        <f>SUM(AI33+AI42+AI45+AI49+AI62+AI67+AI80+AI86+AI91)</f>
        <v>552767.11</v>
      </c>
      <c r="AJ99" s="187"/>
      <c r="AK99" s="188"/>
      <c r="AL99" s="190">
        <f>AI99/AI99</f>
        <v>1</v>
      </c>
      <c r="AM99" s="191">
        <f>SUM(AM33+AM42+AM45+AM49+AM62+AM67+AM80+AM86+AM91)</f>
        <v>1922991.8800000001</v>
      </c>
      <c r="AN99" s="191"/>
    </row>
    <row r="100" spans="1:40" x14ac:dyDescent="0.25">
      <c r="A100" s="192" t="s">
        <v>102</v>
      </c>
      <c r="B100" s="193">
        <f>D27-B101</f>
        <v>1638818.02</v>
      </c>
      <c r="C100" s="194"/>
      <c r="D100" s="195"/>
      <c r="E100" s="196">
        <f>G27-E99</f>
        <v>100480.64000000001</v>
      </c>
      <c r="F100" s="196"/>
      <c r="G100" s="196"/>
      <c r="H100" s="197">
        <f>H99-J27</f>
        <v>93226.260000000009</v>
      </c>
      <c r="I100" s="197"/>
      <c r="J100" s="197"/>
      <c r="K100" s="197">
        <f>M27-K99</f>
        <v>75105.78</v>
      </c>
      <c r="L100" s="197"/>
      <c r="M100" s="197"/>
      <c r="N100" s="197">
        <f>P27-N99</f>
        <v>92307.729999999981</v>
      </c>
      <c r="O100" s="197"/>
      <c r="P100" s="197"/>
      <c r="Q100" s="197">
        <f>S27-Q99</f>
        <v>123893.29000000001</v>
      </c>
      <c r="R100" s="197"/>
      <c r="S100" s="197"/>
      <c r="T100" s="197">
        <f>V27-T99</f>
        <v>71508.489999999991</v>
      </c>
      <c r="U100" s="197"/>
      <c r="V100" s="197"/>
      <c r="W100" s="196">
        <f>Y27-W99</f>
        <v>95232.37000000001</v>
      </c>
      <c r="X100" s="196"/>
      <c r="Y100" s="198"/>
      <c r="Z100" s="199">
        <f>AB27-Z99</f>
        <v>-8485.7400000000052</v>
      </c>
      <c r="AA100" s="199"/>
      <c r="AB100" s="200"/>
      <c r="AC100" s="196">
        <f>AE27-AC99</f>
        <v>-15991.43</v>
      </c>
      <c r="AD100" s="196"/>
      <c r="AE100" s="196"/>
      <c r="AF100" s="199">
        <f>AH27-AF99</f>
        <v>-12688.400000000001</v>
      </c>
      <c r="AG100" s="199"/>
      <c r="AH100" s="200"/>
      <c r="AI100" s="197">
        <f>AK27-AI99</f>
        <v>428136.47000000009</v>
      </c>
      <c r="AJ100" s="197"/>
      <c r="AK100" s="197"/>
      <c r="AL100" s="201">
        <f>AN27-AM99</f>
        <v>2066979.0600000003</v>
      </c>
      <c r="AM100" s="201"/>
      <c r="AN100" s="201"/>
    </row>
    <row r="101" spans="1:40" x14ac:dyDescent="0.25">
      <c r="A101" s="202" t="s">
        <v>103</v>
      </c>
      <c r="B101" s="203">
        <f>1370224.77</f>
        <v>1370224.77</v>
      </c>
      <c r="C101" s="203"/>
      <c r="D101" s="203"/>
      <c r="E101" s="204"/>
      <c r="F101" s="204"/>
      <c r="G101" s="204"/>
      <c r="H101" s="205"/>
      <c r="I101" s="205"/>
      <c r="J101" s="205"/>
      <c r="K101" s="205"/>
      <c r="L101" s="205"/>
      <c r="M101" s="205"/>
      <c r="N101" s="205"/>
      <c r="O101" s="205"/>
      <c r="P101" s="205"/>
      <c r="Q101" s="205"/>
      <c r="R101" s="205"/>
      <c r="S101" s="205"/>
      <c r="T101" s="205"/>
      <c r="U101" s="205"/>
      <c r="V101" s="205"/>
      <c r="W101" s="204"/>
      <c r="X101" s="204"/>
      <c r="Y101" s="204"/>
      <c r="Z101" s="205"/>
      <c r="AA101" s="204"/>
      <c r="AB101" s="204"/>
      <c r="AC101" s="204"/>
      <c r="AD101" s="204"/>
      <c r="AE101" s="204"/>
      <c r="AF101" s="206"/>
      <c r="AG101" s="206"/>
      <c r="AH101" s="204"/>
      <c r="AI101" s="206"/>
      <c r="AJ101" s="206"/>
      <c r="AK101" s="206"/>
      <c r="AL101" s="207"/>
      <c r="AM101" s="207"/>
      <c r="AN101" s="207"/>
    </row>
    <row r="102" spans="1:40" x14ac:dyDescent="0.25">
      <c r="A102" s="208"/>
      <c r="B102" s="209"/>
      <c r="C102" s="209"/>
      <c r="D102" s="209"/>
      <c r="E102" s="209"/>
      <c r="F102" s="209"/>
      <c r="G102" s="209"/>
      <c r="H102" s="209"/>
      <c r="I102" s="209"/>
      <c r="J102" s="209"/>
      <c r="K102" s="209"/>
      <c r="L102" s="209"/>
      <c r="M102" s="209"/>
      <c r="N102" s="209"/>
      <c r="O102" s="209"/>
      <c r="P102" s="209"/>
      <c r="Q102" s="209"/>
      <c r="R102" s="209"/>
      <c r="S102" s="209"/>
      <c r="T102" s="209"/>
      <c r="U102" s="209"/>
      <c r="V102" s="209"/>
      <c r="W102" s="209"/>
      <c r="X102" s="209"/>
      <c r="Y102" s="209"/>
      <c r="Z102" s="209"/>
      <c r="AA102" s="209"/>
      <c r="AB102" s="209"/>
      <c r="AC102" s="209"/>
      <c r="AD102" s="209"/>
      <c r="AE102" s="209"/>
      <c r="AF102" s="209"/>
      <c r="AG102" s="209"/>
      <c r="AH102" s="209"/>
      <c r="AI102" s="209"/>
      <c r="AJ102" s="209"/>
      <c r="AK102" s="209"/>
      <c r="AL102" s="209"/>
      <c r="AM102" s="209"/>
      <c r="AN102" s="209"/>
    </row>
    <row r="103" spans="1:40" x14ac:dyDescent="0.25">
      <c r="A103" s="210"/>
      <c r="B103" s="210"/>
      <c r="C103" s="210"/>
      <c r="D103" s="210"/>
      <c r="E103" s="210"/>
      <c r="F103" s="210"/>
      <c r="G103" s="210"/>
      <c r="H103" s="210"/>
      <c r="I103" s="210"/>
      <c r="J103" s="210"/>
      <c r="K103" s="210"/>
      <c r="L103" s="210"/>
      <c r="M103" s="210"/>
      <c r="N103" s="210"/>
      <c r="O103" s="210"/>
      <c r="P103" s="210"/>
      <c r="Q103" s="210"/>
      <c r="R103" s="210"/>
      <c r="S103" s="210"/>
      <c r="T103" s="210"/>
      <c r="U103" s="210"/>
      <c r="V103" s="210"/>
      <c r="W103" s="209"/>
      <c r="X103" s="209"/>
      <c r="Y103" s="209"/>
      <c r="Z103" s="209"/>
      <c r="AA103" s="209"/>
      <c r="AB103" s="209"/>
      <c r="AC103" s="209"/>
      <c r="AD103" s="209"/>
      <c r="AE103" s="209"/>
      <c r="AF103" s="209"/>
      <c r="AG103" s="209"/>
      <c r="AH103" s="209"/>
      <c r="AI103" s="209"/>
      <c r="AJ103" s="209"/>
      <c r="AK103" s="209"/>
      <c r="AL103" s="209"/>
      <c r="AM103" s="209"/>
      <c r="AN103" s="209"/>
    </row>
    <row r="104" spans="1:40" x14ac:dyDescent="0.25">
      <c r="A104" s="211" t="s">
        <v>104</v>
      </c>
      <c r="B104" s="212" t="s">
        <v>105</v>
      </c>
      <c r="C104" s="213"/>
      <c r="D104" s="213"/>
      <c r="E104" s="214" t="s">
        <v>4</v>
      </c>
      <c r="F104" s="215"/>
      <c r="G104" s="216"/>
      <c r="H104" s="217" t="s">
        <v>5</v>
      </c>
      <c r="I104" s="217"/>
      <c r="J104" s="217"/>
      <c r="K104" s="217" t="s">
        <v>6</v>
      </c>
      <c r="L104" s="217"/>
      <c r="M104" s="217"/>
      <c r="N104" s="217" t="s">
        <v>7</v>
      </c>
      <c r="O104" s="217"/>
      <c r="P104" s="217"/>
      <c r="Q104" s="214" t="s">
        <v>8</v>
      </c>
      <c r="R104" s="215"/>
      <c r="S104" s="216"/>
      <c r="T104" s="217" t="s">
        <v>9</v>
      </c>
      <c r="U104" s="217"/>
      <c r="V104" s="217"/>
      <c r="W104" s="217" t="s">
        <v>10</v>
      </c>
      <c r="X104" s="217"/>
      <c r="Y104" s="217"/>
      <c r="Z104" s="214" t="s">
        <v>11</v>
      </c>
      <c r="AA104" s="215"/>
      <c r="AB104" s="216"/>
      <c r="AC104" s="214" t="s">
        <v>12</v>
      </c>
      <c r="AD104" s="215"/>
      <c r="AE104" s="216"/>
      <c r="AF104" s="217" t="s">
        <v>13</v>
      </c>
      <c r="AG104" s="217"/>
      <c r="AH104" s="217"/>
      <c r="AI104" s="218"/>
      <c r="AJ104" s="218"/>
      <c r="AK104" s="218"/>
      <c r="AL104" s="218"/>
      <c r="AM104" s="218"/>
      <c r="AN104" s="218"/>
    </row>
    <row r="105" spans="1:40" x14ac:dyDescent="0.25">
      <c r="A105" s="219" t="s">
        <v>106</v>
      </c>
      <c r="B105" s="220">
        <v>0</v>
      </c>
      <c r="C105" s="221"/>
      <c r="D105" s="222"/>
      <c r="E105" s="220">
        <v>0</v>
      </c>
      <c r="F105" s="221"/>
      <c r="G105" s="222"/>
      <c r="H105" s="220">
        <v>0</v>
      </c>
      <c r="I105" s="221"/>
      <c r="J105" s="222"/>
      <c r="K105" s="220">
        <v>0</v>
      </c>
      <c r="L105" s="221"/>
      <c r="M105" s="222"/>
      <c r="N105" s="220">
        <v>0</v>
      </c>
      <c r="O105" s="221"/>
      <c r="P105" s="222"/>
      <c r="Q105" s="220">
        <v>0</v>
      </c>
      <c r="R105" s="221"/>
      <c r="S105" s="222"/>
      <c r="T105" s="220">
        <v>0</v>
      </c>
      <c r="U105" s="221"/>
      <c r="V105" s="222"/>
      <c r="W105" s="220">
        <v>0</v>
      </c>
      <c r="X105" s="221"/>
      <c r="Y105" s="222"/>
      <c r="Z105" s="220">
        <v>0</v>
      </c>
      <c r="AA105" s="221"/>
      <c r="AB105" s="222"/>
      <c r="AC105" s="220">
        <v>0</v>
      </c>
      <c r="AD105" s="221"/>
      <c r="AE105" s="222"/>
      <c r="AF105" s="161">
        <f>382539.56+1181.62</f>
        <v>383721.18</v>
      </c>
      <c r="AG105" s="162"/>
      <c r="AH105" s="163"/>
      <c r="AI105" s="218"/>
      <c r="AJ105" s="218"/>
      <c r="AK105" s="218"/>
      <c r="AL105" s="218"/>
      <c r="AM105" s="218"/>
      <c r="AN105" s="218"/>
    </row>
    <row r="106" spans="1:40" x14ac:dyDescent="0.25">
      <c r="A106" s="219" t="s">
        <v>107</v>
      </c>
      <c r="B106" s="220">
        <v>0</v>
      </c>
      <c r="C106" s="221"/>
      <c r="D106" s="222"/>
      <c r="E106" s="220">
        <v>0</v>
      </c>
      <c r="F106" s="221"/>
      <c r="G106" s="222"/>
      <c r="H106" s="220">
        <v>0</v>
      </c>
      <c r="I106" s="221"/>
      <c r="J106" s="222"/>
      <c r="K106" s="220">
        <v>0</v>
      </c>
      <c r="L106" s="221"/>
      <c r="M106" s="222"/>
      <c r="N106" s="220">
        <v>0</v>
      </c>
      <c r="O106" s="221"/>
      <c r="P106" s="222"/>
      <c r="Q106" s="220">
        <v>0</v>
      </c>
      <c r="R106" s="221"/>
      <c r="S106" s="222"/>
      <c r="T106" s="220">
        <v>0</v>
      </c>
      <c r="U106" s="221"/>
      <c r="V106" s="222"/>
      <c r="W106" s="220">
        <v>0</v>
      </c>
      <c r="X106" s="221"/>
      <c r="Y106" s="222"/>
      <c r="Z106" s="220">
        <v>0</v>
      </c>
      <c r="AA106" s="221"/>
      <c r="AB106" s="222"/>
      <c r="AC106" s="220">
        <v>0</v>
      </c>
      <c r="AD106" s="221"/>
      <c r="AE106" s="222"/>
      <c r="AF106" s="161">
        <f>670000+1919.17</f>
        <v>671919.17</v>
      </c>
      <c r="AG106" s="162"/>
      <c r="AH106" s="163"/>
      <c r="AI106" s="218"/>
      <c r="AJ106" s="218"/>
      <c r="AK106" s="218"/>
      <c r="AL106" s="218"/>
      <c r="AM106" s="218"/>
      <c r="AN106" s="218"/>
    </row>
    <row r="107" spans="1:40" x14ac:dyDescent="0.25">
      <c r="A107" s="223" t="s">
        <v>108</v>
      </c>
      <c r="B107" s="224">
        <f>409607.94+316071.6</f>
        <v>725679.54</v>
      </c>
      <c r="C107" s="225"/>
      <c r="D107" s="226"/>
      <c r="E107" s="227">
        <f>B107+4900.28</f>
        <v>730579.82000000007</v>
      </c>
      <c r="F107" s="228"/>
      <c r="G107" s="229"/>
      <c r="H107" s="227">
        <f>E107+3107.13</f>
        <v>733686.95000000007</v>
      </c>
      <c r="I107" s="228"/>
      <c r="J107" s="229"/>
      <c r="K107" s="227">
        <f>H107+2965.82</f>
        <v>736652.77</v>
      </c>
      <c r="L107" s="228"/>
      <c r="M107" s="229"/>
      <c r="N107" s="227">
        <f>K107+3294.02</f>
        <v>739946.79</v>
      </c>
      <c r="O107" s="228"/>
      <c r="P107" s="229"/>
      <c r="Q107" s="227">
        <f>N107+3469.01</f>
        <v>743415.8</v>
      </c>
      <c r="R107" s="228"/>
      <c r="S107" s="229"/>
      <c r="T107" s="230">
        <f>Q107+3010.95</f>
        <v>746426.75</v>
      </c>
      <c r="U107" s="230"/>
      <c r="V107" s="230"/>
      <c r="W107" s="230">
        <f>T107+3663.54</f>
        <v>750090.29</v>
      </c>
      <c r="X107" s="230"/>
      <c r="Y107" s="230"/>
      <c r="Z107" s="231">
        <f>W107+159.75+252922.2</f>
        <v>1003172.24</v>
      </c>
      <c r="AA107" s="232"/>
      <c r="AB107" s="233"/>
      <c r="AC107" s="165">
        <f>Z107+3663.57</f>
        <v>1006835.8099999999</v>
      </c>
      <c r="AD107" s="166"/>
      <c r="AE107" s="167"/>
      <c r="AF107" s="230">
        <f>AC107+3592.28</f>
        <v>1010428.09</v>
      </c>
      <c r="AG107" s="230"/>
      <c r="AH107" s="230"/>
      <c r="AI107" s="218"/>
      <c r="AJ107" s="218"/>
      <c r="AK107" s="218"/>
      <c r="AL107" s="218"/>
      <c r="AM107" s="218"/>
      <c r="AN107" s="218"/>
    </row>
    <row r="108" spans="1:40" x14ac:dyDescent="0.25">
      <c r="A108" s="223" t="s">
        <v>109</v>
      </c>
      <c r="B108" s="224">
        <f>445319.09</f>
        <v>445319.09</v>
      </c>
      <c r="C108" s="225"/>
      <c r="D108" s="226"/>
      <c r="E108" s="227">
        <f>B108+1850</f>
        <v>447169.09</v>
      </c>
      <c r="F108" s="228"/>
      <c r="G108" s="229"/>
      <c r="H108" s="227">
        <f>E108+1969.46</f>
        <v>449138.55000000005</v>
      </c>
      <c r="I108" s="228"/>
      <c r="J108" s="229"/>
      <c r="K108" s="227">
        <f>H108+1669.14</f>
        <v>450807.69000000006</v>
      </c>
      <c r="L108" s="228"/>
      <c r="M108" s="229"/>
      <c r="N108" s="227">
        <f>K108+108000+1910.88</f>
        <v>560718.57000000007</v>
      </c>
      <c r="O108" s="228"/>
      <c r="P108" s="229"/>
      <c r="Q108" s="227">
        <f>N108+2409.84-1722.91</f>
        <v>561405.5</v>
      </c>
      <c r="R108" s="228"/>
      <c r="S108" s="229"/>
      <c r="T108" s="234">
        <f>Q108+2081.1</f>
        <v>563486.6</v>
      </c>
      <c r="U108" s="234"/>
      <c r="V108" s="234"/>
      <c r="W108" s="234">
        <f>T108+109000+2568.23</f>
        <v>675054.83</v>
      </c>
      <c r="X108" s="234"/>
      <c r="Y108" s="234"/>
      <c r="Z108" s="227">
        <f>W108+2635.97</f>
        <v>677690.79999999993</v>
      </c>
      <c r="AA108" s="228"/>
      <c r="AB108" s="229"/>
      <c r="AC108" s="165">
        <f>Z108+2420.54</f>
        <v>680111.34</v>
      </c>
      <c r="AD108" s="235"/>
      <c r="AE108" s="236"/>
      <c r="AF108" s="168">
        <f>AC108-678417.53+712.74-2406.55</f>
        <v>-6.0936145018786192E-11</v>
      </c>
      <c r="AG108" s="237"/>
      <c r="AH108" s="237"/>
      <c r="AI108" s="218"/>
      <c r="AJ108" s="218"/>
      <c r="AK108" s="218"/>
      <c r="AL108" s="218"/>
      <c r="AM108" s="218"/>
      <c r="AN108" s="218"/>
    </row>
    <row r="109" spans="1:40" x14ac:dyDescent="0.25">
      <c r="A109" s="223" t="s">
        <v>110</v>
      </c>
      <c r="B109" s="224">
        <f>466470.14</f>
        <v>466470.14</v>
      </c>
      <c r="C109" s="225"/>
      <c r="D109" s="225"/>
      <c r="E109" s="227">
        <f>B109+108000-15377.57+1982.04-34.96</f>
        <v>561039.65000000014</v>
      </c>
      <c r="F109" s="228"/>
      <c r="G109" s="229"/>
      <c r="H109" s="227">
        <f>E109+108000-207838.49+1704.98-538.5</f>
        <v>462367.64000000013</v>
      </c>
      <c r="I109" s="228"/>
      <c r="J109" s="229"/>
      <c r="K109" s="227">
        <f>H109+109000-39908.16+1564.72-111.74</f>
        <v>532912.46000000008</v>
      </c>
      <c r="L109" s="228"/>
      <c r="M109" s="229"/>
      <c r="N109" s="227">
        <f>K109-23021.14+2047.5-49.45</f>
        <v>511889.37000000005</v>
      </c>
      <c r="O109" s="228"/>
      <c r="P109" s="229"/>
      <c r="Q109" s="227">
        <f>N109+144000-27059.73+2137.41-1275.94</f>
        <v>629691.11000000022</v>
      </c>
      <c r="R109" s="228"/>
      <c r="S109" s="229"/>
      <c r="T109" s="230">
        <f>Q109+66700-1050.45+2286.18-2.03</f>
        <v>697624.81000000029</v>
      </c>
      <c r="U109" s="230"/>
      <c r="V109" s="230"/>
      <c r="W109" s="230">
        <f>T109-22178.58+2956.68-51.13</f>
        <v>678351.78000000038</v>
      </c>
      <c r="X109" s="230"/>
      <c r="Y109" s="230"/>
      <c r="Z109" s="231">
        <f>W109+7500+1659.5-272591.07-698.69</f>
        <v>414221.52000000037</v>
      </c>
      <c r="AA109" s="232"/>
      <c r="AB109" s="233"/>
      <c r="AC109" s="165">
        <f>Z109+17000+1323.76-40921.17-125.75</f>
        <v>391498.36000000039</v>
      </c>
      <c r="AD109" s="166"/>
      <c r="AE109" s="167"/>
      <c r="AF109" s="238">
        <f>AC109-390575.64+378.5-1290.02-11.2</f>
        <v>3.7953284959257871E-10</v>
      </c>
      <c r="AG109" s="238"/>
      <c r="AH109" s="238"/>
      <c r="AI109" s="218"/>
      <c r="AJ109" s="218"/>
      <c r="AK109" s="218"/>
      <c r="AL109" s="218"/>
      <c r="AM109" s="218"/>
      <c r="AN109" s="218"/>
    </row>
    <row r="110" spans="1:40" x14ac:dyDescent="0.25">
      <c r="A110" s="239" t="s">
        <v>111</v>
      </c>
      <c r="B110" s="240">
        <f>SUM(B106:D109)</f>
        <v>1637468.77</v>
      </c>
      <c r="C110" s="241"/>
      <c r="D110" s="242"/>
      <c r="E110" s="240">
        <f>SUM(E106:G109)</f>
        <v>1738788.5600000003</v>
      </c>
      <c r="F110" s="241"/>
      <c r="G110" s="242"/>
      <c r="H110" s="240">
        <f>SUM(H106:J109)</f>
        <v>1645193.1400000001</v>
      </c>
      <c r="I110" s="241"/>
      <c r="J110" s="242"/>
      <c r="K110" s="240">
        <f>SUM(K106:M109)</f>
        <v>1720372.92</v>
      </c>
      <c r="L110" s="241"/>
      <c r="M110" s="242"/>
      <c r="N110" s="240">
        <f>SUM(N106:P109)</f>
        <v>1812554.7300000002</v>
      </c>
      <c r="O110" s="241"/>
      <c r="P110" s="242"/>
      <c r="Q110" s="240">
        <f>SUM(Q106:S109)</f>
        <v>1934512.4100000001</v>
      </c>
      <c r="R110" s="241"/>
      <c r="S110" s="242"/>
      <c r="T110" s="240">
        <f>SUM(T106:V109)</f>
        <v>2007538.1600000004</v>
      </c>
      <c r="U110" s="241"/>
      <c r="V110" s="242"/>
      <c r="W110" s="243">
        <f>SUM(W106:Y109)</f>
        <v>2103496.9000000004</v>
      </c>
      <c r="X110" s="243"/>
      <c r="Y110" s="243"/>
      <c r="Z110" s="240">
        <f>SUM(Z106:AB109)</f>
        <v>2095084.5600000005</v>
      </c>
      <c r="AA110" s="241"/>
      <c r="AB110" s="242"/>
      <c r="AC110" s="240">
        <f>SUM(AC106:AE109)</f>
        <v>2078445.5100000002</v>
      </c>
      <c r="AD110" s="241"/>
      <c r="AE110" s="242"/>
      <c r="AF110" s="244">
        <f>SUM(AF105:AH109)</f>
        <v>2066068.4400000004</v>
      </c>
      <c r="AG110" s="244"/>
      <c r="AH110" s="244"/>
      <c r="AI110" s="218"/>
      <c r="AJ110" s="218"/>
      <c r="AK110" s="218"/>
      <c r="AL110" s="218"/>
      <c r="AM110" s="218"/>
      <c r="AN110" s="218"/>
    </row>
    <row r="111" spans="1:40" x14ac:dyDescent="0.25">
      <c r="A111" s="245" t="s">
        <v>112</v>
      </c>
      <c r="B111" s="246"/>
      <c r="C111" s="246"/>
      <c r="D111" s="246"/>
      <c r="E111" s="246"/>
      <c r="F111" s="246"/>
      <c r="G111" s="246"/>
      <c r="H111" s="246"/>
      <c r="I111" s="246"/>
      <c r="J111" s="246"/>
      <c r="K111" s="246"/>
      <c r="L111" s="246"/>
      <c r="M111" s="246"/>
      <c r="N111" s="246"/>
      <c r="O111" s="246"/>
      <c r="P111" s="246"/>
      <c r="Q111" s="246"/>
      <c r="R111" s="246"/>
      <c r="S111" s="246"/>
      <c r="T111" s="246"/>
      <c r="U111" s="246"/>
      <c r="V111" s="246"/>
      <c r="W111" s="246"/>
      <c r="X111" s="246"/>
      <c r="Y111" s="246"/>
      <c r="Z111" s="247"/>
      <c r="AA111" s="246"/>
      <c r="AB111" s="246"/>
      <c r="AC111" s="246"/>
      <c r="AD111" s="246"/>
      <c r="AE111" s="246"/>
      <c r="AF111" s="248"/>
      <c r="AG111" s="248"/>
      <c r="AH111" s="246"/>
      <c r="AI111" s="218"/>
      <c r="AJ111" s="218"/>
      <c r="AK111" s="218"/>
      <c r="AL111" s="218"/>
      <c r="AM111" s="218"/>
      <c r="AN111" s="218"/>
    </row>
    <row r="112" spans="1:40" x14ac:dyDescent="0.25">
      <c r="A112" s="249" t="s">
        <v>113</v>
      </c>
      <c r="B112" s="246"/>
      <c r="C112" s="246"/>
      <c r="D112" s="246"/>
      <c r="E112" s="246"/>
      <c r="F112" s="246"/>
      <c r="G112" s="246"/>
      <c r="H112" s="246"/>
      <c r="I112" s="246"/>
      <c r="J112" s="246"/>
      <c r="K112" s="246"/>
      <c r="L112" s="246"/>
      <c r="M112" s="246"/>
      <c r="N112" s="246"/>
      <c r="O112" s="246"/>
      <c r="P112" s="246"/>
      <c r="Q112" s="246"/>
      <c r="R112" s="246"/>
      <c r="S112" s="246"/>
      <c r="T112" s="246"/>
      <c r="U112" s="246"/>
      <c r="V112" s="246"/>
      <c r="W112" s="246"/>
      <c r="X112" s="246"/>
      <c r="Y112" s="246"/>
      <c r="Z112" s="247"/>
      <c r="AA112" s="246"/>
      <c r="AB112" s="246"/>
      <c r="AC112" s="246"/>
      <c r="AD112" s="246"/>
      <c r="AE112" s="246"/>
      <c r="AF112" s="246"/>
      <c r="AG112" s="246"/>
      <c r="AH112" s="246"/>
      <c r="AI112" s="218"/>
      <c r="AJ112" s="218"/>
      <c r="AK112" s="218"/>
      <c r="AL112" s="218"/>
      <c r="AM112" s="218"/>
      <c r="AN112" s="218"/>
    </row>
    <row r="113" spans="1:40" x14ac:dyDescent="0.25">
      <c r="A113" s="249" t="s">
        <v>114</v>
      </c>
      <c r="B113" s="246"/>
      <c r="C113" s="246"/>
      <c r="D113" s="246"/>
      <c r="E113" s="246"/>
      <c r="F113" s="246"/>
      <c r="G113" s="246"/>
      <c r="H113" s="246"/>
      <c r="I113" s="246"/>
      <c r="J113" s="246"/>
      <c r="K113" s="246"/>
      <c r="L113" s="246"/>
      <c r="M113" s="246"/>
      <c r="N113" s="246"/>
      <c r="O113" s="246"/>
      <c r="P113" s="246"/>
      <c r="Q113" s="246"/>
      <c r="R113" s="246"/>
      <c r="S113" s="246"/>
      <c r="T113" s="246"/>
      <c r="U113" s="246"/>
      <c r="V113" s="246"/>
      <c r="W113" s="246"/>
      <c r="X113" s="246"/>
      <c r="Y113" s="246"/>
      <c r="Z113" s="247"/>
      <c r="AA113" s="246"/>
      <c r="AB113" s="246"/>
      <c r="AC113" s="246"/>
      <c r="AD113" s="246"/>
      <c r="AE113" s="246"/>
      <c r="AF113" s="246"/>
      <c r="AG113" s="246"/>
      <c r="AH113" s="246"/>
      <c r="AI113" s="218"/>
      <c r="AJ113" s="218"/>
      <c r="AK113" s="218"/>
      <c r="AL113" s="218"/>
      <c r="AM113" s="218"/>
      <c r="AN113" s="218"/>
    </row>
    <row r="114" spans="1:40" x14ac:dyDescent="0.25">
      <c r="A114" s="250" t="s">
        <v>115</v>
      </c>
      <c r="B114" s="250"/>
      <c r="C114" s="250"/>
      <c r="D114" s="250"/>
      <c r="E114" s="250"/>
      <c r="F114" s="250"/>
      <c r="G114" s="250"/>
      <c r="H114" s="250"/>
      <c r="I114" s="250"/>
      <c r="J114" s="250"/>
      <c r="K114" s="250"/>
      <c r="L114" s="250"/>
      <c r="M114" s="250"/>
      <c r="N114" s="250"/>
      <c r="O114" s="250"/>
      <c r="P114" s="250"/>
      <c r="Q114" s="250"/>
      <c r="R114" s="250"/>
      <c r="S114" s="250"/>
      <c r="T114" s="250"/>
      <c r="U114" s="250"/>
      <c r="V114" s="250"/>
      <c r="W114" s="250"/>
      <c r="X114" s="250"/>
      <c r="Y114" s="250"/>
      <c r="Z114" s="250"/>
      <c r="AA114" s="250"/>
      <c r="AB114" s="250"/>
      <c r="AC114" s="250"/>
      <c r="AD114" s="250"/>
      <c r="AE114" s="250"/>
      <c r="AF114" s="250"/>
      <c r="AG114" s="250"/>
      <c r="AH114" s="250"/>
      <c r="AI114" s="250"/>
      <c r="AJ114" s="250"/>
      <c r="AK114" s="250"/>
      <c r="AL114" s="250"/>
      <c r="AM114" s="250"/>
      <c r="AN114" s="250"/>
    </row>
  </sheetData>
  <sheetProtection sheet="1" objects="1" scenarios="1"/>
  <mergeCells count="1110">
    <mergeCell ref="T110:V110"/>
    <mergeCell ref="W110:Y110"/>
    <mergeCell ref="Z110:AB110"/>
    <mergeCell ref="AC110:AE110"/>
    <mergeCell ref="AF110:AH110"/>
    <mergeCell ref="A114:AN114"/>
    <mergeCell ref="B110:D110"/>
    <mergeCell ref="E110:G110"/>
    <mergeCell ref="H110:J110"/>
    <mergeCell ref="K110:M110"/>
    <mergeCell ref="N110:P110"/>
    <mergeCell ref="Q110:S110"/>
    <mergeCell ref="Q109:S109"/>
    <mergeCell ref="T109:V109"/>
    <mergeCell ref="W109:Y109"/>
    <mergeCell ref="Z109:AB109"/>
    <mergeCell ref="AC109:AE109"/>
    <mergeCell ref="AF109:AH109"/>
    <mergeCell ref="T108:V108"/>
    <mergeCell ref="W108:Y108"/>
    <mergeCell ref="Z108:AB108"/>
    <mergeCell ref="AC108:AE108"/>
    <mergeCell ref="AF108:AH108"/>
    <mergeCell ref="B109:D109"/>
    <mergeCell ref="E109:G109"/>
    <mergeCell ref="H109:J109"/>
    <mergeCell ref="K109:M109"/>
    <mergeCell ref="N109:P109"/>
    <mergeCell ref="W107:Y107"/>
    <mergeCell ref="Z107:AB107"/>
    <mergeCell ref="AC107:AE107"/>
    <mergeCell ref="AF107:AH107"/>
    <mergeCell ref="B108:D108"/>
    <mergeCell ref="E108:G108"/>
    <mergeCell ref="H108:J108"/>
    <mergeCell ref="K108:M108"/>
    <mergeCell ref="N108:P108"/>
    <mergeCell ref="Q108:S108"/>
    <mergeCell ref="Z106:AB106"/>
    <mergeCell ref="AC106:AE106"/>
    <mergeCell ref="AF106:AH106"/>
    <mergeCell ref="B107:D107"/>
    <mergeCell ref="E107:G107"/>
    <mergeCell ref="H107:J107"/>
    <mergeCell ref="K107:M107"/>
    <mergeCell ref="N107:P107"/>
    <mergeCell ref="Q107:S107"/>
    <mergeCell ref="T107:V107"/>
    <mergeCell ref="AC105:AE105"/>
    <mergeCell ref="AF105:AH105"/>
    <mergeCell ref="B106:D106"/>
    <mergeCell ref="E106:G106"/>
    <mergeCell ref="H106:J106"/>
    <mergeCell ref="K106:M106"/>
    <mergeCell ref="N106:P106"/>
    <mergeCell ref="Q106:S106"/>
    <mergeCell ref="T106:V106"/>
    <mergeCell ref="W106:Y106"/>
    <mergeCell ref="AI104:AN113"/>
    <mergeCell ref="B105:D105"/>
    <mergeCell ref="E105:G105"/>
    <mergeCell ref="H105:J105"/>
    <mergeCell ref="K105:M105"/>
    <mergeCell ref="N105:P105"/>
    <mergeCell ref="Q105:S105"/>
    <mergeCell ref="T105:V105"/>
    <mergeCell ref="W105:Y105"/>
    <mergeCell ref="Z105:AB105"/>
    <mergeCell ref="Q104:S104"/>
    <mergeCell ref="T104:V104"/>
    <mergeCell ref="W104:Y104"/>
    <mergeCell ref="Z104:AB104"/>
    <mergeCell ref="AC104:AE104"/>
    <mergeCell ref="AF104:AH104"/>
    <mergeCell ref="AI100:AK100"/>
    <mergeCell ref="AL100:AN100"/>
    <mergeCell ref="B101:D101"/>
    <mergeCell ref="AL101:AN101"/>
    <mergeCell ref="A102:AN103"/>
    <mergeCell ref="B104:D104"/>
    <mergeCell ref="E104:G104"/>
    <mergeCell ref="H104:J104"/>
    <mergeCell ref="K104:M104"/>
    <mergeCell ref="N104:P104"/>
    <mergeCell ref="Q100:S100"/>
    <mergeCell ref="T100:V100"/>
    <mergeCell ref="W100:Y100"/>
    <mergeCell ref="Z100:AB100"/>
    <mergeCell ref="AC100:AE100"/>
    <mergeCell ref="AF100:AH100"/>
    <mergeCell ref="Z99:AB99"/>
    <mergeCell ref="AC99:AE99"/>
    <mergeCell ref="AF99:AH99"/>
    <mergeCell ref="AI99:AK99"/>
    <mergeCell ref="AM99:AN99"/>
    <mergeCell ref="B100:D100"/>
    <mergeCell ref="E100:G100"/>
    <mergeCell ref="H100:J100"/>
    <mergeCell ref="K100:M100"/>
    <mergeCell ref="N100:P100"/>
    <mergeCell ref="AI98:AK98"/>
    <mergeCell ref="AM98:AN98"/>
    <mergeCell ref="B99:D99"/>
    <mergeCell ref="E99:G99"/>
    <mergeCell ref="H99:J99"/>
    <mergeCell ref="K99:M99"/>
    <mergeCell ref="N99:P99"/>
    <mergeCell ref="Q99:S99"/>
    <mergeCell ref="T99:V99"/>
    <mergeCell ref="W99:Y99"/>
    <mergeCell ref="Q98:S98"/>
    <mergeCell ref="T98:V98"/>
    <mergeCell ref="W98:Y98"/>
    <mergeCell ref="Z98:AB98"/>
    <mergeCell ref="AC98:AE98"/>
    <mergeCell ref="AF98:AH98"/>
    <mergeCell ref="Z97:AB97"/>
    <mergeCell ref="AC97:AE97"/>
    <mergeCell ref="AF97:AH97"/>
    <mergeCell ref="AI97:AK97"/>
    <mergeCell ref="AM97:AN97"/>
    <mergeCell ref="B98:D98"/>
    <mergeCell ref="E98:G98"/>
    <mergeCell ref="H98:J98"/>
    <mergeCell ref="K98:M98"/>
    <mergeCell ref="N98:P98"/>
    <mergeCell ref="AI96:AK96"/>
    <mergeCell ref="AM96:AN96"/>
    <mergeCell ref="B97:D97"/>
    <mergeCell ref="E97:G97"/>
    <mergeCell ref="H97:J97"/>
    <mergeCell ref="K97:M97"/>
    <mergeCell ref="N97:P97"/>
    <mergeCell ref="Q97:S97"/>
    <mergeCell ref="T97:V97"/>
    <mergeCell ref="W97:Y97"/>
    <mergeCell ref="Q96:S96"/>
    <mergeCell ref="T96:V96"/>
    <mergeCell ref="W96:Y96"/>
    <mergeCell ref="Z96:AB96"/>
    <mergeCell ref="AC96:AE96"/>
    <mergeCell ref="AF96:AH96"/>
    <mergeCell ref="Z95:AB95"/>
    <mergeCell ref="AC95:AE95"/>
    <mergeCell ref="AF95:AH95"/>
    <mergeCell ref="AI95:AK95"/>
    <mergeCell ref="AM95:AN95"/>
    <mergeCell ref="B96:D96"/>
    <mergeCell ref="E96:G96"/>
    <mergeCell ref="H96:J96"/>
    <mergeCell ref="K96:M96"/>
    <mergeCell ref="N96:P96"/>
    <mergeCell ref="AI94:AK94"/>
    <mergeCell ref="AM94:AN94"/>
    <mergeCell ref="B95:D95"/>
    <mergeCell ref="E95:G95"/>
    <mergeCell ref="H95:J95"/>
    <mergeCell ref="K95:M95"/>
    <mergeCell ref="N95:P95"/>
    <mergeCell ref="Q95:S95"/>
    <mergeCell ref="T95:V95"/>
    <mergeCell ref="W95:Y95"/>
    <mergeCell ref="Q94:S94"/>
    <mergeCell ref="T94:V94"/>
    <mergeCell ref="W94:Y94"/>
    <mergeCell ref="Z94:AB94"/>
    <mergeCell ref="AC94:AE94"/>
    <mergeCell ref="AF94:AH94"/>
    <mergeCell ref="Z93:AB93"/>
    <mergeCell ref="AC93:AE93"/>
    <mergeCell ref="AF93:AH93"/>
    <mergeCell ref="AI93:AK93"/>
    <mergeCell ref="AM93:AN93"/>
    <mergeCell ref="B94:D94"/>
    <mergeCell ref="E94:G94"/>
    <mergeCell ref="H94:J94"/>
    <mergeCell ref="K94:M94"/>
    <mergeCell ref="N94:P94"/>
    <mergeCell ref="AI92:AK92"/>
    <mergeCell ref="AM92:AN92"/>
    <mergeCell ref="B93:D93"/>
    <mergeCell ref="E93:G93"/>
    <mergeCell ref="H93:J93"/>
    <mergeCell ref="K93:M93"/>
    <mergeCell ref="N93:P93"/>
    <mergeCell ref="Q93:S93"/>
    <mergeCell ref="T93:V93"/>
    <mergeCell ref="W93:Y93"/>
    <mergeCell ref="Q92:S92"/>
    <mergeCell ref="T92:V92"/>
    <mergeCell ref="W92:Y92"/>
    <mergeCell ref="Z92:AB92"/>
    <mergeCell ref="AC92:AE92"/>
    <mergeCell ref="AF92:AH92"/>
    <mergeCell ref="Z91:AB91"/>
    <mergeCell ref="AC91:AE91"/>
    <mergeCell ref="AF91:AH91"/>
    <mergeCell ref="AI91:AK91"/>
    <mergeCell ref="AM91:AN91"/>
    <mergeCell ref="B92:D92"/>
    <mergeCell ref="E92:G92"/>
    <mergeCell ref="H92:J92"/>
    <mergeCell ref="K92:M92"/>
    <mergeCell ref="N92:P92"/>
    <mergeCell ref="AI90:AK90"/>
    <mergeCell ref="AM90:AN90"/>
    <mergeCell ref="B91:D91"/>
    <mergeCell ref="E91:G91"/>
    <mergeCell ref="H91:J91"/>
    <mergeCell ref="K91:M91"/>
    <mergeCell ref="N91:P91"/>
    <mergeCell ref="Q91:S91"/>
    <mergeCell ref="T91:V91"/>
    <mergeCell ref="W91:Y91"/>
    <mergeCell ref="Q90:S90"/>
    <mergeCell ref="T90:V90"/>
    <mergeCell ref="W90:Y90"/>
    <mergeCell ref="Z90:AB90"/>
    <mergeCell ref="AC90:AE90"/>
    <mergeCell ref="AF90:AH90"/>
    <mergeCell ref="Z89:AB89"/>
    <mergeCell ref="AC89:AE89"/>
    <mergeCell ref="AF89:AH89"/>
    <mergeCell ref="AI89:AK89"/>
    <mergeCell ref="AM89:AN89"/>
    <mergeCell ref="B90:D90"/>
    <mergeCell ref="E90:G90"/>
    <mergeCell ref="H90:J90"/>
    <mergeCell ref="K90:M90"/>
    <mergeCell ref="N90:P90"/>
    <mergeCell ref="AI88:AK88"/>
    <mergeCell ref="AM88:AN88"/>
    <mergeCell ref="B89:D89"/>
    <mergeCell ref="E89:G89"/>
    <mergeCell ref="H89:J89"/>
    <mergeCell ref="K89:M89"/>
    <mergeCell ref="N89:P89"/>
    <mergeCell ref="Q89:S89"/>
    <mergeCell ref="T89:V89"/>
    <mergeCell ref="W89:Y89"/>
    <mergeCell ref="Q88:S88"/>
    <mergeCell ref="T88:V88"/>
    <mergeCell ref="W88:Y88"/>
    <mergeCell ref="Z88:AB88"/>
    <mergeCell ref="AC88:AE88"/>
    <mergeCell ref="AF88:AH88"/>
    <mergeCell ref="Z87:AB87"/>
    <mergeCell ref="AC87:AE87"/>
    <mergeCell ref="AF87:AH87"/>
    <mergeCell ref="AI87:AK87"/>
    <mergeCell ref="AM87:AN87"/>
    <mergeCell ref="B88:D88"/>
    <mergeCell ref="E88:G88"/>
    <mergeCell ref="H88:J88"/>
    <mergeCell ref="K88:M88"/>
    <mergeCell ref="N88:P88"/>
    <mergeCell ref="AI86:AK86"/>
    <mergeCell ref="AM86:AN86"/>
    <mergeCell ref="B87:D87"/>
    <mergeCell ref="E87:G87"/>
    <mergeCell ref="H87:J87"/>
    <mergeCell ref="K87:M87"/>
    <mergeCell ref="N87:P87"/>
    <mergeCell ref="Q87:S87"/>
    <mergeCell ref="T87:V87"/>
    <mergeCell ref="W87:Y87"/>
    <mergeCell ref="Q86:S86"/>
    <mergeCell ref="T86:V86"/>
    <mergeCell ref="W86:Y86"/>
    <mergeCell ref="Z86:AB86"/>
    <mergeCell ref="AC86:AE86"/>
    <mergeCell ref="AF86:AH86"/>
    <mergeCell ref="Z85:AB85"/>
    <mergeCell ref="AC85:AE85"/>
    <mergeCell ref="AF85:AH85"/>
    <mergeCell ref="AI85:AK85"/>
    <mergeCell ref="AM85:AN85"/>
    <mergeCell ref="B86:D86"/>
    <mergeCell ref="E86:G86"/>
    <mergeCell ref="H86:J86"/>
    <mergeCell ref="K86:M86"/>
    <mergeCell ref="N86:P86"/>
    <mergeCell ref="AI84:AK84"/>
    <mergeCell ref="AM84:AN84"/>
    <mergeCell ref="B85:D85"/>
    <mergeCell ref="E85:G85"/>
    <mergeCell ref="H85:J85"/>
    <mergeCell ref="K85:M85"/>
    <mergeCell ref="N85:P85"/>
    <mergeCell ref="Q85:S85"/>
    <mergeCell ref="T85:V85"/>
    <mergeCell ref="W85:Y85"/>
    <mergeCell ref="Q84:S84"/>
    <mergeCell ref="T84:V84"/>
    <mergeCell ref="W84:Y84"/>
    <mergeCell ref="Z84:AB84"/>
    <mergeCell ref="AC84:AE84"/>
    <mergeCell ref="AF84:AH84"/>
    <mergeCell ref="Z83:AB83"/>
    <mergeCell ref="AC83:AE83"/>
    <mergeCell ref="AF83:AH83"/>
    <mergeCell ref="AI83:AK83"/>
    <mergeCell ref="AM83:AN83"/>
    <mergeCell ref="B84:D84"/>
    <mergeCell ref="E84:G84"/>
    <mergeCell ref="H84:J84"/>
    <mergeCell ref="K84:M84"/>
    <mergeCell ref="N84:P84"/>
    <mergeCell ref="AI82:AK82"/>
    <mergeCell ref="AM82:AN82"/>
    <mergeCell ref="B83:D83"/>
    <mergeCell ref="E83:G83"/>
    <mergeCell ref="H83:J83"/>
    <mergeCell ref="K83:M83"/>
    <mergeCell ref="N83:P83"/>
    <mergeCell ref="Q83:S83"/>
    <mergeCell ref="T83:V83"/>
    <mergeCell ref="W83:Y83"/>
    <mergeCell ref="Q82:S82"/>
    <mergeCell ref="T82:V82"/>
    <mergeCell ref="W82:Y82"/>
    <mergeCell ref="Z82:AB82"/>
    <mergeCell ref="AC82:AE82"/>
    <mergeCell ref="AF82:AH82"/>
    <mergeCell ref="Z81:AB81"/>
    <mergeCell ref="AC81:AE81"/>
    <mergeCell ref="AF81:AH81"/>
    <mergeCell ref="AI81:AK81"/>
    <mergeCell ref="AM81:AN81"/>
    <mergeCell ref="B82:D82"/>
    <mergeCell ref="E82:G82"/>
    <mergeCell ref="H82:J82"/>
    <mergeCell ref="K82:M82"/>
    <mergeCell ref="N82:P82"/>
    <mergeCell ref="AI80:AK80"/>
    <mergeCell ref="AM80:AN80"/>
    <mergeCell ref="B81:D81"/>
    <mergeCell ref="E81:G81"/>
    <mergeCell ref="H81:J81"/>
    <mergeCell ref="K81:M81"/>
    <mergeCell ref="N81:P81"/>
    <mergeCell ref="Q81:S81"/>
    <mergeCell ref="T81:V81"/>
    <mergeCell ref="W81:Y81"/>
    <mergeCell ref="Q80:S80"/>
    <mergeCell ref="T80:V80"/>
    <mergeCell ref="W80:Y80"/>
    <mergeCell ref="Z80:AB80"/>
    <mergeCell ref="AC80:AE80"/>
    <mergeCell ref="AF80:AH80"/>
    <mergeCell ref="Z79:AB79"/>
    <mergeCell ref="AC79:AE79"/>
    <mergeCell ref="AF79:AH79"/>
    <mergeCell ref="AI79:AK79"/>
    <mergeCell ref="AM79:AN79"/>
    <mergeCell ref="B80:D80"/>
    <mergeCell ref="E80:G80"/>
    <mergeCell ref="H80:J80"/>
    <mergeCell ref="K80:M80"/>
    <mergeCell ref="N80:P80"/>
    <mergeCell ref="AI78:AK78"/>
    <mergeCell ref="AM78:AN78"/>
    <mergeCell ref="B79:D79"/>
    <mergeCell ref="E79:G79"/>
    <mergeCell ref="H79:J79"/>
    <mergeCell ref="K79:M79"/>
    <mergeCell ref="N79:P79"/>
    <mergeCell ref="Q79:S79"/>
    <mergeCell ref="T79:V79"/>
    <mergeCell ref="W79:Y79"/>
    <mergeCell ref="Q78:S78"/>
    <mergeCell ref="T78:V78"/>
    <mergeCell ref="W78:Y78"/>
    <mergeCell ref="Z78:AB78"/>
    <mergeCell ref="AC78:AE78"/>
    <mergeCell ref="AF78:AH78"/>
    <mergeCell ref="Z77:AB77"/>
    <mergeCell ref="AC77:AE77"/>
    <mergeCell ref="AF77:AH77"/>
    <mergeCell ref="AI77:AK77"/>
    <mergeCell ref="AM77:AN77"/>
    <mergeCell ref="B78:D78"/>
    <mergeCell ref="E78:G78"/>
    <mergeCell ref="H78:J78"/>
    <mergeCell ref="K78:M78"/>
    <mergeCell ref="N78:P78"/>
    <mergeCell ref="AI76:AK76"/>
    <mergeCell ref="AM76:AN76"/>
    <mergeCell ref="B77:D77"/>
    <mergeCell ref="E77:G77"/>
    <mergeCell ref="H77:J77"/>
    <mergeCell ref="K77:M77"/>
    <mergeCell ref="N77:P77"/>
    <mergeCell ref="Q77:S77"/>
    <mergeCell ref="T77:V77"/>
    <mergeCell ref="W77:Y77"/>
    <mergeCell ref="Q76:S76"/>
    <mergeCell ref="T76:V76"/>
    <mergeCell ref="W76:Y76"/>
    <mergeCell ref="Z76:AB76"/>
    <mergeCell ref="AC76:AE76"/>
    <mergeCell ref="AF76:AH76"/>
    <mergeCell ref="Z75:AB75"/>
    <mergeCell ref="AC75:AE75"/>
    <mergeCell ref="AF75:AH75"/>
    <mergeCell ref="AI75:AK75"/>
    <mergeCell ref="AM75:AN75"/>
    <mergeCell ref="B76:D76"/>
    <mergeCell ref="E76:G76"/>
    <mergeCell ref="H76:J76"/>
    <mergeCell ref="K76:M76"/>
    <mergeCell ref="N76:P76"/>
    <mergeCell ref="AI74:AK74"/>
    <mergeCell ref="AM74:AN74"/>
    <mergeCell ref="B75:D75"/>
    <mergeCell ref="E75:G75"/>
    <mergeCell ref="H75:J75"/>
    <mergeCell ref="K75:M75"/>
    <mergeCell ref="N75:P75"/>
    <mergeCell ref="Q75:S75"/>
    <mergeCell ref="T75:V75"/>
    <mergeCell ref="W75:Y75"/>
    <mergeCell ref="Q74:S74"/>
    <mergeCell ref="T74:V74"/>
    <mergeCell ref="W74:Y74"/>
    <mergeCell ref="Z74:AB74"/>
    <mergeCell ref="AC74:AE74"/>
    <mergeCell ref="AF74:AH74"/>
    <mergeCell ref="Z73:AB73"/>
    <mergeCell ref="AC73:AE73"/>
    <mergeCell ref="AF73:AH73"/>
    <mergeCell ref="AI73:AK73"/>
    <mergeCell ref="AM73:AN73"/>
    <mergeCell ref="B74:D74"/>
    <mergeCell ref="E74:G74"/>
    <mergeCell ref="H74:J74"/>
    <mergeCell ref="K74:M74"/>
    <mergeCell ref="N74:P74"/>
    <mergeCell ref="AI72:AK72"/>
    <mergeCell ref="AM72:AN72"/>
    <mergeCell ref="B73:D73"/>
    <mergeCell ref="E73:G73"/>
    <mergeCell ref="H73:J73"/>
    <mergeCell ref="K73:M73"/>
    <mergeCell ref="N73:P73"/>
    <mergeCell ref="Q73:S73"/>
    <mergeCell ref="T73:V73"/>
    <mergeCell ref="W73:Y73"/>
    <mergeCell ref="Q72:S72"/>
    <mergeCell ref="T72:V72"/>
    <mergeCell ref="W72:Y72"/>
    <mergeCell ref="Z72:AB72"/>
    <mergeCell ref="AC72:AE72"/>
    <mergeCell ref="AF72:AH72"/>
    <mergeCell ref="Z71:AB71"/>
    <mergeCell ref="AC71:AE71"/>
    <mergeCell ref="AF71:AH71"/>
    <mergeCell ref="AI71:AK71"/>
    <mergeCell ref="AM71:AN71"/>
    <mergeCell ref="B72:D72"/>
    <mergeCell ref="E72:G72"/>
    <mergeCell ref="H72:J72"/>
    <mergeCell ref="K72:M72"/>
    <mergeCell ref="N72:P72"/>
    <mergeCell ref="AI70:AK70"/>
    <mergeCell ref="AM70:AN70"/>
    <mergeCell ref="B71:D71"/>
    <mergeCell ref="E71:G71"/>
    <mergeCell ref="H71:J71"/>
    <mergeCell ref="K71:M71"/>
    <mergeCell ref="N71:P71"/>
    <mergeCell ref="Q71:S71"/>
    <mergeCell ref="T71:V71"/>
    <mergeCell ref="W71:Y71"/>
    <mergeCell ref="Q70:S70"/>
    <mergeCell ref="T70:V70"/>
    <mergeCell ref="W70:Y70"/>
    <mergeCell ref="Z70:AB70"/>
    <mergeCell ref="AC70:AE70"/>
    <mergeCell ref="AF70:AH70"/>
    <mergeCell ref="Z69:AB69"/>
    <mergeCell ref="AC69:AE69"/>
    <mergeCell ref="AF69:AH69"/>
    <mergeCell ref="AI69:AK69"/>
    <mergeCell ref="AM69:AN69"/>
    <mergeCell ref="B70:D70"/>
    <mergeCell ref="E70:G70"/>
    <mergeCell ref="H70:J70"/>
    <mergeCell ref="K70:M70"/>
    <mergeCell ref="N70:P70"/>
    <mergeCell ref="AI68:AK68"/>
    <mergeCell ref="AM68:AN68"/>
    <mergeCell ref="B69:D69"/>
    <mergeCell ref="E69:G69"/>
    <mergeCell ref="H69:J69"/>
    <mergeCell ref="K69:M69"/>
    <mergeCell ref="N69:P69"/>
    <mergeCell ref="Q69:S69"/>
    <mergeCell ref="T69:V69"/>
    <mergeCell ref="W69:Y69"/>
    <mergeCell ref="Q68:S68"/>
    <mergeCell ref="T68:V68"/>
    <mergeCell ref="W68:Y68"/>
    <mergeCell ref="Z68:AB68"/>
    <mergeCell ref="AC68:AE68"/>
    <mergeCell ref="AF68:AH68"/>
    <mergeCell ref="Z67:AB67"/>
    <mergeCell ref="AC67:AE67"/>
    <mergeCell ref="AF67:AH67"/>
    <mergeCell ref="AI67:AK67"/>
    <mergeCell ref="AM67:AN67"/>
    <mergeCell ref="B68:D68"/>
    <mergeCell ref="E68:G68"/>
    <mergeCell ref="H68:J68"/>
    <mergeCell ref="K68:M68"/>
    <mergeCell ref="N68:P68"/>
    <mergeCell ref="AI66:AK66"/>
    <mergeCell ref="AM66:AN66"/>
    <mergeCell ref="B67:D67"/>
    <mergeCell ref="E67:G67"/>
    <mergeCell ref="H67:J67"/>
    <mergeCell ref="K67:M67"/>
    <mergeCell ref="N67:P67"/>
    <mergeCell ref="Q67:S67"/>
    <mergeCell ref="T67:V67"/>
    <mergeCell ref="W67:Y67"/>
    <mergeCell ref="Q66:S66"/>
    <mergeCell ref="T66:V66"/>
    <mergeCell ref="W66:Y66"/>
    <mergeCell ref="Z66:AB66"/>
    <mergeCell ref="AC66:AE66"/>
    <mergeCell ref="AF66:AH66"/>
    <mergeCell ref="Z65:AB65"/>
    <mergeCell ref="AC65:AE65"/>
    <mergeCell ref="AF65:AH65"/>
    <mergeCell ref="AI65:AK65"/>
    <mergeCell ref="AM65:AN65"/>
    <mergeCell ref="B66:D66"/>
    <mergeCell ref="E66:G66"/>
    <mergeCell ref="H66:J66"/>
    <mergeCell ref="K66:M66"/>
    <mergeCell ref="N66:P66"/>
    <mergeCell ref="AI64:AK64"/>
    <mergeCell ref="AM64:AN64"/>
    <mergeCell ref="B65:D65"/>
    <mergeCell ref="E65:G65"/>
    <mergeCell ref="H65:J65"/>
    <mergeCell ref="K65:M65"/>
    <mergeCell ref="N65:P65"/>
    <mergeCell ref="Q65:S65"/>
    <mergeCell ref="T65:V65"/>
    <mergeCell ref="W65:Y65"/>
    <mergeCell ref="Q64:S64"/>
    <mergeCell ref="T64:V64"/>
    <mergeCell ref="W64:Y64"/>
    <mergeCell ref="Z64:AB64"/>
    <mergeCell ref="AC64:AE64"/>
    <mergeCell ref="AF64:AH64"/>
    <mergeCell ref="Z63:AB63"/>
    <mergeCell ref="AC63:AE63"/>
    <mergeCell ref="AF63:AH63"/>
    <mergeCell ref="AI63:AK63"/>
    <mergeCell ref="AM63:AN63"/>
    <mergeCell ref="B64:D64"/>
    <mergeCell ref="E64:G64"/>
    <mergeCell ref="H64:J64"/>
    <mergeCell ref="K64:M64"/>
    <mergeCell ref="N64:P64"/>
    <mergeCell ref="AI62:AK62"/>
    <mergeCell ref="AM62:AN62"/>
    <mergeCell ref="B63:D63"/>
    <mergeCell ref="E63:G63"/>
    <mergeCell ref="H63:J63"/>
    <mergeCell ref="K63:M63"/>
    <mergeCell ref="N63:P63"/>
    <mergeCell ref="Q63:S63"/>
    <mergeCell ref="T63:V63"/>
    <mergeCell ref="W63:Y63"/>
    <mergeCell ref="Q62:S62"/>
    <mergeCell ref="T62:V62"/>
    <mergeCell ref="W62:Y62"/>
    <mergeCell ref="Z62:AB62"/>
    <mergeCell ref="AC62:AE62"/>
    <mergeCell ref="AF62:AH62"/>
    <mergeCell ref="Z61:AB61"/>
    <mergeCell ref="AC61:AE61"/>
    <mergeCell ref="AF61:AH61"/>
    <mergeCell ref="AI61:AK61"/>
    <mergeCell ref="AM61:AN61"/>
    <mergeCell ref="B62:D62"/>
    <mergeCell ref="E62:G62"/>
    <mergeCell ref="H62:J62"/>
    <mergeCell ref="K62:M62"/>
    <mergeCell ref="N62:P62"/>
    <mergeCell ref="AI60:AK60"/>
    <mergeCell ref="AM60:AN60"/>
    <mergeCell ref="B61:D61"/>
    <mergeCell ref="E61:G61"/>
    <mergeCell ref="H61:J61"/>
    <mergeCell ref="K61:M61"/>
    <mergeCell ref="N61:P61"/>
    <mergeCell ref="Q61:S61"/>
    <mergeCell ref="T61:V61"/>
    <mergeCell ref="W61:Y61"/>
    <mergeCell ref="Q60:S60"/>
    <mergeCell ref="T60:V60"/>
    <mergeCell ref="W60:Y60"/>
    <mergeCell ref="Z60:AB60"/>
    <mergeCell ref="AC60:AE60"/>
    <mergeCell ref="AF60:AH60"/>
    <mergeCell ref="Z59:AB59"/>
    <mergeCell ref="AC59:AE59"/>
    <mergeCell ref="AF59:AH59"/>
    <mergeCell ref="AI59:AK59"/>
    <mergeCell ref="AM59:AN59"/>
    <mergeCell ref="B60:D60"/>
    <mergeCell ref="E60:G60"/>
    <mergeCell ref="H60:J60"/>
    <mergeCell ref="K60:M60"/>
    <mergeCell ref="N60:P60"/>
    <mergeCell ref="AI58:AK58"/>
    <mergeCell ref="AM58:AN58"/>
    <mergeCell ref="B59:D59"/>
    <mergeCell ref="E59:G59"/>
    <mergeCell ref="H59:J59"/>
    <mergeCell ref="K59:M59"/>
    <mergeCell ref="N59:P59"/>
    <mergeCell ref="Q59:S59"/>
    <mergeCell ref="T59:V59"/>
    <mergeCell ref="W59:Y59"/>
    <mergeCell ref="Q58:S58"/>
    <mergeCell ref="T58:V58"/>
    <mergeCell ref="W58:Y58"/>
    <mergeCell ref="Z58:AB58"/>
    <mergeCell ref="AC58:AE58"/>
    <mergeCell ref="AF58:AH58"/>
    <mergeCell ref="Z57:AB57"/>
    <mergeCell ref="AC57:AE57"/>
    <mergeCell ref="AF57:AH57"/>
    <mergeCell ref="AI57:AK57"/>
    <mergeCell ref="AM57:AN57"/>
    <mergeCell ref="B58:D58"/>
    <mergeCell ref="E58:G58"/>
    <mergeCell ref="H58:J58"/>
    <mergeCell ref="K58:M58"/>
    <mergeCell ref="N58:P58"/>
    <mergeCell ref="AI56:AK56"/>
    <mergeCell ref="AM56:AN56"/>
    <mergeCell ref="B57:D57"/>
    <mergeCell ref="E57:G57"/>
    <mergeCell ref="H57:J57"/>
    <mergeCell ref="K57:M57"/>
    <mergeCell ref="N57:P57"/>
    <mergeCell ref="Q57:S57"/>
    <mergeCell ref="T57:V57"/>
    <mergeCell ref="W57:Y57"/>
    <mergeCell ref="Q56:S56"/>
    <mergeCell ref="T56:V56"/>
    <mergeCell ref="W56:Y56"/>
    <mergeCell ref="Z56:AB56"/>
    <mergeCell ref="AC56:AE56"/>
    <mergeCell ref="AF56:AH56"/>
    <mergeCell ref="Z55:AB55"/>
    <mergeCell ref="AC55:AE55"/>
    <mergeCell ref="AF55:AH55"/>
    <mergeCell ref="AI55:AK55"/>
    <mergeCell ref="AM55:AN55"/>
    <mergeCell ref="B56:D56"/>
    <mergeCell ref="E56:G56"/>
    <mergeCell ref="H56:J56"/>
    <mergeCell ref="K56:M56"/>
    <mergeCell ref="N56:P56"/>
    <mergeCell ref="AI54:AK54"/>
    <mergeCell ref="AM54:AN54"/>
    <mergeCell ref="B55:D55"/>
    <mergeCell ref="E55:G55"/>
    <mergeCell ref="H55:J55"/>
    <mergeCell ref="K55:M55"/>
    <mergeCell ref="N55:P55"/>
    <mergeCell ref="Q55:S55"/>
    <mergeCell ref="T55:V55"/>
    <mergeCell ref="W55:Y55"/>
    <mergeCell ref="Q54:S54"/>
    <mergeCell ref="T54:V54"/>
    <mergeCell ref="W54:Y54"/>
    <mergeCell ref="Z54:AB54"/>
    <mergeCell ref="AC54:AE54"/>
    <mergeCell ref="AF54:AH54"/>
    <mergeCell ref="Z53:AB53"/>
    <mergeCell ref="AC53:AE53"/>
    <mergeCell ref="AF53:AH53"/>
    <mergeCell ref="AI53:AK53"/>
    <mergeCell ref="AM53:AN53"/>
    <mergeCell ref="B54:D54"/>
    <mergeCell ref="E54:G54"/>
    <mergeCell ref="H54:J54"/>
    <mergeCell ref="K54:M54"/>
    <mergeCell ref="N54:P54"/>
    <mergeCell ref="AI52:AK52"/>
    <mergeCell ref="AM52:AN52"/>
    <mergeCell ref="B53:D53"/>
    <mergeCell ref="E53:G53"/>
    <mergeCell ref="H53:J53"/>
    <mergeCell ref="K53:M53"/>
    <mergeCell ref="N53:P53"/>
    <mergeCell ref="Q53:S53"/>
    <mergeCell ref="T53:V53"/>
    <mergeCell ref="W53:Y53"/>
    <mergeCell ref="Q52:S52"/>
    <mergeCell ref="T52:V52"/>
    <mergeCell ref="W52:Y52"/>
    <mergeCell ref="Z52:AB52"/>
    <mergeCell ref="AC52:AE52"/>
    <mergeCell ref="AF52:AH52"/>
    <mergeCell ref="Z51:AB51"/>
    <mergeCell ref="AC51:AE51"/>
    <mergeCell ref="AF51:AH51"/>
    <mergeCell ref="AI51:AK51"/>
    <mergeCell ref="AM51:AN51"/>
    <mergeCell ref="B52:D52"/>
    <mergeCell ref="E52:G52"/>
    <mergeCell ref="H52:J52"/>
    <mergeCell ref="K52:M52"/>
    <mergeCell ref="N52:P52"/>
    <mergeCell ref="AI50:AK50"/>
    <mergeCell ref="AM50:AN50"/>
    <mergeCell ref="B51:D51"/>
    <mergeCell ref="E51:G51"/>
    <mergeCell ref="H51:J51"/>
    <mergeCell ref="K51:M51"/>
    <mergeCell ref="N51:P51"/>
    <mergeCell ref="Q51:S51"/>
    <mergeCell ref="T51:V51"/>
    <mergeCell ref="W51:Y51"/>
    <mergeCell ref="Q50:S50"/>
    <mergeCell ref="T50:V50"/>
    <mergeCell ref="W50:Y50"/>
    <mergeCell ref="Z50:AB50"/>
    <mergeCell ref="AC50:AE50"/>
    <mergeCell ref="AF50:AH50"/>
    <mergeCell ref="Z49:AB49"/>
    <mergeCell ref="AC49:AE49"/>
    <mergeCell ref="AF49:AH49"/>
    <mergeCell ref="AI49:AK49"/>
    <mergeCell ref="AM49:AN49"/>
    <mergeCell ref="B50:D50"/>
    <mergeCell ref="E50:G50"/>
    <mergeCell ref="H50:J50"/>
    <mergeCell ref="K50:M50"/>
    <mergeCell ref="N50:P50"/>
    <mergeCell ref="AI48:AK48"/>
    <mergeCell ref="AM48:AN48"/>
    <mergeCell ref="B49:D49"/>
    <mergeCell ref="E49:G49"/>
    <mergeCell ref="H49:J49"/>
    <mergeCell ref="K49:M49"/>
    <mergeCell ref="N49:P49"/>
    <mergeCell ref="Q49:S49"/>
    <mergeCell ref="T49:V49"/>
    <mergeCell ref="W49:Y49"/>
    <mergeCell ref="Q48:S48"/>
    <mergeCell ref="T48:V48"/>
    <mergeCell ref="W48:Y48"/>
    <mergeCell ref="Z48:AB48"/>
    <mergeCell ref="AC48:AE48"/>
    <mergeCell ref="AF48:AH48"/>
    <mergeCell ref="Z47:AB47"/>
    <mergeCell ref="AC47:AE47"/>
    <mergeCell ref="AF47:AH47"/>
    <mergeCell ref="AI47:AK47"/>
    <mergeCell ref="AM47:AN47"/>
    <mergeCell ref="B48:D48"/>
    <mergeCell ref="E48:G48"/>
    <mergeCell ref="H48:J48"/>
    <mergeCell ref="K48:M48"/>
    <mergeCell ref="N48:P48"/>
    <mergeCell ref="AI46:AK46"/>
    <mergeCell ref="AM46:AN46"/>
    <mergeCell ref="B47:D47"/>
    <mergeCell ref="E47:G47"/>
    <mergeCell ref="H47:J47"/>
    <mergeCell ref="K47:M47"/>
    <mergeCell ref="N47:P47"/>
    <mergeCell ref="Q47:S47"/>
    <mergeCell ref="T47:V47"/>
    <mergeCell ref="W47:Y47"/>
    <mergeCell ref="Q46:S46"/>
    <mergeCell ref="T46:V46"/>
    <mergeCell ref="W46:Y46"/>
    <mergeCell ref="Z46:AB46"/>
    <mergeCell ref="AC46:AE46"/>
    <mergeCell ref="AF46:AH46"/>
    <mergeCell ref="Z45:AB45"/>
    <mergeCell ref="AC45:AE45"/>
    <mergeCell ref="AF45:AH45"/>
    <mergeCell ref="AI45:AK45"/>
    <mergeCell ref="AM45:AN45"/>
    <mergeCell ref="B46:D46"/>
    <mergeCell ref="E46:G46"/>
    <mergeCell ref="H46:J46"/>
    <mergeCell ref="K46:M46"/>
    <mergeCell ref="N46:P46"/>
    <mergeCell ref="AI44:AK44"/>
    <mergeCell ref="AM44:AN44"/>
    <mergeCell ref="B45:D45"/>
    <mergeCell ref="E45:G45"/>
    <mergeCell ref="H45:J45"/>
    <mergeCell ref="K45:M45"/>
    <mergeCell ref="N45:P45"/>
    <mergeCell ref="Q45:S45"/>
    <mergeCell ref="T45:V45"/>
    <mergeCell ref="W45:Y45"/>
    <mergeCell ref="Q44:S44"/>
    <mergeCell ref="T44:V44"/>
    <mergeCell ref="W44:Y44"/>
    <mergeCell ref="Z44:AB44"/>
    <mergeCell ref="AC44:AE44"/>
    <mergeCell ref="AF44:AH44"/>
    <mergeCell ref="Z43:AB43"/>
    <mergeCell ref="AC43:AE43"/>
    <mergeCell ref="AF43:AH43"/>
    <mergeCell ref="AI43:AK43"/>
    <mergeCell ref="AM43:AN43"/>
    <mergeCell ref="B44:D44"/>
    <mergeCell ref="E44:G44"/>
    <mergeCell ref="H44:J44"/>
    <mergeCell ref="K44:M44"/>
    <mergeCell ref="N44:P44"/>
    <mergeCell ref="AI42:AK42"/>
    <mergeCell ref="AM42:AN42"/>
    <mergeCell ref="B43:D43"/>
    <mergeCell ref="E43:G43"/>
    <mergeCell ref="H43:J43"/>
    <mergeCell ref="K43:M43"/>
    <mergeCell ref="N43:P43"/>
    <mergeCell ref="Q43:S43"/>
    <mergeCell ref="T43:V43"/>
    <mergeCell ref="W43:Y43"/>
    <mergeCell ref="Q42:S42"/>
    <mergeCell ref="T42:V42"/>
    <mergeCell ref="W42:Y42"/>
    <mergeCell ref="Z42:AB42"/>
    <mergeCell ref="AC42:AE42"/>
    <mergeCell ref="AF42:AH42"/>
    <mergeCell ref="Z41:AB41"/>
    <mergeCell ref="AC41:AE41"/>
    <mergeCell ref="AF41:AH41"/>
    <mergeCell ref="AI41:AK41"/>
    <mergeCell ref="AM41:AN41"/>
    <mergeCell ref="B42:D42"/>
    <mergeCell ref="E42:G42"/>
    <mergeCell ref="H42:J42"/>
    <mergeCell ref="K42:M42"/>
    <mergeCell ref="N42:P42"/>
    <mergeCell ref="AI40:AK40"/>
    <mergeCell ref="AM40:AN40"/>
    <mergeCell ref="B41:D41"/>
    <mergeCell ref="E41:G41"/>
    <mergeCell ref="H41:J41"/>
    <mergeCell ref="K41:M41"/>
    <mergeCell ref="N41:P41"/>
    <mergeCell ref="Q41:S41"/>
    <mergeCell ref="T41:V41"/>
    <mergeCell ref="W41:Y41"/>
    <mergeCell ref="Q40:S40"/>
    <mergeCell ref="T40:V40"/>
    <mergeCell ref="W40:Y40"/>
    <mergeCell ref="Z40:AB40"/>
    <mergeCell ref="AC40:AE40"/>
    <mergeCell ref="AF40:AH40"/>
    <mergeCell ref="Z39:AB39"/>
    <mergeCell ref="AC39:AE39"/>
    <mergeCell ref="AF39:AH39"/>
    <mergeCell ref="AI39:AK39"/>
    <mergeCell ref="AM39:AN39"/>
    <mergeCell ref="B40:D40"/>
    <mergeCell ref="E40:G40"/>
    <mergeCell ref="H40:J40"/>
    <mergeCell ref="K40:M40"/>
    <mergeCell ref="N40:P40"/>
    <mergeCell ref="AI38:AK38"/>
    <mergeCell ref="AM38:AN38"/>
    <mergeCell ref="B39:D39"/>
    <mergeCell ref="E39:G39"/>
    <mergeCell ref="H39:J39"/>
    <mergeCell ref="K39:M39"/>
    <mergeCell ref="N39:P39"/>
    <mergeCell ref="Q39:S39"/>
    <mergeCell ref="T39:V39"/>
    <mergeCell ref="W39:Y39"/>
    <mergeCell ref="Q38:S38"/>
    <mergeCell ref="T38:V38"/>
    <mergeCell ref="W38:Y38"/>
    <mergeCell ref="Z38:AB38"/>
    <mergeCell ref="AC38:AE38"/>
    <mergeCell ref="AF38:AH38"/>
    <mergeCell ref="Z37:AB37"/>
    <mergeCell ref="AC37:AE37"/>
    <mergeCell ref="AF37:AH37"/>
    <mergeCell ref="AI37:AK37"/>
    <mergeCell ref="AM37:AN37"/>
    <mergeCell ref="B38:D38"/>
    <mergeCell ref="E38:G38"/>
    <mergeCell ref="H38:J38"/>
    <mergeCell ref="K38:M38"/>
    <mergeCell ref="N38:P38"/>
    <mergeCell ref="AI36:AK36"/>
    <mergeCell ref="AM36:AN36"/>
    <mergeCell ref="B37:D37"/>
    <mergeCell ref="E37:G37"/>
    <mergeCell ref="H37:J37"/>
    <mergeCell ref="K37:M37"/>
    <mergeCell ref="N37:P37"/>
    <mergeCell ref="Q37:S37"/>
    <mergeCell ref="T37:V37"/>
    <mergeCell ref="W37:Y37"/>
    <mergeCell ref="Q36:S36"/>
    <mergeCell ref="T36:V36"/>
    <mergeCell ref="W36:Y36"/>
    <mergeCell ref="Z36:AB36"/>
    <mergeCell ref="AC36:AE36"/>
    <mergeCell ref="AF36:AH36"/>
    <mergeCell ref="Z35:AB35"/>
    <mergeCell ref="AC35:AE35"/>
    <mergeCell ref="AF35:AH35"/>
    <mergeCell ref="AI35:AK35"/>
    <mergeCell ref="AM35:AN35"/>
    <mergeCell ref="B36:D36"/>
    <mergeCell ref="E36:G36"/>
    <mergeCell ref="H36:J36"/>
    <mergeCell ref="K36:M36"/>
    <mergeCell ref="N36:P36"/>
    <mergeCell ref="AI34:AK34"/>
    <mergeCell ref="AM34:AN34"/>
    <mergeCell ref="B35:D35"/>
    <mergeCell ref="E35:G35"/>
    <mergeCell ref="H35:J35"/>
    <mergeCell ref="K35:M35"/>
    <mergeCell ref="N35:P35"/>
    <mergeCell ref="Q35:S35"/>
    <mergeCell ref="T35:V35"/>
    <mergeCell ref="W35:Y35"/>
    <mergeCell ref="Q34:S34"/>
    <mergeCell ref="T34:V34"/>
    <mergeCell ref="W34:Y34"/>
    <mergeCell ref="Z34:AB34"/>
    <mergeCell ref="AC34:AE34"/>
    <mergeCell ref="AF34:AH34"/>
    <mergeCell ref="Z33:AB33"/>
    <mergeCell ref="AC33:AE33"/>
    <mergeCell ref="AF33:AH33"/>
    <mergeCell ref="AI33:AK33"/>
    <mergeCell ref="AM33:AN33"/>
    <mergeCell ref="B34:D34"/>
    <mergeCell ref="E34:G34"/>
    <mergeCell ref="H34:J34"/>
    <mergeCell ref="K34:M34"/>
    <mergeCell ref="N34:P34"/>
    <mergeCell ref="AI32:AK32"/>
    <mergeCell ref="AM32:AN32"/>
    <mergeCell ref="B33:D33"/>
    <mergeCell ref="E33:G33"/>
    <mergeCell ref="H33:J33"/>
    <mergeCell ref="K33:M33"/>
    <mergeCell ref="N33:P33"/>
    <mergeCell ref="Q33:S33"/>
    <mergeCell ref="T33:V33"/>
    <mergeCell ref="W33:Y33"/>
    <mergeCell ref="Q32:S32"/>
    <mergeCell ref="T32:V32"/>
    <mergeCell ref="W32:Y32"/>
    <mergeCell ref="Z32:AB32"/>
    <mergeCell ref="AC32:AE32"/>
    <mergeCell ref="AF32:AH32"/>
    <mergeCell ref="AF27:AG27"/>
    <mergeCell ref="AI27:AJ27"/>
    <mergeCell ref="A28:AN29"/>
    <mergeCell ref="A30:AN30"/>
    <mergeCell ref="A31:AN31"/>
    <mergeCell ref="B32:D32"/>
    <mergeCell ref="E32:G32"/>
    <mergeCell ref="H32:J32"/>
    <mergeCell ref="K32:M32"/>
    <mergeCell ref="N32:P32"/>
    <mergeCell ref="N27:O27"/>
    <mergeCell ref="Q27:R27"/>
    <mergeCell ref="T27:U27"/>
    <mergeCell ref="W27:X27"/>
    <mergeCell ref="Z27:AA27"/>
    <mergeCell ref="AC27:AD27"/>
    <mergeCell ref="B25:C25"/>
    <mergeCell ref="B26:C26"/>
    <mergeCell ref="B27:C27"/>
    <mergeCell ref="E27:F27"/>
    <mergeCell ref="H27:I27"/>
    <mergeCell ref="K27:L27"/>
    <mergeCell ref="AI21:AK21"/>
    <mergeCell ref="AL21:AL22"/>
    <mergeCell ref="AM21:AN21"/>
    <mergeCell ref="B22:C22"/>
    <mergeCell ref="B23:C23"/>
    <mergeCell ref="B24:C24"/>
    <mergeCell ref="Q21:S21"/>
    <mergeCell ref="T21:V21"/>
    <mergeCell ref="W21:Y21"/>
    <mergeCell ref="Z21:AB21"/>
    <mergeCell ref="AC21:AE21"/>
    <mergeCell ref="AF21:AH21"/>
    <mergeCell ref="A21:A22"/>
    <mergeCell ref="B21:D21"/>
    <mergeCell ref="E21:G21"/>
    <mergeCell ref="H21:J21"/>
    <mergeCell ref="K21:M21"/>
    <mergeCell ref="N21:P21"/>
    <mergeCell ref="T18:V18"/>
    <mergeCell ref="W18:Y18"/>
    <mergeCell ref="AC18:AE18"/>
    <mergeCell ref="AI18:AK18"/>
    <mergeCell ref="AL18:AN18"/>
    <mergeCell ref="A19:AN20"/>
    <mergeCell ref="B18:D18"/>
    <mergeCell ref="E18:G18"/>
    <mergeCell ref="H18:J18"/>
    <mergeCell ref="K18:M18"/>
    <mergeCell ref="N18:P18"/>
    <mergeCell ref="Q18:S18"/>
    <mergeCell ref="Q17:S17"/>
    <mergeCell ref="T17:V17"/>
    <mergeCell ref="W17:Y17"/>
    <mergeCell ref="AC17:AE17"/>
    <mergeCell ref="AI17:AK17"/>
    <mergeCell ref="AL17:AN17"/>
    <mergeCell ref="T16:V16"/>
    <mergeCell ref="W16:Y16"/>
    <mergeCell ref="AC16:AE16"/>
    <mergeCell ref="AI16:AK16"/>
    <mergeCell ref="AL16:AN16"/>
    <mergeCell ref="B17:D17"/>
    <mergeCell ref="E17:G17"/>
    <mergeCell ref="H17:J17"/>
    <mergeCell ref="K17:M17"/>
    <mergeCell ref="N17:P17"/>
    <mergeCell ref="B16:D16"/>
    <mergeCell ref="E16:G16"/>
    <mergeCell ref="H16:J16"/>
    <mergeCell ref="K16:M16"/>
    <mergeCell ref="N16:P16"/>
    <mergeCell ref="Q16:S16"/>
    <mergeCell ref="Q15:S15"/>
    <mergeCell ref="T15:V15"/>
    <mergeCell ref="W15:Y15"/>
    <mergeCell ref="AC15:AE15"/>
    <mergeCell ref="AI15:AK15"/>
    <mergeCell ref="AL15:AN15"/>
    <mergeCell ref="T14:V14"/>
    <mergeCell ref="W14:Y14"/>
    <mergeCell ref="AC14:AE14"/>
    <mergeCell ref="AI14:AK14"/>
    <mergeCell ref="AL14:AN14"/>
    <mergeCell ref="B15:D15"/>
    <mergeCell ref="E15:G15"/>
    <mergeCell ref="H15:J15"/>
    <mergeCell ref="K15:M15"/>
    <mergeCell ref="N15:P15"/>
    <mergeCell ref="W13:Y13"/>
    <mergeCell ref="AC13:AE13"/>
    <mergeCell ref="AI13:AK13"/>
    <mergeCell ref="AL13:AN13"/>
    <mergeCell ref="B14:D14"/>
    <mergeCell ref="E14:G14"/>
    <mergeCell ref="H14:J14"/>
    <mergeCell ref="K14:M14"/>
    <mergeCell ref="N14:P14"/>
    <mergeCell ref="Q14:S14"/>
    <mergeCell ref="AC12:AE12"/>
    <mergeCell ref="AI12:AK12"/>
    <mergeCell ref="AL12:AN12"/>
    <mergeCell ref="B13:D13"/>
    <mergeCell ref="E13:G13"/>
    <mergeCell ref="H13:J13"/>
    <mergeCell ref="K13:M13"/>
    <mergeCell ref="N13:P13"/>
    <mergeCell ref="Q13:S13"/>
    <mergeCell ref="T13:V13"/>
    <mergeCell ref="AI11:AK11"/>
    <mergeCell ref="AL11:AN11"/>
    <mergeCell ref="B12:D12"/>
    <mergeCell ref="E12:G12"/>
    <mergeCell ref="H12:J12"/>
    <mergeCell ref="K12:M12"/>
    <mergeCell ref="N12:P12"/>
    <mergeCell ref="Q12:S12"/>
    <mergeCell ref="T12:V12"/>
    <mergeCell ref="W12:Y12"/>
    <mergeCell ref="Q11:S11"/>
    <mergeCell ref="T11:V11"/>
    <mergeCell ref="W11:Y11"/>
    <mergeCell ref="Z11:AB11"/>
    <mergeCell ref="AC11:AE11"/>
    <mergeCell ref="AF11:AH11"/>
    <mergeCell ref="A1:AN4"/>
    <mergeCell ref="A5:AN6"/>
    <mergeCell ref="A7:AN8"/>
    <mergeCell ref="A9:AN9"/>
    <mergeCell ref="A10:AN10"/>
    <mergeCell ref="B11:D11"/>
    <mergeCell ref="E11:G11"/>
    <mergeCell ref="H11:J11"/>
    <mergeCell ref="K11:M11"/>
    <mergeCell ref="N11:P11"/>
  </mergeCell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OUT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ANIPA</dc:creator>
  <cp:lastModifiedBy>ANIPA</cp:lastModifiedBy>
  <dcterms:created xsi:type="dcterms:W3CDTF">2019-12-02T20:39:16Z</dcterms:created>
  <dcterms:modified xsi:type="dcterms:W3CDTF">2019-12-02T20:41:25Z</dcterms:modified>
</cp:coreProperties>
</file>