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ados\Desktop\FINANCEIRO\05. FINANCEIRO\2020\09. SET\Histórico Mensal\"/>
    </mc:Choice>
  </mc:AlternateContent>
  <xr:revisionPtr revIDLastSave="0" documentId="8_{E90934EC-F793-4BB3-A638-B886F21A7C6D}" xr6:coauthVersionLast="45" xr6:coauthVersionMax="45" xr10:uidLastSave="{00000000-0000-0000-0000-000000000000}"/>
  <bookViews>
    <workbookView xWindow="-120" yWindow="-120" windowWidth="20730" windowHeight="11160" xr2:uid="{EA451E3F-54AF-458F-B8DC-D3307886F200}"/>
  </bookViews>
  <sheets>
    <sheet name="SE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113" i="1" l="1"/>
  <c r="T113" i="1"/>
  <c r="K113" i="1"/>
  <c r="E113" i="1"/>
  <c r="N112" i="1"/>
  <c r="Q112" i="1" s="1"/>
  <c r="T112" i="1" s="1"/>
  <c r="W112" i="1" s="1"/>
  <c r="Z112" i="1" s="1"/>
  <c r="AC112" i="1" s="1"/>
  <c r="E112" i="1"/>
  <c r="H112" i="1" s="1"/>
  <c r="K112" i="1" s="1"/>
  <c r="Q111" i="1"/>
  <c r="T111" i="1" s="1"/>
  <c r="W111" i="1" s="1"/>
  <c r="Z111" i="1" s="1"/>
  <c r="AC111" i="1" s="1"/>
  <c r="N111" i="1"/>
  <c r="N110" i="1"/>
  <c r="Q110" i="1" s="1"/>
  <c r="T110" i="1" s="1"/>
  <c r="W110" i="1" s="1"/>
  <c r="Z110" i="1" s="1"/>
  <c r="AC110" i="1" s="1"/>
  <c r="K110" i="1"/>
  <c r="E110" i="1"/>
  <c r="H110" i="1" s="1"/>
  <c r="B109" i="1"/>
  <c r="B114" i="1" s="1"/>
  <c r="AF102" i="1"/>
  <c r="K102" i="1"/>
  <c r="E102" i="1"/>
  <c r="AF101" i="1"/>
  <c r="AJ101" i="1" s="1"/>
  <c r="K100" i="1"/>
  <c r="AF100" i="1" s="1"/>
  <c r="AF99" i="1"/>
  <c r="K99" i="1"/>
  <c r="K98" i="1"/>
  <c r="K95" i="1" s="1"/>
  <c r="H98" i="1"/>
  <c r="E98" i="1"/>
  <c r="AJ97" i="1"/>
  <c r="AF97" i="1"/>
  <c r="H97" i="1"/>
  <c r="K96" i="1"/>
  <c r="H96" i="1"/>
  <c r="AC95" i="1"/>
  <c r="Z95" i="1"/>
  <c r="W95" i="1"/>
  <c r="T95" i="1"/>
  <c r="Q95" i="1"/>
  <c r="N95" i="1"/>
  <c r="E95" i="1"/>
  <c r="B95" i="1"/>
  <c r="Z94" i="1"/>
  <c r="Z90" i="1" s="1"/>
  <c r="AF93" i="1"/>
  <c r="K93" i="1"/>
  <c r="K90" i="1" s="1"/>
  <c r="E93" i="1"/>
  <c r="AF92" i="1"/>
  <c r="AJ92" i="1" s="1"/>
  <c r="H92" i="1"/>
  <c r="AF91" i="1"/>
  <c r="AJ91" i="1" s="1"/>
  <c r="Z91" i="1"/>
  <c r="Q91" i="1"/>
  <c r="E91" i="1"/>
  <c r="B91" i="1"/>
  <c r="B90" i="1" s="1"/>
  <c r="AC90" i="1"/>
  <c r="W90" i="1"/>
  <c r="T90" i="1"/>
  <c r="Q90" i="1"/>
  <c r="N90" i="1"/>
  <c r="H90" i="1"/>
  <c r="E90" i="1"/>
  <c r="Z89" i="1"/>
  <c r="Q89" i="1"/>
  <c r="K89" i="1"/>
  <c r="E89" i="1"/>
  <c r="AF89" i="1" s="1"/>
  <c r="AC88" i="1"/>
  <c r="AC84" i="1" s="1"/>
  <c r="Z88" i="1"/>
  <c r="W88" i="1"/>
  <c r="T88" i="1"/>
  <c r="Q88" i="1"/>
  <c r="AF88" i="1" s="1"/>
  <c r="K88" i="1"/>
  <c r="E88" i="1"/>
  <c r="AC87" i="1"/>
  <c r="Z87" i="1"/>
  <c r="W87" i="1"/>
  <c r="W84" i="1" s="1"/>
  <c r="T87" i="1"/>
  <c r="T84" i="1" s="1"/>
  <c r="Q87" i="1"/>
  <c r="K87" i="1"/>
  <c r="H87" i="1"/>
  <c r="H84" i="1" s="1"/>
  <c r="E87" i="1"/>
  <c r="AF87" i="1" s="1"/>
  <c r="AJ87" i="1" s="1"/>
  <c r="AF86" i="1"/>
  <c r="AJ86" i="1" s="1"/>
  <c r="AF85" i="1"/>
  <c r="Z84" i="1"/>
  <c r="N84" i="1"/>
  <c r="E84" i="1"/>
  <c r="B84" i="1"/>
  <c r="AC83" i="1"/>
  <c r="Z83" i="1"/>
  <c r="W83" i="1"/>
  <c r="T83" i="1"/>
  <c r="Q83" i="1"/>
  <c r="N83" i="1"/>
  <c r="K83" i="1"/>
  <c r="H83" i="1"/>
  <c r="E83" i="1"/>
  <c r="AF83" i="1" s="1"/>
  <c r="AC82" i="1"/>
  <c r="Z82" i="1"/>
  <c r="W82" i="1"/>
  <c r="T82" i="1"/>
  <c r="Q82" i="1"/>
  <c r="N82" i="1"/>
  <c r="K82" i="1"/>
  <c r="H82" i="1"/>
  <c r="E82" i="1"/>
  <c r="AF82" i="1" s="1"/>
  <c r="AF81" i="1"/>
  <c r="E80" i="1"/>
  <c r="AF80" i="1" s="1"/>
  <c r="AJ80" i="1" s="1"/>
  <c r="AC79" i="1"/>
  <c r="H79" i="1"/>
  <c r="E79" i="1"/>
  <c r="AF78" i="1"/>
  <c r="AJ78" i="1" s="1"/>
  <c r="AC77" i="1"/>
  <c r="Z77" i="1"/>
  <c r="W77" i="1"/>
  <c r="K77" i="1"/>
  <c r="AF77" i="1" s="1"/>
  <c r="H77" i="1"/>
  <c r="E77" i="1"/>
  <c r="AC76" i="1"/>
  <c r="Z76" i="1"/>
  <c r="W76" i="1"/>
  <c r="W69" i="1" s="1"/>
  <c r="T76" i="1"/>
  <c r="Q76" i="1"/>
  <c r="N76" i="1"/>
  <c r="K76" i="1"/>
  <c r="H76" i="1"/>
  <c r="AF76" i="1" s="1"/>
  <c r="E76" i="1"/>
  <c r="AC75" i="1"/>
  <c r="Z75" i="1"/>
  <c r="W75" i="1"/>
  <c r="T75" i="1"/>
  <c r="T69" i="1" s="1"/>
  <c r="Q75" i="1"/>
  <c r="N75" i="1"/>
  <c r="K75" i="1"/>
  <c r="H75" i="1"/>
  <c r="H69" i="1" s="1"/>
  <c r="E75" i="1"/>
  <c r="AC74" i="1"/>
  <c r="Z74" i="1"/>
  <c r="W74" i="1"/>
  <c r="Q74" i="1"/>
  <c r="H74" i="1"/>
  <c r="E74" i="1"/>
  <c r="AF73" i="1"/>
  <c r="AJ73" i="1" s="1"/>
  <c r="K72" i="1"/>
  <c r="H72" i="1"/>
  <c r="E72" i="1"/>
  <c r="E69" i="1" s="1"/>
  <c r="AF71" i="1"/>
  <c r="AJ71" i="1" s="1"/>
  <c r="AF70" i="1"/>
  <c r="AJ70" i="1" s="1"/>
  <c r="Z69" i="1"/>
  <c r="N69" i="1"/>
  <c r="K69" i="1"/>
  <c r="B69" i="1"/>
  <c r="W68" i="1"/>
  <c r="N68" i="1"/>
  <c r="N64" i="1" s="1"/>
  <c r="H68" i="1"/>
  <c r="E68" i="1"/>
  <c r="AF68" i="1" s="1"/>
  <c r="AC67" i="1"/>
  <c r="Z67" i="1"/>
  <c r="W67" i="1"/>
  <c r="T67" i="1"/>
  <c r="Q67" i="1"/>
  <c r="N67" i="1"/>
  <c r="K67" i="1"/>
  <c r="H67" i="1"/>
  <c r="AF67" i="1" s="1"/>
  <c r="E67" i="1"/>
  <c r="AC66" i="1"/>
  <c r="Z66" i="1"/>
  <c r="W66" i="1"/>
  <c r="T66" i="1"/>
  <c r="Q66" i="1"/>
  <c r="N66" i="1"/>
  <c r="K66" i="1"/>
  <c r="H66" i="1"/>
  <c r="AF66" i="1" s="1"/>
  <c r="E66" i="1"/>
  <c r="AC65" i="1"/>
  <c r="Z65" i="1"/>
  <c r="W65" i="1"/>
  <c r="W64" i="1" s="1"/>
  <c r="T65" i="1"/>
  <c r="T64" i="1" s="1"/>
  <c r="Q65" i="1"/>
  <c r="N65" i="1"/>
  <c r="K65" i="1"/>
  <c r="K64" i="1" s="1"/>
  <c r="H65" i="1"/>
  <c r="AF65" i="1" s="1"/>
  <c r="E65" i="1"/>
  <c r="AC64" i="1"/>
  <c r="Z64" i="1"/>
  <c r="Q64" i="1"/>
  <c r="E64" i="1"/>
  <c r="B64" i="1"/>
  <c r="AJ63" i="1"/>
  <c r="AF63" i="1"/>
  <c r="AF62" i="1"/>
  <c r="AJ62" i="1" s="1"/>
  <c r="N62" i="1"/>
  <c r="AF61" i="1"/>
  <c r="AJ61" i="1" s="1"/>
  <c r="AF60" i="1"/>
  <c r="Q59" i="1"/>
  <c r="AF59" i="1" s="1"/>
  <c r="AJ59" i="1" s="1"/>
  <c r="AJ58" i="1"/>
  <c r="AC58" i="1"/>
  <c r="Z58" i="1"/>
  <c r="W58" i="1"/>
  <c r="AF58" i="1" s="1"/>
  <c r="AC57" i="1"/>
  <c r="Z57" i="1"/>
  <c r="W57" i="1"/>
  <c r="W50" i="1" s="1"/>
  <c r="T57" i="1"/>
  <c r="Q57" i="1"/>
  <c r="N57" i="1"/>
  <c r="K57" i="1"/>
  <c r="H57" i="1"/>
  <c r="AF57" i="1" s="1"/>
  <c r="E57" i="1"/>
  <c r="AC56" i="1"/>
  <c r="Z56" i="1"/>
  <c r="W56" i="1"/>
  <c r="T56" i="1"/>
  <c r="Q56" i="1"/>
  <c r="N56" i="1"/>
  <c r="K56" i="1"/>
  <c r="K50" i="1" s="1"/>
  <c r="H56" i="1"/>
  <c r="AF56" i="1" s="1"/>
  <c r="E56" i="1"/>
  <c r="AC55" i="1"/>
  <c r="Z55" i="1"/>
  <c r="W55" i="1"/>
  <c r="T55" i="1"/>
  <c r="Q55" i="1"/>
  <c r="N55" i="1"/>
  <c r="K55" i="1"/>
  <c r="H55" i="1"/>
  <c r="AF55" i="1" s="1"/>
  <c r="E55" i="1"/>
  <c r="AF54" i="1"/>
  <c r="AJ54" i="1" s="1"/>
  <c r="AC53" i="1"/>
  <c r="AC50" i="1" s="1"/>
  <c r="Z53" i="1"/>
  <c r="W53" i="1"/>
  <c r="T53" i="1"/>
  <c r="Q53" i="1"/>
  <c r="Q50" i="1" s="1"/>
  <c r="N53" i="1"/>
  <c r="K53" i="1"/>
  <c r="H53" i="1"/>
  <c r="E53" i="1"/>
  <c r="E50" i="1" s="1"/>
  <c r="AF52" i="1"/>
  <c r="AF51" i="1"/>
  <c r="AJ51" i="1" s="1"/>
  <c r="Z50" i="1"/>
  <c r="N50" i="1"/>
  <c r="B50" i="1"/>
  <c r="AF49" i="1"/>
  <c r="AJ49" i="1" s="1"/>
  <c r="Z48" i="1"/>
  <c r="AF48" i="1" s="1"/>
  <c r="AJ48" i="1" s="1"/>
  <c r="AJ47" i="1"/>
  <c r="AC47" i="1"/>
  <c r="AF47" i="1" s="1"/>
  <c r="AC46" i="1"/>
  <c r="Z46" i="1"/>
  <c r="W46" i="1"/>
  <c r="T46" i="1"/>
  <c r="Q46" i="1"/>
  <c r="N46" i="1"/>
  <c r="K46" i="1"/>
  <c r="H46" i="1"/>
  <c r="E46" i="1"/>
  <c r="B46" i="1"/>
  <c r="AF45" i="1"/>
  <c r="AJ45" i="1" s="1"/>
  <c r="AF44" i="1"/>
  <c r="AJ44" i="1" s="1"/>
  <c r="B44" i="1"/>
  <c r="T43" i="1"/>
  <c r="Q43" i="1"/>
  <c r="Q42" i="1" s="1"/>
  <c r="N43" i="1"/>
  <c r="B43" i="1"/>
  <c r="AC42" i="1"/>
  <c r="Z42" i="1"/>
  <c r="W42" i="1"/>
  <c r="T42" i="1"/>
  <c r="K42" i="1"/>
  <c r="H42" i="1"/>
  <c r="E42" i="1"/>
  <c r="B42" i="1"/>
  <c r="AJ41" i="1"/>
  <c r="AF41" i="1"/>
  <c r="B41" i="1"/>
  <c r="AF40" i="1"/>
  <c r="AJ40" i="1" s="1"/>
  <c r="B40" i="1"/>
  <c r="AJ39" i="1"/>
  <c r="AF39" i="1"/>
  <c r="B39" i="1"/>
  <c r="AC38" i="1"/>
  <c r="Z38" i="1"/>
  <c r="W38" i="1"/>
  <c r="T38" i="1"/>
  <c r="N38" i="1"/>
  <c r="K38" i="1"/>
  <c r="K33" i="1" s="1"/>
  <c r="H38" i="1"/>
  <c r="AC37" i="1"/>
  <c r="Z37" i="1"/>
  <c r="W37" i="1"/>
  <c r="T37" i="1"/>
  <c r="T33" i="1" s="1"/>
  <c r="Q37" i="1"/>
  <c r="N37" i="1"/>
  <c r="K37" i="1"/>
  <c r="H37" i="1"/>
  <c r="H33" i="1" s="1"/>
  <c r="AC36" i="1"/>
  <c r="Z36" i="1"/>
  <c r="W36" i="1"/>
  <c r="T36" i="1"/>
  <c r="Q36" i="1"/>
  <c r="N36" i="1"/>
  <c r="K36" i="1"/>
  <c r="H36" i="1"/>
  <c r="E36" i="1"/>
  <c r="AC35" i="1"/>
  <c r="Z35" i="1"/>
  <c r="W35" i="1"/>
  <c r="T35" i="1"/>
  <c r="Q35" i="1"/>
  <c r="N35" i="1"/>
  <c r="N33" i="1" s="1"/>
  <c r="K35" i="1"/>
  <c r="E35" i="1"/>
  <c r="AJ34" i="1"/>
  <c r="AF34" i="1"/>
  <c r="B34" i="1"/>
  <c r="Z33" i="1"/>
  <c r="Z103" i="1" s="1"/>
  <c r="W33" i="1"/>
  <c r="B33" i="1"/>
  <c r="AF27" i="1"/>
  <c r="Y27" i="1"/>
  <c r="V27" i="1"/>
  <c r="J27" i="1"/>
  <c r="B27" i="1"/>
  <c r="AH26" i="1"/>
  <c r="D26" i="1"/>
  <c r="AE25" i="1"/>
  <c r="AB25" i="1"/>
  <c r="AB27" i="1" s="1"/>
  <c r="Z104" i="1" s="1"/>
  <c r="Y25" i="1"/>
  <c r="V25" i="1"/>
  <c r="S25" i="1"/>
  <c r="P25" i="1"/>
  <c r="M25" i="1"/>
  <c r="J25" i="1"/>
  <c r="G25" i="1"/>
  <c r="AH25" i="1" s="1"/>
  <c r="D25" i="1"/>
  <c r="AG24" i="1"/>
  <c r="AF24" i="1"/>
  <c r="AJ24" i="1" s="1"/>
  <c r="AJ27" i="1" s="1"/>
  <c r="AE24" i="1"/>
  <c r="AB24" i="1"/>
  <c r="Y24" i="1"/>
  <c r="V24" i="1"/>
  <c r="S24" i="1"/>
  <c r="P24" i="1"/>
  <c r="P27" i="1" s="1"/>
  <c r="M24" i="1"/>
  <c r="M27" i="1" s="1"/>
  <c r="J24" i="1"/>
  <c r="G24" i="1"/>
  <c r="E24" i="1"/>
  <c r="D24" i="1"/>
  <c r="AK23" i="1"/>
  <c r="D23" i="1"/>
  <c r="D27" i="1" s="1"/>
  <c r="B104" i="1" s="1"/>
  <c r="B17" i="1"/>
  <c r="B16" i="1"/>
  <c r="B15" i="1"/>
  <c r="B14" i="1"/>
  <c r="B13" i="1"/>
  <c r="AI12" i="1"/>
  <c r="AF12" i="1"/>
  <c r="B12" i="1"/>
  <c r="B18" i="1" s="1"/>
  <c r="AJ46" i="1" l="1"/>
  <c r="AJ55" i="1"/>
  <c r="AJ66" i="1"/>
  <c r="AJ77" i="1"/>
  <c r="AJ83" i="1"/>
  <c r="AJ56" i="1"/>
  <c r="AJ67" i="1"/>
  <c r="AJ88" i="1"/>
  <c r="AJ65" i="1"/>
  <c r="AF64" i="1"/>
  <c r="AJ82" i="1"/>
  <c r="AK25" i="1"/>
  <c r="AJ57" i="1"/>
  <c r="AJ76" i="1"/>
  <c r="AJ89" i="1"/>
  <c r="AJ100" i="1"/>
  <c r="AJ99" i="1"/>
  <c r="H50" i="1"/>
  <c r="AF53" i="1"/>
  <c r="AJ68" i="1"/>
  <c r="AJ85" i="1"/>
  <c r="AF84" i="1"/>
  <c r="AF94" i="1"/>
  <c r="E109" i="1"/>
  <c r="S27" i="1"/>
  <c r="AE27" i="1"/>
  <c r="E27" i="1"/>
  <c r="H27" i="1" s="1"/>
  <c r="K27" i="1" s="1"/>
  <c r="N27" i="1" s="1"/>
  <c r="Q27" i="1" s="1"/>
  <c r="T27" i="1" s="1"/>
  <c r="W27" i="1" s="1"/>
  <c r="Z27" i="1" s="1"/>
  <c r="AC27" i="1" s="1"/>
  <c r="Q33" i="1"/>
  <c r="AC33" i="1"/>
  <c r="AF37" i="1"/>
  <c r="AF46" i="1"/>
  <c r="H64" i="1"/>
  <c r="Q69" i="1"/>
  <c r="AF74" i="1"/>
  <c r="K84" i="1"/>
  <c r="K103" i="1" s="1"/>
  <c r="K104" i="1" s="1"/>
  <c r="AF98" i="1"/>
  <c r="AF36" i="1"/>
  <c r="E33" i="1"/>
  <c r="E103" i="1" s="1"/>
  <c r="AH24" i="1"/>
  <c r="AK26" i="1"/>
  <c r="T50" i="1"/>
  <c r="T103" i="1" s="1"/>
  <c r="T104" i="1" s="1"/>
  <c r="AF75" i="1"/>
  <c r="AJ81" i="1"/>
  <c r="Q84" i="1"/>
  <c r="G27" i="1"/>
  <c r="W103" i="1"/>
  <c r="W104" i="1" s="1"/>
  <c r="AF35" i="1"/>
  <c r="AF38" i="1"/>
  <c r="AF43" i="1"/>
  <c r="N42" i="1"/>
  <c r="N103" i="1" s="1"/>
  <c r="N104" i="1" s="1"/>
  <c r="AJ52" i="1"/>
  <c r="AJ60" i="1"/>
  <c r="AF72" i="1"/>
  <c r="AC69" i="1"/>
  <c r="AF79" i="1"/>
  <c r="AF90" i="1"/>
  <c r="AJ93" i="1"/>
  <c r="AF96" i="1"/>
  <c r="H95" i="1"/>
  <c r="AJ102" i="1"/>
  <c r="AF50" i="1"/>
  <c r="AJ38" i="1" l="1"/>
  <c r="AF33" i="1"/>
  <c r="AJ35" i="1"/>
  <c r="AK24" i="1"/>
  <c r="AK27" i="1" s="1"/>
  <c r="AH27" i="1"/>
  <c r="AJ36" i="1"/>
  <c r="AC103" i="1"/>
  <c r="AC104" i="1" s="1"/>
  <c r="AJ50" i="1"/>
  <c r="AJ94" i="1"/>
  <c r="AJ90" i="1" s="1"/>
  <c r="AJ79" i="1"/>
  <c r="AJ74" i="1"/>
  <c r="Q103" i="1"/>
  <c r="Q104" i="1" s="1"/>
  <c r="AJ53" i="1"/>
  <c r="AJ72" i="1"/>
  <c r="AF69" i="1"/>
  <c r="AJ75" i="1"/>
  <c r="AJ37" i="1"/>
  <c r="AF95" i="1"/>
  <c r="AJ96" i="1"/>
  <c r="AJ43" i="1"/>
  <c r="AJ42" i="1" s="1"/>
  <c r="AF42" i="1"/>
  <c r="E104" i="1"/>
  <c r="AJ98" i="1"/>
  <c r="E114" i="1"/>
  <c r="H109" i="1"/>
  <c r="AJ84" i="1"/>
  <c r="H103" i="1"/>
  <c r="H104" i="1" s="1"/>
  <c r="AJ64" i="1"/>
  <c r="AI16" i="1" l="1"/>
  <c r="AJ33" i="1"/>
  <c r="AI27" i="1"/>
  <c r="AF16" i="1"/>
  <c r="AI26" i="1"/>
  <c r="AI25" i="1"/>
  <c r="K109" i="1"/>
  <c r="H114" i="1"/>
  <c r="AJ95" i="1"/>
  <c r="AJ69" i="1"/>
  <c r="AI24" i="1"/>
  <c r="AF103" i="1"/>
  <c r="AI42" i="1" s="1"/>
  <c r="AI33" i="1" l="1"/>
  <c r="AF104" i="1"/>
  <c r="N109" i="1"/>
  <c r="K114" i="1"/>
  <c r="AJ103" i="1"/>
  <c r="AI103" i="1"/>
  <c r="AI86" i="1"/>
  <c r="AI54" i="1"/>
  <c r="AI34" i="1"/>
  <c r="AI92" i="1"/>
  <c r="AI73" i="1"/>
  <c r="AI63" i="1"/>
  <c r="AI44" i="1"/>
  <c r="AI41" i="1"/>
  <c r="AI40" i="1"/>
  <c r="AI39" i="1"/>
  <c r="AF17" i="1"/>
  <c r="AF18" i="1" s="1"/>
  <c r="AI97" i="1"/>
  <c r="AI101" i="1"/>
  <c r="AI70" i="1"/>
  <c r="AI62" i="1"/>
  <c r="AI68" i="1"/>
  <c r="AI82" i="1"/>
  <c r="AI57" i="1"/>
  <c r="AI89" i="1"/>
  <c r="AI59" i="1"/>
  <c r="AI52" i="1"/>
  <c r="AI60" i="1"/>
  <c r="AI66" i="1"/>
  <c r="AI83" i="1"/>
  <c r="AI56" i="1"/>
  <c r="AI85" i="1"/>
  <c r="AI48" i="1"/>
  <c r="AI87" i="1"/>
  <c r="AI61" i="1"/>
  <c r="AI81" i="1"/>
  <c r="AI93" i="1"/>
  <c r="AI102" i="1"/>
  <c r="AI47" i="1"/>
  <c r="AI80" i="1"/>
  <c r="AI77" i="1"/>
  <c r="AI49" i="1"/>
  <c r="AI71" i="1"/>
  <c r="AI91" i="1"/>
  <c r="AI88" i="1"/>
  <c r="AI65" i="1"/>
  <c r="AI76" i="1"/>
  <c r="AI100" i="1"/>
  <c r="AI99" i="1"/>
  <c r="AI78" i="1"/>
  <c r="AI51" i="1"/>
  <c r="AI55" i="1"/>
  <c r="AI67" i="1"/>
  <c r="AI75" i="1"/>
  <c r="AI43" i="1"/>
  <c r="AI46" i="1"/>
  <c r="AI50" i="1"/>
  <c r="AI74" i="1"/>
  <c r="AI37" i="1"/>
  <c r="AI98" i="1"/>
  <c r="AI36" i="1"/>
  <c r="AI84" i="1"/>
  <c r="AI94" i="1"/>
  <c r="AI96" i="1"/>
  <c r="AI53" i="1"/>
  <c r="AI35" i="1"/>
  <c r="AI38" i="1"/>
  <c r="AI90" i="1"/>
  <c r="AI72" i="1"/>
  <c r="AI79" i="1"/>
  <c r="AI64" i="1"/>
  <c r="AI69" i="1"/>
  <c r="AI95" i="1"/>
  <c r="N114" i="1" l="1"/>
  <c r="Q109" i="1"/>
  <c r="AI45" i="1"/>
  <c r="AI58" i="1"/>
  <c r="AI17" i="1"/>
  <c r="AI18" i="1" s="1"/>
  <c r="AI104" i="1"/>
  <c r="Q114" i="1" l="1"/>
  <c r="T109" i="1"/>
  <c r="W109" i="1" l="1"/>
  <c r="T114" i="1"/>
  <c r="W114" i="1" l="1"/>
  <c r="Z109" i="1"/>
  <c r="Z114" i="1" l="1"/>
  <c r="AC109" i="1"/>
  <c r="AC114" i="1" s="1"/>
</calcChain>
</file>

<file path=xl/sharedStrings.xml><?xml version="1.0" encoding="utf-8"?>
<sst xmlns="http://schemas.openxmlformats.org/spreadsheetml/2006/main" count="182" uniqueCount="125">
  <si>
    <r>
      <t xml:space="preserve">CONTROLE FINANCEIRO 2020
</t>
    </r>
    <r>
      <rPr>
        <b/>
        <sz val="12"/>
        <rFont val="Calibri"/>
        <family val="2"/>
        <scheme val="minor"/>
      </rPr>
      <t>Posição SETEMBRO</t>
    </r>
  </si>
  <si>
    <t>Bens da ANIPA</t>
  </si>
  <si>
    <t>Acumulado 2019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</si>
  <si>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</si>
  <si>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</si>
  <si>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</si>
  <si>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</si>
  <si>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</si>
  <si>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</si>
  <si>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</si>
  <si>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</si>
  <si>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</si>
  <si>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Acumulado 2020</t>
  </si>
  <si>
    <t>Evolução histórica</t>
  </si>
  <si>
    <t xml:space="preserve">Total bens </t>
  </si>
  <si>
    <t>Imobilizado (computadores, equipamentos)</t>
  </si>
  <si>
    <t>Intangível (softwares)</t>
  </si>
  <si>
    <t>(-) Depreciação acumulada</t>
  </si>
  <si>
    <t xml:space="preserve"> </t>
  </si>
  <si>
    <t>Receitas</t>
  </si>
  <si>
    <t>Despesas</t>
  </si>
  <si>
    <t>Total Parcial e Acumulado</t>
  </si>
  <si>
    <t>Associados / Receitas</t>
  </si>
  <si>
    <t>%</t>
  </si>
  <si>
    <t>Q</t>
  </si>
  <si>
    <t>Valor</t>
  </si>
  <si>
    <t>S</t>
  </si>
  <si>
    <t>E</t>
  </si>
  <si>
    <t>Receitas anteriores / Associados</t>
  </si>
  <si>
    <t>Associados / Mensalidades</t>
  </si>
  <si>
    <t>Receitas Financeiras</t>
  </si>
  <si>
    <t xml:space="preserve">Outras Receitas </t>
  </si>
  <si>
    <t>Total Associados / Receitas</t>
  </si>
  <si>
    <t>DETALHAMENTO DE DESPESAS</t>
  </si>
  <si>
    <t>Serviços de Terceiros</t>
  </si>
  <si>
    <t>Serviços administrativos Advogados</t>
  </si>
  <si>
    <t>Assessoria Jurídica</t>
  </si>
  <si>
    <t xml:space="preserve">Serviços Contábeis </t>
  </si>
  <si>
    <t>Assessoria Atuarial</t>
  </si>
  <si>
    <t>Consultoria/Assessoria Técnica (Fin, Cont, TI)</t>
  </si>
  <si>
    <t>Telemarketing (associados regular termos)</t>
  </si>
  <si>
    <t>Assessoria Comunicação</t>
  </si>
  <si>
    <t xml:space="preserve">Serviços eventuais de apoio </t>
  </si>
  <si>
    <t>Custos das Ações</t>
  </si>
  <si>
    <r>
      <t>Honorários Advocatícios Iniciais Ações</t>
    </r>
    <r>
      <rPr>
        <sz val="8"/>
        <rFont val="Calibri"/>
        <family val="2"/>
        <scheme val="minor"/>
      </rPr>
      <t xml:space="preserve"> (5)</t>
    </r>
  </si>
  <si>
    <t>Honorários mensais das ações</t>
  </si>
  <si>
    <t>Taxas de ajuizamento de ações</t>
  </si>
  <si>
    <t>Registros/Cartórios/Publicações</t>
  </si>
  <si>
    <t>Registros e Taxas(Cart, Pref, RF...)</t>
  </si>
  <si>
    <t>Cartórios (Aut, Doc, Rec Firma)</t>
  </si>
  <si>
    <t>Publicações Legais/Editais</t>
  </si>
  <si>
    <t>Tecnologia</t>
  </si>
  <si>
    <t>Desenvolvimento/Hospedagem SITE e Sistema inicial</t>
  </si>
  <si>
    <t>Desenvolvimento novo SITE</t>
  </si>
  <si>
    <t xml:space="preserve">Hospedagem/Manutenção novo SITE </t>
  </si>
  <si>
    <t xml:space="preserve">Desenvolvimento novo Sistema ANIPA </t>
  </si>
  <si>
    <t xml:space="preserve">Hospedagem / Manutenção novo Sistema ANIPA </t>
  </si>
  <si>
    <t>Serviço de E-mail</t>
  </si>
  <si>
    <r>
      <t xml:space="preserve">Serviço de Mensagens por celular </t>
    </r>
    <r>
      <rPr>
        <sz val="8"/>
        <rFont val="Calibri"/>
        <family val="2"/>
        <scheme val="minor"/>
      </rPr>
      <t>(3)</t>
    </r>
  </si>
  <si>
    <r>
      <t xml:space="preserve">Plataforma de assinatura eletrônica </t>
    </r>
    <r>
      <rPr>
        <sz val="8"/>
        <rFont val="Calibri"/>
        <family val="2"/>
        <scheme val="minor"/>
      </rPr>
      <t>(6)</t>
    </r>
  </si>
  <si>
    <t>Desenv/Serviço Sist Assembleia Virtual</t>
  </si>
  <si>
    <t>Desenv/Serviço Sist Eleição Virtual</t>
  </si>
  <si>
    <t>Desenv/Serviço Fórum Site ANIPA</t>
  </si>
  <si>
    <t>Registro Domínio ANIPA</t>
  </si>
  <si>
    <t>Certificado Segurança SITE / Certificado Digital</t>
  </si>
  <si>
    <t>Bancos/Impostos/Juros</t>
  </si>
  <si>
    <t>Tarifas Bancárias CAIXA</t>
  </si>
  <si>
    <r>
      <t>Impostos recolhidos à terceiros (INSS, IR, CONTR. FEDER...)</t>
    </r>
    <r>
      <rPr>
        <sz val="8"/>
        <rFont val="Calibri"/>
        <family val="2"/>
        <scheme val="minor"/>
      </rPr>
      <t>(2)</t>
    </r>
  </si>
  <si>
    <t>IRRF/IOF operações financeiras (sobre os investimentos)</t>
  </si>
  <si>
    <t>Despesas com Juros/Outras despesas financeiras</t>
  </si>
  <si>
    <t xml:space="preserve">Escritório ANIPA </t>
  </si>
  <si>
    <t>Móveis/Utensílios</t>
  </si>
  <si>
    <t>Computadores 3, impressoras 1, celular 1</t>
  </si>
  <si>
    <t>Softwares (Office, Antivírus, Adobe mensal)</t>
  </si>
  <si>
    <t>Assinatura de jornais, revistas, publicações</t>
  </si>
  <si>
    <t>Material Escritório</t>
  </si>
  <si>
    <t xml:space="preserve">Aluguel/Condomínio/IPTU/Taxas </t>
  </si>
  <si>
    <t xml:space="preserve">Luz/Telefone/Internet </t>
  </si>
  <si>
    <t>Diversos (café, água, copos, chaves, etc.)</t>
  </si>
  <si>
    <t>Manutenção (de computadores, impressora)</t>
  </si>
  <si>
    <t>Higiene e Limpeza (material e serviço)</t>
  </si>
  <si>
    <t>Reforma escritório</t>
  </si>
  <si>
    <t>Serviço de Seleção e Recrutamento</t>
  </si>
  <si>
    <t>Salários (mês, 13°, férias, rescisão)</t>
  </si>
  <si>
    <r>
      <t>Encargos trabalhistas (INSS, FGTS, PIS, Transp, Alim, Sind)</t>
    </r>
    <r>
      <rPr>
        <sz val="8"/>
        <rFont val="Calibri"/>
        <family val="2"/>
        <scheme val="minor"/>
      </rPr>
      <t xml:space="preserve"> (2)</t>
    </r>
  </si>
  <si>
    <t>Outros Serviços</t>
  </si>
  <si>
    <t>Serv. Gráficos/Digitalizações/Cópias</t>
  </si>
  <si>
    <t>Serviços MSN/Telefonia</t>
  </si>
  <si>
    <t>Motoboy</t>
  </si>
  <si>
    <t>Correios</t>
  </si>
  <si>
    <t>Deslocamento (para serviços externos)</t>
  </si>
  <si>
    <t>Outros</t>
  </si>
  <si>
    <t>Locação sala Eventos/Assembleia/Equipamentos/Hotel</t>
  </si>
  <si>
    <t>Apoio a mobilizações</t>
  </si>
  <si>
    <t>Devoluções/Recebimentos indevidos</t>
  </si>
  <si>
    <t>Participações em outras associações</t>
  </si>
  <si>
    <t>Despesas Viagens</t>
  </si>
  <si>
    <t>Presidência</t>
  </si>
  <si>
    <t>Jurídico</t>
  </si>
  <si>
    <t>Financeiro</t>
  </si>
  <si>
    <t>Técnico</t>
  </si>
  <si>
    <t>Comunicação</t>
  </si>
  <si>
    <t>Conselho Fiscal</t>
  </si>
  <si>
    <r>
      <t xml:space="preserve">Associados / Prestador de serviço / Funcionários </t>
    </r>
    <r>
      <rPr>
        <sz val="8"/>
        <rFont val="Calibri"/>
        <family val="2"/>
        <scheme val="minor"/>
      </rPr>
      <t>(1)</t>
    </r>
  </si>
  <si>
    <t>Total Despesas</t>
  </si>
  <si>
    <t>Resultado / Saldo em Conta</t>
  </si>
  <si>
    <t>Despesas Acumuladas até 2019</t>
  </si>
  <si>
    <t>Investimentos</t>
  </si>
  <si>
    <t>Acumulado até 2019</t>
  </si>
  <si>
    <t>Caixa FIC GIRO EMPRESAS</t>
  </si>
  <si>
    <t>Caixa FIC PREMIUM</t>
  </si>
  <si>
    <t xml:space="preserve">Caixa FIC SIGMA </t>
  </si>
  <si>
    <t>CDB Flex Empresarial</t>
  </si>
  <si>
    <r>
      <t>Bolsa Americana Multimercado (encerrado)</t>
    </r>
    <r>
      <rPr>
        <sz val="9"/>
        <color theme="1"/>
        <rFont val="Calibri"/>
        <family val="2"/>
        <scheme val="minor"/>
      </rPr>
      <t xml:space="preserve"> </t>
    </r>
    <r>
      <rPr>
        <sz val="8"/>
        <color theme="1"/>
        <rFont val="Calibri"/>
        <family val="2"/>
        <scheme val="minor"/>
      </rPr>
      <t>(4)</t>
    </r>
  </si>
  <si>
    <t>Saldos totais</t>
  </si>
  <si>
    <t>Evolução histórica desde a fundação - MAR/2015</t>
  </si>
  <si>
    <r>
      <t xml:space="preserve">Q - </t>
    </r>
    <r>
      <rPr>
        <sz val="10"/>
        <color theme="1"/>
        <rFont val="Calibri"/>
        <family val="2"/>
        <scheme val="minor"/>
      </rPr>
      <t>Quantidade acumulada</t>
    </r>
  </si>
  <si>
    <r>
      <t xml:space="preserve">E - </t>
    </r>
    <r>
      <rPr>
        <sz val="10"/>
        <color theme="1"/>
        <rFont val="Calibri"/>
        <family val="2"/>
        <scheme val="minor"/>
      </rPr>
      <t>Entraram na ANIPA</t>
    </r>
  </si>
  <si>
    <t>(1) A serviço ou representação da ANIPA.</t>
  </si>
  <si>
    <t>(2) Pagamento em duplicidade de algumas DARFs</t>
  </si>
  <si>
    <t>(3) Pagamento em atraso mensalidade de dez/2019</t>
  </si>
  <si>
    <t xml:space="preserve">(4) Investimento realizado indevidamente pela agência bancária, sem anuência da ANIPA. Valor integral da  aplicação devolvido mediante crédito em conta. </t>
  </si>
  <si>
    <t>(5) Ajuizamento de Ação Quórum Qualificado no valor de R$ 50.000,00 em 2x</t>
  </si>
  <si>
    <t>(6) Contratação de plataforma de assinatura eletrônica para assinaturas de atas e documentos necessários em razão da pandemia de COVID-19 que</t>
  </si>
  <si>
    <t xml:space="preserve">       impossibilita a reunião presencial de diretores e conselheiros.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</si>
</sst>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_ ;[Red]\-#,##0.00\ "/>
    <numFmt numFmtId="165" formatCode="#,##0_ ;[Red]\-#,##0\ 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color rgb="FFFF0000"/>
      <name val="Calibri"/>
      <family val="2"/>
      <scheme val="minor"/>
    </font>
    <font>
      <b/>
      <sz val="16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8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8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B0B0B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4A7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BC9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AEB"/>
        <bgColor indexed="64"/>
      </patternFill>
    </fill>
    <fill>
      <patternFill patternType="solid">
        <fgColor rgb="FFC2D1EC"/>
        <bgColor indexed="64"/>
      </patternFill>
    </fill>
    <fill>
      <patternFill patternType="solid">
        <fgColor rgb="FFF2E5FF"/>
        <bgColor indexed="64"/>
      </patternFill>
    </fill>
    <fill>
      <patternFill patternType="solid">
        <fgColor rgb="FF9ECA8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07">
    <xf numFmtId="0" fontId="0" fillId="0" borderId="0" xfId="0"/>
    <xf numFmtId="0" fontId="3" fillId="0" borderId="0" xfId="0" applyFont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0" fontId="9" fillId="5" borderId="1" xfId="0" applyFont="1" applyFill="1" applyBorder="1" applyAlignment="1">
      <alignment horizontal="center"/>
    </xf>
    <xf numFmtId="0" fontId="9" fillId="5" borderId="5" xfId="0" applyFont="1" applyFill="1" applyBorder="1" applyAlignment="1">
      <alignment horizontal="center"/>
    </xf>
    <xf numFmtId="0" fontId="9" fillId="5" borderId="4" xfId="0" applyFont="1" applyFill="1" applyBorder="1" applyAlignment="1">
      <alignment horizontal="center"/>
    </xf>
    <xf numFmtId="0" fontId="9" fillId="5" borderId="6" xfId="0" applyFont="1" applyFill="1" applyBorder="1" applyAlignment="1">
      <alignment horizontal="center"/>
    </xf>
    <xf numFmtId="0" fontId="9" fillId="6" borderId="1" xfId="0" applyFont="1" applyFill="1" applyBorder="1" applyAlignment="1">
      <alignment horizontal="center"/>
    </xf>
    <xf numFmtId="0" fontId="10" fillId="7" borderId="7" xfId="0" applyFont="1" applyFill="1" applyBorder="1" applyAlignment="1">
      <alignment vertical="center"/>
    </xf>
    <xf numFmtId="4" fontId="9" fillId="7" borderId="5" xfId="0" applyNumberFormat="1" applyFont="1" applyFill="1" applyBorder="1" applyAlignment="1">
      <alignment horizontal="right"/>
    </xf>
    <xf numFmtId="4" fontId="9" fillId="7" borderId="4" xfId="0" applyNumberFormat="1" applyFont="1" applyFill="1" applyBorder="1" applyAlignment="1">
      <alignment horizontal="right"/>
    </xf>
    <xf numFmtId="4" fontId="9" fillId="7" borderId="6" xfId="0" applyNumberFormat="1" applyFont="1" applyFill="1" applyBorder="1" applyAlignment="1">
      <alignment horizontal="right"/>
    </xf>
    <xf numFmtId="0" fontId="9" fillId="8" borderId="5" xfId="0" applyFont="1" applyFill="1" applyBorder="1" applyAlignment="1">
      <alignment horizontal="right"/>
    </xf>
    <xf numFmtId="0" fontId="9" fillId="8" borderId="4" xfId="0" applyFont="1" applyFill="1" applyBorder="1" applyAlignment="1">
      <alignment horizontal="right"/>
    </xf>
    <xf numFmtId="0" fontId="9" fillId="8" borderId="6" xfId="0" applyFont="1" applyFill="1" applyBorder="1" applyAlignment="1">
      <alignment horizontal="right"/>
    </xf>
    <xf numFmtId="0" fontId="9" fillId="8" borderId="5" xfId="0" applyFont="1" applyFill="1" applyBorder="1" applyAlignment="1">
      <alignment horizontal="right"/>
    </xf>
    <xf numFmtId="0" fontId="9" fillId="8" borderId="4" xfId="0" applyFont="1" applyFill="1" applyBorder="1" applyAlignment="1">
      <alignment horizontal="right"/>
    </xf>
    <xf numFmtId="0" fontId="9" fillId="8" borderId="6" xfId="0" applyFont="1" applyFill="1" applyBorder="1" applyAlignment="1">
      <alignment horizontal="right"/>
    </xf>
    <xf numFmtId="4" fontId="8" fillId="0" borderId="5" xfId="0" applyNumberFormat="1" applyFont="1" applyBorder="1" applyAlignment="1">
      <alignment horizontal="right"/>
    </xf>
    <xf numFmtId="4" fontId="8" fillId="0" borderId="4" xfId="0" applyNumberFormat="1" applyFont="1" applyBorder="1" applyAlignment="1">
      <alignment horizontal="right"/>
    </xf>
    <xf numFmtId="4" fontId="8" fillId="0" borderId="6" xfId="0" applyNumberFormat="1" applyFont="1" applyBorder="1" applyAlignment="1">
      <alignment horizontal="right"/>
    </xf>
    <xf numFmtId="4" fontId="8" fillId="0" borderId="5" xfId="0" applyNumberFormat="1" applyFont="1" applyBorder="1" applyAlignment="1">
      <alignment horizontal="center"/>
    </xf>
    <xf numFmtId="4" fontId="8" fillId="0" borderId="4" xfId="0" applyNumberFormat="1" applyFont="1" applyBorder="1" applyAlignment="1">
      <alignment horizontal="center"/>
    </xf>
    <xf numFmtId="4" fontId="8" fillId="0" borderId="6" xfId="0" applyNumberFormat="1" applyFont="1" applyBorder="1" applyAlignment="1">
      <alignment horizontal="center"/>
    </xf>
    <xf numFmtId="4" fontId="10" fillId="9" borderId="1" xfId="0" applyNumberFormat="1" applyFont="1" applyFill="1" applyBorder="1" applyAlignment="1">
      <alignment horizontal="right"/>
    </xf>
    <xf numFmtId="0" fontId="8" fillId="8" borderId="1" xfId="0" applyFont="1" applyFill="1" applyBorder="1"/>
    <xf numFmtId="4" fontId="11" fillId="7" borderId="5" xfId="0" applyNumberFormat="1" applyFont="1" applyFill="1" applyBorder="1" applyAlignment="1">
      <alignment horizontal="right"/>
    </xf>
    <xf numFmtId="4" fontId="11" fillId="7" borderId="4" xfId="0" applyNumberFormat="1" applyFont="1" applyFill="1" applyBorder="1" applyAlignment="1">
      <alignment horizontal="right"/>
    </xf>
    <xf numFmtId="4" fontId="11" fillId="7" borderId="6" xfId="0" applyNumberFormat="1" applyFont="1" applyFill="1" applyBorder="1" applyAlignment="1">
      <alignment horizontal="right"/>
    </xf>
    <xf numFmtId="3" fontId="11" fillId="8" borderId="5" xfId="0" applyNumberFormat="1" applyFont="1" applyFill="1" applyBorder="1" applyAlignment="1">
      <alignment horizontal="right"/>
    </xf>
    <xf numFmtId="3" fontId="11" fillId="8" borderId="4" xfId="0" applyNumberFormat="1" applyFont="1" applyFill="1" applyBorder="1" applyAlignment="1">
      <alignment horizontal="right"/>
    </xf>
    <xf numFmtId="3" fontId="11" fillId="8" borderId="6" xfId="0" applyNumberFormat="1" applyFont="1" applyFill="1" applyBorder="1" applyAlignment="1">
      <alignment horizontal="right"/>
    </xf>
    <xf numFmtId="3" fontId="11" fillId="8" borderId="5" xfId="0" applyNumberFormat="1" applyFont="1" applyFill="1" applyBorder="1" applyAlignment="1">
      <alignment horizontal="right"/>
    </xf>
    <xf numFmtId="3" fontId="11" fillId="8" borderId="4" xfId="0" applyNumberFormat="1" applyFont="1" applyFill="1" applyBorder="1" applyAlignment="1">
      <alignment horizontal="right"/>
    </xf>
    <xf numFmtId="3" fontId="11" fillId="8" borderId="6" xfId="0" applyNumberFormat="1" applyFont="1" applyFill="1" applyBorder="1" applyAlignment="1">
      <alignment horizontal="right"/>
    </xf>
    <xf numFmtId="4" fontId="8" fillId="8" borderId="1" xfId="0" applyNumberFormat="1" applyFont="1" applyFill="1" applyBorder="1" applyAlignment="1">
      <alignment horizontal="right"/>
    </xf>
    <xf numFmtId="4" fontId="8" fillId="0" borderId="1" xfId="0" applyNumberFormat="1" applyFont="1" applyBorder="1" applyAlignment="1">
      <alignment horizontal="right" vertical="center" wrapText="1"/>
    </xf>
    <xf numFmtId="3" fontId="11" fillId="8" borderId="5" xfId="0" applyNumberFormat="1" applyFont="1" applyFill="1" applyBorder="1" applyAlignment="1">
      <alignment horizontal="center"/>
    </xf>
    <xf numFmtId="3" fontId="11" fillId="8" borderId="4" xfId="0" applyNumberFormat="1" applyFont="1" applyFill="1" applyBorder="1" applyAlignment="1">
      <alignment horizontal="center"/>
    </xf>
    <xf numFmtId="3" fontId="11" fillId="8" borderId="6" xfId="0" applyNumberFormat="1" applyFont="1" applyFill="1" applyBorder="1" applyAlignment="1">
      <alignment horizontal="center"/>
    </xf>
    <xf numFmtId="0" fontId="10" fillId="10" borderId="1" xfId="0" applyFont="1" applyFill="1" applyBorder="1" applyAlignment="1">
      <alignment horizontal="center"/>
    </xf>
    <xf numFmtId="4" fontId="11" fillId="10" borderId="5" xfId="0" applyNumberFormat="1" applyFont="1" applyFill="1" applyBorder="1" applyAlignment="1">
      <alignment horizontal="right"/>
    </xf>
    <xf numFmtId="4" fontId="11" fillId="10" borderId="4" xfId="0" applyNumberFormat="1" applyFont="1" applyFill="1" applyBorder="1" applyAlignment="1">
      <alignment horizontal="right"/>
    </xf>
    <xf numFmtId="4" fontId="11" fillId="10" borderId="6" xfId="0" applyNumberFormat="1" applyFont="1" applyFill="1" applyBorder="1" applyAlignment="1">
      <alignment horizontal="right"/>
    </xf>
    <xf numFmtId="3" fontId="11" fillId="10" borderId="5" xfId="0" applyNumberFormat="1" applyFont="1" applyFill="1" applyBorder="1" applyAlignment="1">
      <alignment horizontal="right"/>
    </xf>
    <xf numFmtId="3" fontId="11" fillId="10" borderId="4" xfId="0" applyNumberFormat="1" applyFont="1" applyFill="1" applyBorder="1" applyAlignment="1">
      <alignment horizontal="right"/>
    </xf>
    <xf numFmtId="3" fontId="11" fillId="10" borderId="6" xfId="0" applyNumberFormat="1" applyFont="1" applyFill="1" applyBorder="1" applyAlignment="1">
      <alignment horizontal="right"/>
    </xf>
    <xf numFmtId="3" fontId="11" fillId="10" borderId="5" xfId="0" applyNumberFormat="1" applyFont="1" applyFill="1" applyBorder="1" applyAlignment="1">
      <alignment horizontal="right"/>
    </xf>
    <xf numFmtId="3" fontId="11" fillId="10" borderId="4" xfId="0" applyNumberFormat="1" applyFont="1" applyFill="1" applyBorder="1" applyAlignment="1">
      <alignment horizontal="right"/>
    </xf>
    <xf numFmtId="3" fontId="11" fillId="10" borderId="6" xfId="0" applyNumberFormat="1" applyFont="1" applyFill="1" applyBorder="1" applyAlignment="1">
      <alignment horizontal="right"/>
    </xf>
    <xf numFmtId="3" fontId="11" fillId="10" borderId="5" xfId="0" applyNumberFormat="1" applyFont="1" applyFill="1" applyBorder="1" applyAlignment="1">
      <alignment horizontal="center"/>
    </xf>
    <xf numFmtId="3" fontId="11" fillId="10" borderId="4" xfId="0" applyNumberFormat="1" applyFont="1" applyFill="1" applyBorder="1" applyAlignment="1">
      <alignment horizontal="center"/>
    </xf>
    <xf numFmtId="3" fontId="11" fillId="10" borderId="6" xfId="0" applyNumberFormat="1" applyFont="1" applyFill="1" applyBorder="1" applyAlignment="1">
      <alignment horizontal="center"/>
    </xf>
    <xf numFmtId="3" fontId="11" fillId="10" borderId="4" xfId="0" applyNumberFormat="1" applyFont="1" applyFill="1" applyBorder="1" applyAlignment="1">
      <alignment horizontal="center"/>
    </xf>
    <xf numFmtId="4" fontId="8" fillId="10" borderId="1" xfId="0" applyNumberFormat="1" applyFont="1" applyFill="1" applyBorder="1" applyAlignment="1">
      <alignment horizontal="right" vertical="center" wrapText="1"/>
    </xf>
    <xf numFmtId="0" fontId="10" fillId="11" borderId="1" xfId="0" applyFont="1" applyFill="1" applyBorder="1" applyAlignment="1">
      <alignment horizontal="center"/>
    </xf>
    <xf numFmtId="4" fontId="11" fillId="11" borderId="5" xfId="0" applyNumberFormat="1" applyFont="1" applyFill="1" applyBorder="1" applyAlignment="1">
      <alignment horizontal="right"/>
    </xf>
    <xf numFmtId="4" fontId="11" fillId="11" borderId="4" xfId="0" applyNumberFormat="1" applyFont="1" applyFill="1" applyBorder="1" applyAlignment="1">
      <alignment horizontal="right"/>
    </xf>
    <xf numFmtId="4" fontId="11" fillId="11" borderId="6" xfId="0" applyNumberFormat="1" applyFont="1" applyFill="1" applyBorder="1" applyAlignment="1">
      <alignment horizontal="right"/>
    </xf>
    <xf numFmtId="3" fontId="9" fillId="11" borderId="5" xfId="0" applyNumberFormat="1" applyFont="1" applyFill="1" applyBorder="1" applyAlignment="1">
      <alignment horizontal="right"/>
    </xf>
    <xf numFmtId="3" fontId="9" fillId="11" borderId="4" xfId="0" applyNumberFormat="1" applyFont="1" applyFill="1" applyBorder="1" applyAlignment="1">
      <alignment horizontal="right"/>
    </xf>
    <xf numFmtId="3" fontId="9" fillId="11" borderId="6" xfId="0" applyNumberFormat="1" applyFont="1" applyFill="1" applyBorder="1" applyAlignment="1">
      <alignment horizontal="right"/>
    </xf>
    <xf numFmtId="3" fontId="9" fillId="11" borderId="5" xfId="0" applyNumberFormat="1" applyFont="1" applyFill="1" applyBorder="1" applyAlignment="1">
      <alignment horizontal="right"/>
    </xf>
    <xf numFmtId="3" fontId="9" fillId="11" borderId="4" xfId="0" applyNumberFormat="1" applyFont="1" applyFill="1" applyBorder="1" applyAlignment="1">
      <alignment horizontal="right"/>
    </xf>
    <xf numFmtId="3" fontId="9" fillId="11" borderId="6" xfId="0" applyNumberFormat="1" applyFont="1" applyFill="1" applyBorder="1" applyAlignment="1">
      <alignment horizontal="right"/>
    </xf>
    <xf numFmtId="3" fontId="9" fillId="11" borderId="5" xfId="0" applyNumberFormat="1" applyFont="1" applyFill="1" applyBorder="1" applyAlignment="1">
      <alignment horizontal="center"/>
    </xf>
    <xf numFmtId="3" fontId="9" fillId="11" borderId="4" xfId="0" applyNumberFormat="1" applyFont="1" applyFill="1" applyBorder="1" applyAlignment="1">
      <alignment horizontal="center"/>
    </xf>
    <xf numFmtId="3" fontId="9" fillId="11" borderId="6" xfId="0" applyNumberFormat="1" applyFont="1" applyFill="1" applyBorder="1" applyAlignment="1">
      <alignment horizontal="center"/>
    </xf>
    <xf numFmtId="3" fontId="9" fillId="11" borderId="4" xfId="0" applyNumberFormat="1" applyFont="1" applyFill="1" applyBorder="1" applyAlignment="1">
      <alignment horizontal="center"/>
    </xf>
    <xf numFmtId="4" fontId="8" fillId="11" borderId="1" xfId="0" applyNumberFormat="1" applyFont="1" applyFill="1" applyBorder="1" applyAlignment="1">
      <alignment horizontal="right"/>
    </xf>
    <xf numFmtId="4" fontId="10" fillId="10" borderId="5" xfId="0" applyNumberFormat="1" applyFont="1" applyFill="1" applyBorder="1" applyAlignment="1">
      <alignment horizontal="right" vertical="center" wrapText="1"/>
    </xf>
    <xf numFmtId="4" fontId="10" fillId="10" borderId="4" xfId="0" applyNumberFormat="1" applyFont="1" applyFill="1" applyBorder="1" applyAlignment="1">
      <alignment horizontal="right" vertical="center" wrapText="1"/>
    </xf>
    <xf numFmtId="4" fontId="10" fillId="10" borderId="6" xfId="0" applyNumberFormat="1" applyFont="1" applyFill="1" applyBorder="1" applyAlignment="1">
      <alignment horizontal="right" vertical="center" wrapText="1"/>
    </xf>
    <xf numFmtId="0" fontId="10" fillId="10" borderId="5" xfId="0" applyFont="1" applyFill="1" applyBorder="1" applyAlignment="1">
      <alignment horizontal="right" vertical="center" wrapText="1"/>
    </xf>
    <xf numFmtId="0" fontId="10" fillId="10" borderId="4" xfId="0" applyFont="1" applyFill="1" applyBorder="1" applyAlignment="1">
      <alignment horizontal="right" vertical="center" wrapText="1"/>
    </xf>
    <xf numFmtId="0" fontId="10" fillId="10" borderId="6" xfId="0" applyFont="1" applyFill="1" applyBorder="1" applyAlignment="1">
      <alignment horizontal="right" vertical="center" wrapText="1"/>
    </xf>
    <xf numFmtId="0" fontId="10" fillId="10" borderId="5" xfId="0" applyFont="1" applyFill="1" applyBorder="1" applyAlignment="1">
      <alignment horizontal="right" vertical="center" wrapText="1"/>
    </xf>
    <xf numFmtId="0" fontId="10" fillId="10" borderId="4" xfId="0" applyFont="1" applyFill="1" applyBorder="1" applyAlignment="1">
      <alignment horizontal="right" vertical="center" wrapText="1"/>
    </xf>
    <xf numFmtId="0" fontId="10" fillId="10" borderId="6" xfId="0" applyFont="1" applyFill="1" applyBorder="1" applyAlignment="1">
      <alignment horizontal="right" vertical="center" wrapText="1"/>
    </xf>
    <xf numFmtId="0" fontId="10" fillId="10" borderId="5" xfId="0" applyFont="1" applyFill="1" applyBorder="1" applyAlignment="1">
      <alignment horizontal="center" vertical="center" wrapText="1"/>
    </xf>
    <xf numFmtId="0" fontId="10" fillId="10" borderId="4" xfId="0" applyFont="1" applyFill="1" applyBorder="1" applyAlignment="1">
      <alignment horizontal="center" vertical="center" wrapText="1"/>
    </xf>
    <xf numFmtId="0" fontId="10" fillId="10" borderId="6" xfId="0" applyFont="1" applyFill="1" applyBorder="1" applyAlignment="1">
      <alignment horizontal="center" vertical="center" wrapText="1"/>
    </xf>
    <xf numFmtId="0" fontId="10" fillId="10" borderId="4" xfId="0" applyFont="1" applyFill="1" applyBorder="1" applyAlignment="1">
      <alignment horizontal="center" vertical="center" wrapText="1"/>
    </xf>
    <xf numFmtId="4" fontId="10" fillId="10" borderId="1" xfId="0" applyNumberFormat="1" applyFont="1" applyFill="1" applyBorder="1" applyAlignment="1">
      <alignment horizontal="right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 wrapText="1"/>
    </xf>
    <xf numFmtId="0" fontId="9" fillId="12" borderId="5" xfId="0" applyFont="1" applyFill="1" applyBorder="1" applyAlignment="1">
      <alignment horizontal="center"/>
    </xf>
    <xf numFmtId="0" fontId="9" fillId="12" borderId="6" xfId="0" applyFont="1" applyFill="1" applyBorder="1" applyAlignment="1">
      <alignment horizontal="center"/>
    </xf>
    <xf numFmtId="0" fontId="9" fillId="12" borderId="1" xfId="0" applyFont="1" applyFill="1" applyBorder="1" applyAlignment="1">
      <alignment horizontal="center"/>
    </xf>
    <xf numFmtId="0" fontId="10" fillId="9" borderId="1" xfId="0" applyFont="1" applyFill="1" applyBorder="1" applyAlignment="1">
      <alignment horizontal="center"/>
    </xf>
    <xf numFmtId="0" fontId="8" fillId="7" borderId="1" xfId="0" applyFont="1" applyFill="1" applyBorder="1" applyAlignment="1">
      <alignment horizontal="left" vertical="center" wrapText="1"/>
    </xf>
    <xf numFmtId="3" fontId="11" fillId="7" borderId="5" xfId="0" applyNumberFormat="1" applyFont="1" applyFill="1" applyBorder="1" applyAlignment="1">
      <alignment horizontal="center"/>
    </xf>
    <xf numFmtId="3" fontId="11" fillId="7" borderId="6" xfId="0" applyNumberFormat="1" applyFont="1" applyFill="1" applyBorder="1" applyAlignment="1">
      <alignment horizontal="center"/>
    </xf>
    <xf numFmtId="164" fontId="11" fillId="7" borderId="1" xfId="0" applyNumberFormat="1" applyFont="1" applyFill="1" applyBorder="1" applyAlignment="1">
      <alignment horizontal="right"/>
    </xf>
    <xf numFmtId="3" fontId="11" fillId="7" borderId="1" xfId="0" applyNumberFormat="1" applyFont="1" applyFill="1" applyBorder="1"/>
    <xf numFmtId="0" fontId="8" fillId="7" borderId="1" xfId="0" applyFont="1" applyFill="1" applyBorder="1"/>
    <xf numFmtId="164" fontId="11" fillId="7" borderId="1" xfId="0" applyNumberFormat="1" applyFont="1" applyFill="1" applyBorder="1"/>
    <xf numFmtId="10" fontId="12" fillId="7" borderId="1" xfId="0" applyNumberFormat="1" applyFont="1" applyFill="1" applyBorder="1"/>
    <xf numFmtId="3" fontId="8" fillId="13" borderId="1" xfId="0" applyNumberFormat="1" applyFont="1" applyFill="1" applyBorder="1"/>
    <xf numFmtId="164" fontId="8" fillId="13" borderId="1" xfId="0" applyNumberFormat="1" applyFont="1" applyFill="1" applyBorder="1"/>
    <xf numFmtId="164" fontId="11" fillId="8" borderId="1" xfId="0" applyNumberFormat="1" applyFont="1" applyFill="1" applyBorder="1" applyAlignment="1">
      <alignment horizontal="right"/>
    </xf>
    <xf numFmtId="3" fontId="8" fillId="7" borderId="1" xfId="0" applyNumberFormat="1" applyFont="1" applyFill="1" applyBorder="1"/>
    <xf numFmtId="10" fontId="12" fillId="8" borderId="1" xfId="0" applyNumberFormat="1" applyFont="1" applyFill="1" applyBorder="1"/>
    <xf numFmtId="3" fontId="8" fillId="8" borderId="1" xfId="0" applyNumberFormat="1" applyFont="1" applyFill="1" applyBorder="1"/>
    <xf numFmtId="164" fontId="8" fillId="8" borderId="1" xfId="0" applyNumberFormat="1" applyFont="1" applyFill="1" applyBorder="1"/>
    <xf numFmtId="0" fontId="11" fillId="8" borderId="1" xfId="0" applyFont="1" applyFill="1" applyBorder="1"/>
    <xf numFmtId="0" fontId="8" fillId="13" borderId="1" xfId="0" applyFont="1" applyFill="1" applyBorder="1"/>
    <xf numFmtId="0" fontId="10" fillId="14" borderId="1" xfId="0" applyFont="1" applyFill="1" applyBorder="1"/>
    <xf numFmtId="3" fontId="9" fillId="14" borderId="5" xfId="0" applyNumberFormat="1" applyFont="1" applyFill="1" applyBorder="1" applyAlignment="1">
      <alignment horizontal="center"/>
    </xf>
    <xf numFmtId="3" fontId="9" fillId="14" borderId="6" xfId="0" applyNumberFormat="1" applyFont="1" applyFill="1" applyBorder="1" applyAlignment="1">
      <alignment horizontal="center"/>
    </xf>
    <xf numFmtId="40" fontId="9" fillId="14" borderId="1" xfId="0" applyNumberFormat="1" applyFont="1" applyFill="1" applyBorder="1"/>
    <xf numFmtId="3" fontId="9" fillId="14" borderId="1" xfId="0" applyNumberFormat="1" applyFont="1" applyFill="1" applyBorder="1" applyAlignment="1">
      <alignment horizontal="center"/>
    </xf>
    <xf numFmtId="38" fontId="9" fillId="14" borderId="5" xfId="0" applyNumberFormat="1" applyFont="1" applyFill="1" applyBorder="1" applyAlignment="1">
      <alignment horizontal="center"/>
    </xf>
    <xf numFmtId="38" fontId="9" fillId="14" borderId="6" xfId="0" applyNumberFormat="1" applyFont="1" applyFill="1" applyBorder="1" applyAlignment="1">
      <alignment horizontal="center"/>
    </xf>
    <xf numFmtId="10" fontId="13" fillId="14" borderId="1" xfId="0" applyNumberFormat="1" applyFont="1" applyFill="1" applyBorder="1"/>
    <xf numFmtId="165" fontId="10" fillId="6" borderId="1" xfId="0" applyNumberFormat="1" applyFont="1" applyFill="1" applyBorder="1" applyAlignment="1">
      <alignment horizontal="right"/>
    </xf>
    <xf numFmtId="40" fontId="10" fillId="6" borderId="1" xfId="0" applyNumberFormat="1" applyFont="1" applyFill="1" applyBorder="1"/>
    <xf numFmtId="0" fontId="11" fillId="0" borderId="0" xfId="0" applyFont="1" applyAlignment="1">
      <alignment horizontal="left" vertical="center" wrapText="1"/>
    </xf>
    <xf numFmtId="0" fontId="11" fillId="0" borderId="4" xfId="0" applyFont="1" applyBorder="1" applyAlignment="1">
      <alignment horizontal="center" vertical="center" wrapText="1"/>
    </xf>
    <xf numFmtId="0" fontId="14" fillId="4" borderId="1" xfId="0" applyFont="1" applyFill="1" applyBorder="1" applyAlignment="1" applyProtection="1">
      <alignment horizontal="center"/>
      <protection locked="0"/>
    </xf>
    <xf numFmtId="0" fontId="2" fillId="5" borderId="5" xfId="0" applyFont="1" applyFill="1" applyBorder="1" applyAlignment="1">
      <alignment horizontal="center"/>
    </xf>
    <xf numFmtId="0" fontId="2" fillId="5" borderId="4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9" fillId="5" borderId="1" xfId="0" applyFont="1" applyFill="1" applyBorder="1" applyAlignment="1">
      <alignment horizontal="center" vertical="center"/>
    </xf>
    <xf numFmtId="0" fontId="9" fillId="12" borderId="1" xfId="0" applyFont="1" applyFill="1" applyBorder="1" applyAlignment="1" applyProtection="1">
      <alignment horizontal="center"/>
      <protection locked="0"/>
    </xf>
    <xf numFmtId="4" fontId="9" fillId="12" borderId="1" xfId="0" applyNumberFormat="1" applyFont="1" applyFill="1" applyBorder="1" applyAlignment="1">
      <alignment horizontal="right"/>
    </xf>
    <xf numFmtId="4" fontId="10" fillId="12" borderId="5" xfId="0" applyNumberFormat="1" applyFont="1" applyFill="1" applyBorder="1" applyAlignment="1">
      <alignment horizontal="right"/>
    </xf>
    <xf numFmtId="4" fontId="10" fillId="12" borderId="4" xfId="0" applyNumberFormat="1" applyFont="1" applyFill="1" applyBorder="1" applyAlignment="1">
      <alignment horizontal="right"/>
    </xf>
    <xf numFmtId="4" fontId="10" fillId="12" borderId="6" xfId="0" applyNumberFormat="1" applyFont="1" applyFill="1" applyBorder="1" applyAlignment="1">
      <alignment horizontal="right"/>
    </xf>
    <xf numFmtId="10" fontId="9" fillId="12" borderId="1" xfId="0" applyNumberFormat="1" applyFont="1" applyFill="1" applyBorder="1" applyAlignment="1">
      <alignment horizontal="right"/>
    </xf>
    <xf numFmtId="4" fontId="9" fillId="9" borderId="1" xfId="0" applyNumberFormat="1" applyFont="1" applyFill="1" applyBorder="1" applyAlignment="1">
      <alignment horizontal="right"/>
    </xf>
    <xf numFmtId="0" fontId="11" fillId="8" borderId="1" xfId="0" applyFont="1" applyFill="1" applyBorder="1" applyProtection="1">
      <protection locked="0"/>
    </xf>
    <xf numFmtId="4" fontId="11" fillId="7" borderId="1" xfId="0" applyNumberFormat="1" applyFont="1" applyFill="1" applyBorder="1" applyAlignment="1">
      <alignment horizontal="right"/>
    </xf>
    <xf numFmtId="10" fontId="11" fillId="8" borderId="1" xfId="0" applyNumberFormat="1" applyFont="1" applyFill="1" applyBorder="1" applyAlignment="1">
      <alignment horizontal="right"/>
    </xf>
    <xf numFmtId="4" fontId="11" fillId="8" borderId="1" xfId="0" applyNumberFormat="1" applyFont="1" applyFill="1" applyBorder="1" applyAlignment="1">
      <alignment horizontal="right"/>
    </xf>
    <xf numFmtId="0" fontId="8" fillId="0" borderId="1" xfId="0" applyFont="1" applyBorder="1" applyProtection="1">
      <protection locked="0"/>
    </xf>
    <xf numFmtId="4" fontId="11" fillId="8" borderId="5" xfId="0" applyNumberFormat="1" applyFont="1" applyFill="1" applyBorder="1" applyAlignment="1">
      <alignment horizontal="right"/>
    </xf>
    <xf numFmtId="4" fontId="11" fillId="8" borderId="4" xfId="0" applyNumberFormat="1" applyFont="1" applyFill="1" applyBorder="1" applyAlignment="1">
      <alignment horizontal="right"/>
    </xf>
    <xf numFmtId="4" fontId="11" fillId="8" borderId="6" xfId="0" applyNumberFormat="1" applyFont="1" applyFill="1" applyBorder="1" applyAlignment="1">
      <alignment horizontal="right"/>
    </xf>
    <xf numFmtId="2" fontId="8" fillId="7" borderId="1" xfId="0" applyNumberFormat="1" applyFont="1" applyFill="1" applyBorder="1" applyAlignment="1">
      <alignment horizontal="right"/>
    </xf>
    <xf numFmtId="0" fontId="11" fillId="8" borderId="1" xfId="0" applyFont="1" applyFill="1" applyBorder="1" applyAlignment="1" applyProtection="1">
      <alignment horizontal="left"/>
      <protection locked="0"/>
    </xf>
    <xf numFmtId="4" fontId="9" fillId="12" borderId="5" xfId="0" applyNumberFormat="1" applyFont="1" applyFill="1" applyBorder="1" applyAlignment="1">
      <alignment horizontal="right"/>
    </xf>
    <xf numFmtId="4" fontId="9" fillId="12" borderId="4" xfId="0" applyNumberFormat="1" applyFont="1" applyFill="1" applyBorder="1" applyAlignment="1">
      <alignment horizontal="right"/>
    </xf>
    <xf numFmtId="4" fontId="9" fillId="12" borderId="6" xfId="0" applyNumberFormat="1" applyFont="1" applyFill="1" applyBorder="1" applyAlignment="1">
      <alignment horizontal="right"/>
    </xf>
    <xf numFmtId="10" fontId="11" fillId="8" borderId="1" xfId="1" applyNumberFormat="1" applyFont="1" applyFill="1" applyBorder="1" applyAlignment="1">
      <alignment horizontal="right"/>
    </xf>
    <xf numFmtId="0" fontId="10" fillId="3" borderId="1" xfId="0" applyFont="1" applyFill="1" applyBorder="1" applyAlignment="1" applyProtection="1">
      <alignment horizontal="center"/>
      <protection locked="0"/>
    </xf>
    <xf numFmtId="4" fontId="10" fillId="3" borderId="5" xfId="0" applyNumberFormat="1" applyFont="1" applyFill="1" applyBorder="1" applyAlignment="1">
      <alignment horizontal="right"/>
    </xf>
    <xf numFmtId="4" fontId="10" fillId="3" borderId="4" xfId="0" applyNumberFormat="1" applyFont="1" applyFill="1" applyBorder="1" applyAlignment="1">
      <alignment horizontal="right"/>
    </xf>
    <xf numFmtId="4" fontId="10" fillId="3" borderId="6" xfId="0" applyNumberFormat="1" applyFont="1" applyFill="1" applyBorder="1" applyAlignment="1">
      <alignment horizontal="right"/>
    </xf>
    <xf numFmtId="10" fontId="10" fillId="3" borderId="1" xfId="0" applyNumberFormat="1" applyFont="1" applyFill="1" applyBorder="1" applyAlignment="1">
      <alignment horizontal="right"/>
    </xf>
    <xf numFmtId="4" fontId="10" fillId="6" borderId="1" xfId="0" applyNumberFormat="1" applyFont="1" applyFill="1" applyBorder="1" applyAlignment="1">
      <alignment horizontal="right"/>
    </xf>
    <xf numFmtId="0" fontId="9" fillId="14" borderId="1" xfId="0" applyFont="1" applyFill="1" applyBorder="1" applyAlignment="1" applyProtection="1">
      <alignment horizontal="center"/>
      <protection locked="0"/>
    </xf>
    <xf numFmtId="4" fontId="9" fillId="14" borderId="5" xfId="0" applyNumberFormat="1" applyFont="1" applyFill="1" applyBorder="1" applyAlignment="1">
      <alignment horizontal="right"/>
    </xf>
    <xf numFmtId="4" fontId="9" fillId="14" borderId="4" xfId="0" applyNumberFormat="1" applyFont="1" applyFill="1" applyBorder="1" applyAlignment="1">
      <alignment horizontal="right"/>
    </xf>
    <xf numFmtId="4" fontId="9" fillId="14" borderId="6" xfId="0" applyNumberFormat="1" applyFont="1" applyFill="1" applyBorder="1" applyAlignment="1">
      <alignment horizontal="right"/>
    </xf>
    <xf numFmtId="4" fontId="10" fillId="14" borderId="1" xfId="0" applyNumberFormat="1" applyFont="1" applyFill="1" applyBorder="1" applyAlignment="1">
      <alignment horizontal="right"/>
    </xf>
    <xf numFmtId="4" fontId="9" fillId="14" borderId="1" xfId="0" applyNumberFormat="1" applyFont="1" applyFill="1" applyBorder="1" applyAlignment="1">
      <alignment horizontal="right"/>
    </xf>
    <xf numFmtId="4" fontId="9" fillId="2" borderId="1" xfId="0" applyNumberFormat="1" applyFont="1" applyFill="1" applyBorder="1" applyAlignment="1">
      <alignment horizontal="center"/>
    </xf>
    <xf numFmtId="0" fontId="9" fillId="3" borderId="1" xfId="0" applyFont="1" applyFill="1" applyBorder="1" applyAlignment="1" applyProtection="1">
      <alignment horizontal="center"/>
      <protection locked="0"/>
    </xf>
    <xf numFmtId="4" fontId="9" fillId="3" borderId="1" xfId="0" applyNumberFormat="1" applyFont="1" applyFill="1" applyBorder="1" applyAlignment="1">
      <alignment horizontal="right"/>
    </xf>
    <xf numFmtId="4" fontId="10" fillId="8" borderId="0" xfId="0" applyNumberFormat="1" applyFont="1" applyFill="1" applyAlignment="1">
      <alignment horizontal="right"/>
    </xf>
    <xf numFmtId="4" fontId="6" fillId="8" borderId="0" xfId="0" applyNumberFormat="1" applyFont="1" applyFill="1" applyAlignment="1">
      <alignment horizontal="right"/>
    </xf>
    <xf numFmtId="4" fontId="9" fillId="8" borderId="0" xfId="0" applyNumberFormat="1" applyFont="1" applyFill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3" xfId="0" applyBorder="1" applyAlignment="1">
      <alignment horizontal="center"/>
    </xf>
    <xf numFmtId="0" fontId="10" fillId="10" borderId="7" xfId="0" applyFont="1" applyFill="1" applyBorder="1" applyAlignment="1">
      <alignment horizontal="center" vertical="center"/>
    </xf>
    <xf numFmtId="4" fontId="9" fillId="10" borderId="5" xfId="0" applyNumberFormat="1" applyFont="1" applyFill="1" applyBorder="1" applyAlignment="1">
      <alignment horizontal="center"/>
    </xf>
    <xf numFmtId="4" fontId="9" fillId="10" borderId="4" xfId="0" applyNumberFormat="1" applyFont="1" applyFill="1" applyBorder="1" applyAlignment="1">
      <alignment horizontal="center"/>
    </xf>
    <xf numFmtId="0" fontId="9" fillId="10" borderId="5" xfId="0" applyFont="1" applyFill="1" applyBorder="1" applyAlignment="1">
      <alignment horizontal="center"/>
    </xf>
    <xf numFmtId="0" fontId="9" fillId="10" borderId="4" xfId="0" applyFont="1" applyFill="1" applyBorder="1" applyAlignment="1">
      <alignment horizontal="center"/>
    </xf>
    <xf numFmtId="0" fontId="9" fillId="10" borderId="6" xfId="0" applyFont="1" applyFill="1" applyBorder="1" applyAlignment="1">
      <alignment horizontal="center"/>
    </xf>
    <xf numFmtId="0" fontId="9" fillId="10" borderId="1" xfId="0" applyFont="1" applyFill="1" applyBorder="1" applyAlignment="1">
      <alignment horizontal="center"/>
    </xf>
    <xf numFmtId="4" fontId="14" fillId="10" borderId="1" xfId="0" applyNumberFormat="1" applyFont="1" applyFill="1" applyBorder="1" applyAlignment="1">
      <alignment horizontal="center" vertical="center" wrapText="1"/>
    </xf>
    <xf numFmtId="4" fontId="16" fillId="8" borderId="0" xfId="0" applyNumberFormat="1" applyFont="1" applyFill="1" applyAlignment="1">
      <alignment vertical="center" wrapText="1"/>
    </xf>
    <xf numFmtId="0" fontId="8" fillId="0" borderId="1" xfId="0" applyFont="1" applyBorder="1"/>
    <xf numFmtId="4" fontId="8" fillId="7" borderId="5" xfId="0" applyNumberFormat="1" applyFont="1" applyFill="1" applyBorder="1" applyAlignment="1">
      <alignment horizontal="right"/>
    </xf>
    <xf numFmtId="4" fontId="8" fillId="7" borderId="4" xfId="0" applyNumberFormat="1" applyFont="1" applyFill="1" applyBorder="1" applyAlignment="1">
      <alignment horizontal="right"/>
    </xf>
    <xf numFmtId="4" fontId="8" fillId="7" borderId="6" xfId="0" applyNumberFormat="1" applyFont="1" applyFill="1" applyBorder="1" applyAlignment="1">
      <alignment horizontal="right"/>
    </xf>
    <xf numFmtId="4" fontId="8" fillId="8" borderId="5" xfId="0" applyNumberFormat="1" applyFont="1" applyFill="1" applyBorder="1" applyAlignment="1">
      <alignment horizontal="right"/>
    </xf>
    <xf numFmtId="4" fontId="8" fillId="8" borderId="4" xfId="0" applyNumberFormat="1" applyFont="1" applyFill="1" applyBorder="1" applyAlignment="1">
      <alignment horizontal="right"/>
    </xf>
    <xf numFmtId="4" fontId="8" fillId="8" borderId="6" xfId="0" applyNumberFormat="1" applyFont="1" applyFill="1" applyBorder="1" applyAlignment="1">
      <alignment horizontal="right"/>
    </xf>
    <xf numFmtId="4" fontId="17" fillId="8" borderId="1" xfId="0" applyNumberFormat="1" applyFont="1" applyFill="1" applyBorder="1" applyAlignment="1">
      <alignment horizontal="right" vertical="center" wrapText="1"/>
    </xf>
    <xf numFmtId="4" fontId="17" fillId="0" borderId="1" xfId="0" applyNumberFormat="1" applyFont="1" applyBorder="1" applyAlignment="1">
      <alignment horizontal="right"/>
    </xf>
    <xf numFmtId="0" fontId="17" fillId="0" borderId="1" xfId="0" applyFont="1" applyBorder="1" applyAlignment="1">
      <alignment horizontal="right"/>
    </xf>
    <xf numFmtId="4" fontId="16" fillId="8" borderId="0" xfId="0" applyNumberFormat="1" applyFont="1" applyFill="1" applyAlignment="1">
      <alignment horizontal="left" vertical="center" wrapText="1"/>
    </xf>
    <xf numFmtId="4" fontId="18" fillId="8" borderId="0" xfId="0" applyNumberFormat="1" applyFont="1" applyFill="1" applyAlignment="1">
      <alignment horizontal="center" vertical="center" wrapText="1"/>
    </xf>
    <xf numFmtId="0" fontId="10" fillId="5" borderId="1" xfId="0" applyFont="1" applyFill="1" applyBorder="1" applyAlignment="1">
      <alignment horizontal="center"/>
    </xf>
    <xf numFmtId="4" fontId="9" fillId="5" borderId="5" xfId="0" applyNumberFormat="1" applyFont="1" applyFill="1" applyBorder="1" applyAlignment="1">
      <alignment horizontal="right"/>
    </xf>
    <xf numFmtId="4" fontId="9" fillId="5" borderId="4" xfId="0" applyNumberFormat="1" applyFont="1" applyFill="1" applyBorder="1" applyAlignment="1">
      <alignment horizontal="right"/>
    </xf>
    <xf numFmtId="4" fontId="9" fillId="5" borderId="6" xfId="0" applyNumberFormat="1" applyFont="1" applyFill="1" applyBorder="1" applyAlignment="1">
      <alignment horizontal="right"/>
    </xf>
    <xf numFmtId="4" fontId="9" fillId="5" borderId="1" xfId="0" applyNumberFormat="1" applyFont="1" applyFill="1" applyBorder="1" applyAlignment="1">
      <alignment horizontal="right"/>
    </xf>
    <xf numFmtId="4" fontId="14" fillId="5" borderId="1" xfId="0" applyNumberFormat="1" applyFont="1" applyFill="1" applyBorder="1" applyAlignment="1">
      <alignment horizontal="right" vertical="center" wrapText="1"/>
    </xf>
    <xf numFmtId="0" fontId="20" fillId="0" borderId="0" xfId="0" applyFont="1"/>
    <xf numFmtId="40" fontId="10" fillId="8" borderId="0" xfId="0" applyNumberFormat="1" applyFont="1" applyFill="1"/>
    <xf numFmtId="0" fontId="10" fillId="0" borderId="0" xfId="0" applyFont="1"/>
    <xf numFmtId="0" fontId="12" fillId="0" borderId="0" xfId="0" applyFont="1" applyAlignment="1">
      <alignment horizontal="left"/>
    </xf>
    <xf numFmtId="0" fontId="12" fillId="0" borderId="0" xfId="0" applyFont="1"/>
    <xf numFmtId="164" fontId="0" fillId="0" borderId="0" xfId="0" applyNumberFormat="1"/>
  </cellXfs>
  <cellStyles count="2"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F5C8FC-5414-4E7E-BA6B-E27DE99DAF8C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619E28-695E-49A1-A16D-4292A1895734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52A063-F82B-4C48-B837-C5F4A2EBBA6B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1529C6-D375-4004-8498-8EB77847A063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78AA2A-F7AC-4691-8232-5924B0C440ED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E6C1A2-9547-4771-9C2F-4AF50F4F2435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1C82DC-9964-4DFC-9B6B-D90A4262146E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9C48BE-D3E1-42D9-9448-3C72051D14FB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3F66E5-7111-4D84-AEBC-E77E29E9A914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62A927-063D-4F6D-95E4-713DF861D5F3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0EB48A-56D9-428C-A832-3CC1FAAA3A13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633A8C-1974-4732-9FD8-8416BA6727DC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639024-FBA0-4923-863E-F8AB294427EB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AEC668-A84C-459E-8CF6-EEF73C16A41C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CCD4CF-C431-4AAD-BAA4-40FFB5666810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E57B82-F587-40DA-98A2-DB48D3222790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6AEC82-5A62-4A43-99AC-F52D2D065263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DCFFD5-C14D-4C94-A363-11E073DB6D52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2DC39C-3E1E-444F-B87D-86A24216DFA5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2B543B-6A82-496F-9119-FF5676D11F98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6289D9-66D7-4101-B137-438378AB8E43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D7D0BB-C64A-4CD5-9B74-3581F46A6E36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10B5D2-DE13-4E42-A5C4-6BDFAE90A84F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9953C7-A091-4210-8854-77331B2B5BA3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5E5D89-B9EB-4B71-9F14-D3E29CF25389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023D84-CF8D-4F43-8208-1C630C55B029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55E4CC-0BB1-4470-ABDF-5AC038F228FC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0DF616-BE5B-4F41-91E8-F56DDCC26D0D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814C2A-444C-426E-BD0C-CC005364DADE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19C837-B464-4E6A-8AA2-A8FE1A1DA174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0197BB-E513-4EE2-A73E-330D3F246BDE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ED808B-E38E-4022-A215-83E28BC48C6B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CF21C9-2F6A-499C-972F-D83063819796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666396-E127-474B-91AF-8E3973CDC90E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3E2A3C-EBA1-435E-833E-43CA4C24B94F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8DB6CC-5378-4126-84BF-1876DB16E5AE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091AE6-FDCF-42CA-9B1A-136E75DC948B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B29A33-DDDB-4740-AD48-FF4BDE2313FC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17D5BB-1B3D-4959-8C6C-075FFEA64988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D3994F-1AE1-45D3-8915-97F7E4557E18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1EA310-42E7-4BFB-BBAE-7448FCD26CE0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30199A-77E9-48A8-B0C4-42315FFB62B2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B6B126-3AFC-4AE8-83CC-3B9C64E42151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92F616-46A5-4CFB-AC73-A29F72268DC3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86CA0B-72D4-44BA-B227-1144605053A3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7D8B0B-99FC-4C52-A9B8-439378A1F74E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098AEC-322A-4CC9-8EBE-4BB6B34E03A2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B66A37-70DF-4D23-9488-C3732E2095AA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199788-597F-42E6-9389-B55F4B2A1046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D06F7E-72BC-423F-B55F-A4F0A9C05A1A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A42408-E060-43A3-8A39-4D8CBDD7DC92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1DD030-039E-48A4-84AF-832321084F94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4595E9-97FE-434E-957A-DDD903C49DE1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E92410-AF3F-4E85-AF9B-281A2C76B906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EF3377-3168-4532-8E9B-BB1546AC4D25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89CDA0-7141-49EA-96DF-D14391A838E6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5</xdr:row>
      <xdr:rowOff>0</xdr:rowOff>
    </xdr:from>
    <xdr:ext cx="304800" cy="304800"/>
    <xdr:sp macro="" textlink="">
      <xdr:nvSpPr>
        <xdr:cNvPr id="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02011F-1553-4E10-95A9-8FD335A7FE00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5</xdr:row>
      <xdr:rowOff>0</xdr:rowOff>
    </xdr:from>
    <xdr:ext cx="304800" cy="304800"/>
    <xdr:sp macro="" textlink="">
      <xdr:nvSpPr>
        <xdr:cNvPr id="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78FEFD-F783-47D7-92D2-FE11459DB2C4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5</xdr:row>
      <xdr:rowOff>0</xdr:rowOff>
    </xdr:from>
    <xdr:ext cx="304800" cy="304800"/>
    <xdr:sp macro="" textlink="">
      <xdr:nvSpPr>
        <xdr:cNvPr id="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4AD5FE-C0A6-42E8-8735-2D9737E440C3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5</xdr:row>
      <xdr:rowOff>0</xdr:rowOff>
    </xdr:from>
    <xdr:ext cx="304800" cy="304800"/>
    <xdr:sp macro="" textlink="">
      <xdr:nvSpPr>
        <xdr:cNvPr id="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BD32E5-C98B-4079-BE37-B8ED07E7A826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5</xdr:row>
      <xdr:rowOff>0</xdr:rowOff>
    </xdr:from>
    <xdr:ext cx="304800" cy="304800"/>
    <xdr:sp macro="" textlink="">
      <xdr:nvSpPr>
        <xdr:cNvPr id="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015BA5-EB6F-43C9-8F79-359E5215A214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5</xdr:row>
      <xdr:rowOff>0</xdr:rowOff>
    </xdr:from>
    <xdr:ext cx="304800" cy="304800"/>
    <xdr:sp macro="" textlink="">
      <xdr:nvSpPr>
        <xdr:cNvPr id="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41BC28-B225-4C5D-B280-8AC00A4DBCF9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5</xdr:row>
      <xdr:rowOff>0</xdr:rowOff>
    </xdr:from>
    <xdr:ext cx="304800" cy="304800"/>
    <xdr:sp macro="" textlink="">
      <xdr:nvSpPr>
        <xdr:cNvPr id="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311D32-7945-4D73-8E1B-51FE4573AD50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5</xdr:row>
      <xdr:rowOff>0</xdr:rowOff>
    </xdr:from>
    <xdr:ext cx="304800" cy="304800"/>
    <xdr:sp macro="" textlink="">
      <xdr:nvSpPr>
        <xdr:cNvPr id="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2BC73A-C9BF-4246-9789-7106C4758260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714375" cy="304800"/>
    <xdr:sp macro="" textlink="">
      <xdr:nvSpPr>
        <xdr:cNvPr id="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3645BA-D733-4B2D-9D87-3839D14435D1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2DAE25-AB9B-4FAC-8651-1D1C36AC6BB1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CD7CD0-097B-4324-90F2-E40E96AEA913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A21889-AE11-41E7-90B9-E2950D798040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A792EB-24D7-4DCE-9FE8-D2254EFB961A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2E2AE7-F70F-4852-9C78-CF5EB85C91C8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714375" cy="304800"/>
    <xdr:sp macro="" textlink="">
      <xdr:nvSpPr>
        <xdr:cNvPr id="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98FF30-C2A7-46F4-81A1-752B215E7887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D72590-231C-4621-9564-77958E22F87A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C608A3-153F-44EA-9B01-4F8A011DB9FF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6263BC-3A1A-4972-BD2B-FEDB507A7E27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B4D538-9E63-4676-A6EE-C24B3AF36801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DE21A1-B710-4705-8359-D7004978BD6E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E4EF70-C467-4961-A685-324DE995A280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35EADD-B79B-4DAC-8BF1-AAD8A8ADF4CD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DF118D-C9AF-4FE9-8FE4-947432986EA3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F770ED-840E-4C08-B378-C3029F37EC82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7E41A0-EE35-4E68-AD09-066659BC065F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0060AC-82C0-4766-BC4F-1B90F44A6E2E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40F12E-1125-4225-AFC6-EEDE3E5CD04E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E42303-CBD1-4816-8C56-AAE880368F61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763DED-550E-4AC0-B0FB-75ED4D622188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A2B6CF-4BFE-405E-B3BD-98E8DDA59D03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E73236-5864-44BA-8F07-B475832BD487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00E562-F54D-4333-99A2-6F8B2A2547A1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353696-8B38-4047-8BD5-8614149509F6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1692CF-E3A3-4E97-AFCF-AFB84B26EBC8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9CA680-01F6-4E03-BAC9-CB9EA167D2C3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714375" cy="304800"/>
    <xdr:sp macro="" textlink="">
      <xdr:nvSpPr>
        <xdr:cNvPr id="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B1D1DF-5A48-458B-A1C1-A6B92E11284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029F53-F956-440F-B060-61F2E8AA65B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4E6E55-3DED-4613-9508-6088D5A70D7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BAB9A6-678B-4757-B200-C8E3820F322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587C9A-4EB6-4CCB-83FA-8BFAABC0039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223A36-613C-4A0D-9DC4-EA8E0F9CF47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714375" cy="304800"/>
    <xdr:sp macro="" textlink="">
      <xdr:nvSpPr>
        <xdr:cNvPr id="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78494A-F1C4-4EAC-82F0-4FFFE349924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1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AB1115-9864-4BE4-A00A-C5C0725A284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1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13C8A1-5DFF-4F61-9645-1CC214EF93D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1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2E0426-CAB8-47D3-B90C-5A26C2CD7ED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1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B64684-EC37-4C4A-AC2C-6DBFCD57932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1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8918E3-B523-44FA-8610-57FFA32F42F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1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EDFD89-3814-4F66-8196-FC6794BBC1E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1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04DBAE-A83B-4250-9B15-15986396B3F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1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CC7660-60B9-4B69-8CE5-DBF129B48A2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1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641176-B519-438E-A765-47226DCCDBF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1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DD33F7-0C97-452F-8CD6-B5C041CC90C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714375" cy="304800"/>
    <xdr:sp macro="" textlink="">
      <xdr:nvSpPr>
        <xdr:cNvPr id="1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5215E9-4064-4F05-8FC1-08A7BD76CE6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1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C66C4D-11C8-4585-BF4E-D22C890E4E8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1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CCBA4A-F391-48AD-ACA5-7D95A744629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1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24EB91-A98C-47DE-AD04-2AFBA87DBCF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1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651716-CB41-4570-8220-AC928CB64BF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1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23E60D-B888-4E94-980F-75247C33210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1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9033C8-EC1C-43B3-A939-39B84C25ABB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1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DA39DE-6385-4ADA-858F-059905C7C7D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1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A85BDB-0C40-4035-BB2E-58CAFE43CD8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1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846DE2-907D-4E62-B495-FF7CFEAF0BE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1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892908-3765-4E2E-AF27-FF5821B9FA7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5</xdr:row>
      <xdr:rowOff>0</xdr:rowOff>
    </xdr:from>
    <xdr:ext cx="304800" cy="304800"/>
    <xdr:sp macro="" textlink="">
      <xdr:nvSpPr>
        <xdr:cNvPr id="1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3A8F9D-49EE-4F57-8D91-C8E9CAFCBA6F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5</xdr:row>
      <xdr:rowOff>0</xdr:rowOff>
    </xdr:from>
    <xdr:ext cx="304800" cy="304800"/>
    <xdr:sp macro="" textlink="">
      <xdr:nvSpPr>
        <xdr:cNvPr id="1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7F8070-C483-4B5C-9F03-ED0991F1E72F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5</xdr:row>
      <xdr:rowOff>0</xdr:rowOff>
    </xdr:from>
    <xdr:ext cx="304800" cy="304800"/>
    <xdr:sp macro="" textlink="">
      <xdr:nvSpPr>
        <xdr:cNvPr id="1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1C8960-C60B-4269-B0A1-FDB052DA6ED5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5</xdr:row>
      <xdr:rowOff>0</xdr:rowOff>
    </xdr:from>
    <xdr:ext cx="304800" cy="304800"/>
    <xdr:sp macro="" textlink="">
      <xdr:nvSpPr>
        <xdr:cNvPr id="1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5E3944-2D0C-442B-A9D1-20307742A04A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5</xdr:row>
      <xdr:rowOff>0</xdr:rowOff>
    </xdr:from>
    <xdr:ext cx="304800" cy="304800"/>
    <xdr:sp macro="" textlink="">
      <xdr:nvSpPr>
        <xdr:cNvPr id="1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39B2D0-9B01-4181-AB07-CF6E85C40BBC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5</xdr:row>
      <xdr:rowOff>0</xdr:rowOff>
    </xdr:from>
    <xdr:ext cx="304800" cy="304800"/>
    <xdr:sp macro="" textlink="">
      <xdr:nvSpPr>
        <xdr:cNvPr id="1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851DC1-96D5-4C70-8652-7B64603B6F3C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5</xdr:row>
      <xdr:rowOff>0</xdr:rowOff>
    </xdr:from>
    <xdr:ext cx="304800" cy="304800"/>
    <xdr:sp macro="" textlink="">
      <xdr:nvSpPr>
        <xdr:cNvPr id="1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18D33E-0904-4133-9B22-BDD30CF25165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5</xdr:row>
      <xdr:rowOff>0</xdr:rowOff>
    </xdr:from>
    <xdr:ext cx="304800" cy="304800"/>
    <xdr:sp macro="" textlink="">
      <xdr:nvSpPr>
        <xdr:cNvPr id="1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49694B-D637-451D-9AF5-2E7DA2560566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714375" cy="304800"/>
    <xdr:sp macro="" textlink="">
      <xdr:nvSpPr>
        <xdr:cNvPr id="1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EE9002-0A26-4F1F-861A-7B1572E03305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1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8C449D-7AB2-4341-9C46-74161C31EE42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1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598BEE-7409-4665-A0D1-AEED59C11D71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1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242A61-351B-4700-B240-1D0F22DAB526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1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8A17FE-CE3E-4989-B214-A4E5DD63F766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1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70A660-A6B2-496C-A56A-17201AC0AB77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714375" cy="304800"/>
    <xdr:sp macro="" textlink="">
      <xdr:nvSpPr>
        <xdr:cNvPr id="1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7894A8-C2E2-40C1-943A-A0F73FB16DAF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1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98A330-70FB-433E-8683-0A70D1B12F9B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1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B2938D-BABB-4AAC-8874-76878D4A5D39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1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4E277C-E845-4732-A9BA-0CEF6F66253E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1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C1EA25-87A9-44E4-972F-D465B5A88CBC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1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12FF7E-61DD-44CD-8AA5-CF653FF1EECB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1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7AD9AA-525E-4312-8A18-B1ADD0CBEA1B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1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37B60C-D7D9-46E2-ABCE-84A1A5589B9D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1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56D204-EC06-4FA8-BCA3-82B8E0EE1BEC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1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0DE734-0630-4975-86D3-25C63901940A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1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D33413-03FB-4C0B-82A1-110280F557A0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1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AC9C35-7C3F-4EBC-B0B3-9AEF51FB5F27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1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E6B31C-0930-4B1F-9B0F-0E6531D1268B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1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8E5774-14BD-4435-835C-C01769EB7077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1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A8B436-CCAF-4A1E-9A12-65B1296959A3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1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A51182-81C8-446D-A1BF-1743C98CD567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1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745C33-444E-41D8-9877-987E63201AAA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1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CB903D-0C6A-48B2-BC93-7243903FFCBE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1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55452E-738A-43FF-96A0-1EF6BEE0181A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1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D7D34A-D5D2-4916-B781-4DEC699100D1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1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7A06EB-7663-44FC-A86F-D146AD2A24FE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714375" cy="304800"/>
    <xdr:sp macro="" textlink="">
      <xdr:nvSpPr>
        <xdr:cNvPr id="1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6CC177-4A1D-4D00-8D47-50B2369C4E5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1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A19CC7-E364-496A-93B1-07DD38BCDCD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1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546BF8-DF89-4074-8DE9-83D747DE69E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1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DC811E-4963-4643-98E0-A5684CBA8FB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1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9C9A04-F07D-4DAC-83B4-5FFB50D36FF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1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4A1FBD-B972-4CA9-91B8-5C19E1D9E81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714375" cy="304800"/>
    <xdr:sp macro="" textlink="">
      <xdr:nvSpPr>
        <xdr:cNvPr id="1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34B516-23F3-4E4B-90F7-AC077F301BA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1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619277-857B-449F-964A-0F4983ACAC2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1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507CBA-21AE-4C8C-98D3-B997B932050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1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443BBD-E516-4B36-B431-C089BC2C877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1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0C8387-491E-4FD9-B2E3-7CD13F0CA02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1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E61E44-EB45-4415-92A1-817B44AB12B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1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0228DB-8255-4F45-B122-72BD1D27269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1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7DC9C2-65C9-4022-8533-F07FB42CC4C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1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BDC83C-BA4F-4915-A1D9-E9353753BB7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1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21DFA3-2C67-4F92-8CDE-1AF6EF852DC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1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017B93-DA3F-43A8-B522-DD2B28B4D73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714375" cy="304800"/>
    <xdr:sp macro="" textlink="">
      <xdr:nvSpPr>
        <xdr:cNvPr id="1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9617A5-606F-42D5-A63C-AE2E32BA7DF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1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01660F-3B44-4518-9E60-EE9A52A3C21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1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990011-4671-4726-B7F8-D281980F05E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1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381CF5-16E4-4684-87EE-71108A5A576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1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5F4F1C-6A67-4DB3-A731-D4AD027336F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1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B73D2F-A7BA-42E0-BE94-D012F770AA5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1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5F0F01-D42F-4703-9FA1-457721E9C35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1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031220-DF9E-4197-9EBF-BC3E5FC1AC5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1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386FE6-D42C-419F-950A-BDAA6C74642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1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E4CA92-66F9-4271-9079-C66CDA6113B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1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449234-B327-4EE6-A728-4A306777EAB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1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710D07-A1B5-4081-BB47-0C073FC2ECE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1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0FC926-27AF-464D-8875-8B1B5F8A2AA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1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83146B-D588-484D-910D-236B60D0964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1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B4BB39-BD2D-460B-85F7-E7943857D3A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1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5575D6-0299-447B-8025-84BA73BE703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1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82457A-1AAE-4545-9713-3B208174618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1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ACD98D-7D82-462E-BB9D-87EF35E1F19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1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5DB332-1A2D-4F25-9769-4BC8C536F32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1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8407E5-6F94-4DC8-9BDF-357A9BB3D2D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1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2A7396-FE06-480C-80EC-4FB7D474583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1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52AF77-D05F-45E2-AB89-86E848D998E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1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FFC64A-700E-4BB6-8885-0B9C45AFB5D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1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0B8183-289B-4CC7-ACC4-5D1C4B685DA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1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DD214C-C91A-4B5E-BEE1-8CAEB200B98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1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0E0043-C9BC-4634-A75A-9BA833FD714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1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A1B814-5DC2-4FE4-8CDE-9758FF1FEA5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2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E2F59F-ECDC-4B43-A986-93548928336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2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8700ED-C9E4-4774-80A9-E4E2DE9E128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2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52EBC8-A7F1-4A8F-A0FD-3B34286E61D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2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084318-18E0-4BA3-AC69-D4AF339A9A9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2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5FF065-CD7F-468D-9962-00460EF474D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2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949E21-88CA-4B60-A7F2-85FEEA88D15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2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6B752C-A4C8-4FA7-AB1B-2E70D1E2B11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2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1221BB-55BC-4EB0-ADE6-6DF06D41318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2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098074-535B-4840-A6F1-9439BD6BB5D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2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786BB0-000B-4756-85F4-1D72E16BA21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2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BFFB29-2D60-4182-8FB8-2FAD22F2332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2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C9750A-013D-4E60-9F32-798DCD3A9F9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2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66E34B-4DB6-46EC-AC19-57B649BB345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2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234A23-E8EB-4739-A45E-25CA28126FC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2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31C1EA-26F9-4D14-9BC2-83884CC079B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2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371D4A-8905-49A2-9ECD-5E2982A4D48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2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5B3DAB-8C0B-41F3-86E7-EF04A66F625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2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657E13-EBA1-4A45-90EC-7F469FFFF9B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2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EC6E43-D7F2-49B9-B9AB-190BE5FE872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2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474DCD-EC97-48CF-A05E-52AC0729009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2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6F4647-0BFC-491C-8B64-E96AD5898BD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2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A22D81-FD90-473A-BDE4-2739EC3D023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2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DC77DB-91AF-4526-B19E-7CBD79F4D35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2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28FC23-421A-4D03-A545-99AD3357871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2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B1404A-1161-4EBA-A113-ABC3F91C7A1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2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105445-6CA9-4B34-8AAF-4D8782B8A94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2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8D5E58-CBEB-4E8B-AC5B-5369FA8E56D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2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7F95E1-A275-47C9-A214-290CA73D459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2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32D6B9-5F05-4445-9E0C-4A9A4A6139E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2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689CFC-7804-4876-9B75-2B1774B4F46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2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5E0241-61EA-4603-A3AC-E6FA3BD6171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2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3A7878-2FE7-4264-94C4-20464ED06E6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0</xdr:col>
      <xdr:colOff>28575</xdr:colOff>
      <xdr:row>0</xdr:row>
      <xdr:rowOff>28575</xdr:rowOff>
    </xdr:from>
    <xdr:to>
      <xdr:col>11</xdr:col>
      <xdr:colOff>125279</xdr:colOff>
      <xdr:row>3</xdr:row>
      <xdr:rowOff>133790</xdr:rowOff>
    </xdr:to>
    <xdr:pic>
      <xdr:nvPicPr>
        <xdr:cNvPr id="232" name="Imagem 231">
          <a:extLst>
            <a:ext uri="{FF2B5EF4-FFF2-40B4-BE49-F238E27FC236}">
              <a16:creationId xmlns:a16="http://schemas.microsoft.com/office/drawing/2014/main" id="{A1BBA092-F96C-4C0D-B79D-53B4FAC3AC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" y="28575"/>
          <a:ext cx="7392854" cy="676715"/>
        </a:xfrm>
        <a:prstGeom prst="rect">
          <a:avLst/>
        </a:prstGeom>
      </xdr:spPr>
    </xdr:pic>
    <xdr:clientData/>
  </xdr:two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2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46AB0A-580A-4CBD-A154-70713A5A32F0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2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47F2F7-646E-47C9-84DF-6A5095CF1C88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2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9CDEC2-8ED2-41A1-8E4A-C49C4F2DC0BA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2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7521BC-CE83-435B-B49E-CA638E22AFF2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2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BD5FBF-1D24-4929-A024-60987E2FEB14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2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95AB4A-AAEF-4CF6-9EB7-8522A24B3606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2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EE8F11-DA18-4914-A6A3-60E7568C8420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2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BDADD3-808D-4228-A563-826C43FB263C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2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F3B73D-0A2A-4AAA-9C34-EAC1B08CE2D4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2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392FE4-FEED-412B-B350-3733E075C905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2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81CA63-249B-4758-81A9-EEE000757BFE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2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63DB78-6734-4674-942A-EAFCDC0CFF26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2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A4E36C-5133-48F2-BF45-864C9DE06B88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2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542E28-D123-4F0E-B7B0-755E76963A08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2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051EBB-20BA-49F4-B26C-568F7DC1BA71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2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5E389A-FCD4-42EF-9F16-F733884FE193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2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9C5341-CD48-4272-A18E-18CAFE480724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2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E981B0-EE30-4FE2-AF53-DF185CC7A745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2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C870AA-6ECB-4493-A802-AB140075701A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2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F81EE0-746E-4DCA-B5F7-B64654F7FB11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2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704A87-908C-4A0B-AE15-1E44A722CB20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2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2E53E6-1B8C-4A68-BF83-E20F8AE89291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2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3477DE-06A6-450C-A0A7-FBB00D59D52D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2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BFF11A-C3B4-49FC-B38F-8CB16FC000B5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2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C0750F-B633-4E0B-9D45-5C4533483D72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2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8228E2-85E3-43D0-A060-1D68C3BDC901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2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88A272-E65C-4611-A86C-1C170EB6CE4D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2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968870-6BFE-4550-8D37-F49E6F3F7624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2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B3AD3A-95F4-4E66-B1A7-F8D4176B2493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2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B947B3-302C-4948-AAE3-8A5E3E543CF3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2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E11EED-83DE-4B71-AEA3-D4EDF937B524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2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641B0F-2EB6-4969-A673-1AEB5F0B963B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2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A0ABCA-AC7B-4B07-9FFD-25849B53345E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2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E9BCD4-49F7-45C9-A20E-025CA3674C96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2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E74B98-571B-4689-92C5-2F0F1004A647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2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60ED1E-10DD-4F63-AED6-7D76D2DF14F6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2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B59890-6577-414A-A0C4-ADB396B1C1B1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2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E4F2F9-FFEC-491B-993B-657CC85FBA9C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2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C4D507-1DB6-4E0A-ADF9-D9BD0EBB0266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2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0459E0-F310-48C9-BF4E-0359655E9220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2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EC7C4F-C1BB-41A1-8C2A-C3536FC0EB80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2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7D87A6-13E7-4FDF-81B6-482082FF07BE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2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A71293-2CB4-4B3C-A6DB-F2929FB58319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2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A6E7C6-8D7D-43B3-B44D-7BBC2BD9BF5F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2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D18369-D952-4C61-B314-061CF1C5C587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2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02D253-B140-4824-B225-BAFFFF6FAA1E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2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036E52-C496-46B6-A4D5-0718989D4977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2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BF968D-C6BB-4048-9942-D70AB0179DCE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2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CAAB51-2198-4F8F-900C-238FB62CB756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2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8ECD19-722B-4FFD-AD3B-8D65D44A5238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2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A0D4F2-0D4D-4183-A761-743DD5579182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2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59ED9C-0AEB-494D-9C0A-B557DCC45112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2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B2BD22-5765-454A-A972-790437563DB6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2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8E670F-5363-4788-B628-7F2781651831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2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B9F744-6FCC-43C9-8EE5-937B166EEF7A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2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428D75-DC27-4F52-9EF9-CEEF15353601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2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43C7F5-141C-49F0-9E7C-E566B29F466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2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6B1540-7E20-443F-BF6D-2A097B7D91A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2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3C335F-0558-4E46-99C1-6C680E89D1A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2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94D2D8-D66D-421A-BBE0-83888ACB23B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2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DF2737-87EA-4CC2-9B03-1B3D8800A3F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2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EBA82D-C4D4-4790-8DD0-5DE90F6B15C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2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39AEE0-AF49-452F-847B-601A03E3D53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2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BB7B78-A22F-4D3A-A9E1-FC12E9D41CF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2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A7C3E5-77D0-4E3E-A7F1-1F67587F30A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2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EB033F-8D82-4D5A-8712-DBCE5A06F0B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2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CBE57C-F0D0-449B-9FA0-7BD7052CA3B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E1B9D9-3AE3-4014-8AAC-A81942FF110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D9CB18-3EE3-476D-A6C9-45C6737F26B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4F7D28-DB00-4DC7-A392-1010891329A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E1B36C-7FC6-4DAB-A7A3-518169E91FC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46C62F-E21C-4303-B5CF-A58644F1E6C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EFACD1-BEFB-4911-9AB2-A5777DC3BBA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8A3E63-F946-4B8E-BE7E-F0368E0EB2A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C9EE35-0C0D-4CF6-B9EF-A0A5D8650FC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EFD7DD-7F6A-4273-9F82-81EA3930E8A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C5BBDF-8584-4251-B28B-4FB13719E63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72BF7E-A1A5-4DB7-8BE9-9E68021D34A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161404-989E-4843-9FBA-0BB608ED953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574387-3300-4DB0-91E5-915668A9754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352795-E4B8-4A72-A832-1C58A7211D0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97F2B6-5FEA-44C5-B709-06A62138659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DD8565-C1D6-4509-9940-68E0627FFAF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A0C93E-1B83-4E15-8F22-5D9D3E7F71A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1533E0-FDB5-4AD9-A655-DD81EE2665D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EC6D18-3B8E-4546-8146-A2DA1647375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D8524B-C3E2-4D10-8E36-7D2A396CE3E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5BCDC1-3171-4187-BDFC-3784BC86143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E0BBCF-4C51-468C-9420-C89D98ED926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62FD2D-23C3-44AF-A826-4321FE3135A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D8089F-3068-4854-BDCA-604E8FF79DC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D1FD0C-5DD0-4F6D-83B0-813CA5E27E2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4D06E8-27D3-4826-AFEC-00749139AF2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0FA20D-8E55-46B7-92B0-B55092727EE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8A82EE-9143-4650-9EDB-1A7AFB78144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2B4FBD-8E7A-4CBA-BD7A-2628E6DBBB8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4D3675-CB0E-4A00-9A90-BC94197CD17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1B4AD0-2EF6-4F97-B12F-FF1DE69AFDA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3A6455-9FCD-405F-832C-22C8372C740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10712D-1418-467F-8D49-BEDDBC5CBCE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32EAE8-F5F1-4FD5-A505-E9B6A34B4C1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D0F6C7-A564-4118-993F-0B34E3D5141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D32CF2-A28B-45EE-B35F-B77441564FD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D90711-9398-4AD1-AF41-4B932602AE4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6E4003-1A55-473F-A871-5953B51212B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C81F80-C068-40F1-94B4-88EA610EA00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AFD757-F766-452B-B62A-7B560CD19AA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624EB3-F504-4F4C-97CE-F5063159396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D69EA3-8D38-4764-8E04-5DA3236D162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870F6E-CEA8-418D-ACAA-2D8F1E72F8B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87379C-B00E-4459-8864-32183D31D12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4D9BFD-89FA-46F3-A577-74557BBBA15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2452C1-DEF9-46B2-8CFD-BCE466918B4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66B0F9-3D8F-4667-9F48-60048ACB37F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4EFEC6-549D-41B0-B28C-1442F20314F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C3D8B1-22EF-4461-A25A-B4C0944097F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6834C1-1A9C-451A-B862-4331B3957C1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5FE2EA-619D-4D00-AC72-4C1ADC6C017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FD56BE-B8BE-4D28-9B51-E444122C05E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DA1540-264F-4D12-A892-04D06527AA2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6DDADE-D296-4D6B-A581-75DD6C4591D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01B788-F4AC-46DC-8B43-58A1591D669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3E8245-29B4-47E7-B75D-F62B35B0278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CA08A8-E3A2-4885-8D08-E1603880B7B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E640A7-823E-46F6-A2D9-F9E82F3A3E9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19FD97-3935-447C-9CF8-BB6F3D0BA5A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B649D3-96B6-4043-86E8-BF899E690D0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9657EC-898B-4254-84C1-1BF7AAF3400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A6788B-2F6D-43A3-BF65-EBFB457029E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C47455-799C-451D-91B4-5EC2B8B6924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CF3D21-9818-4FEE-9CD0-85B489DD0CF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AC5996-B654-4973-A66F-5818989755D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21DA67-D204-4325-B51D-996FCC4E8F1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9C16AB-B54F-459E-9D92-2A67F4ADF92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4ABB06-DB89-4C5B-AD7D-F2849E9361E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620068-1FBC-48F3-ACEE-8D9E1DDBEEC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85B2D6-A552-4A4B-86FE-C1685EADD88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3C8D35-8C9C-4F61-8AF4-9DF917D63BA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4F40CA-7F4E-40D0-B272-C7B29E6E535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6F58BB-18DF-4CC5-B742-1C9580CE834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7D0942-2F55-4787-9ACB-86B71A6A153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759E7B-C05F-40AC-8DE2-CCF7B0AEC18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345425-1AFE-4DBF-A30C-DDBFAAA0415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C7C6FA-A5CF-4FCB-A6B4-7C0CF3E5BB7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A322F5-CD5E-4E17-B2F7-528F4BE31B9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14C4D7-AF91-4EA8-A359-4E0D7240F88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2B37D6-C13C-4FED-8FF4-7A427D0F274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15B9DE-F790-40C8-9236-0E8CCF6599B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3DE712-98DC-4CAE-958F-9EFD35BC24F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2637AA-53C8-4778-BCC6-BFD461BC99C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25916C-A820-4D82-98E6-BA955C85DD1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8F4576-11EE-4643-A4D4-8C796E597B4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94E758-B3EB-4B24-AC0E-27B4D10B4DF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3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18C3F3-5F8A-4529-957F-52A7F32E60E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3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96A2DE-1E90-40A6-9691-51FBB231E96B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3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0CBE93-810A-465F-82BF-0D0BDE6F2F44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3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AB7AA0-5E5F-4E9E-94CD-A3FCE8C570C0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3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28012B-7D66-4228-8038-318855DDE273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3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3BF1E5-0519-4254-B505-FF9C9440DF24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3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2564CE-2515-459E-8A4E-0F02E1DEAAEB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3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FC3E76-6429-4F2F-ABBF-FAEFE742D7CD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3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9A3CAF-20F7-4ECC-A285-4AFE5E5D6BF6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3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55ED5D-1D5A-419F-8278-41007E033706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3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8C4C5F-5BFE-46BE-ACA8-59FF2B6849BE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3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BB22C2-B3FE-409E-AC99-72A6F5E88594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3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EC05C7-8B22-4E67-BF36-4E6F1316FCE0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3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E4489C-48B1-4FD7-9E44-F57726E1E232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4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81531F-A2DE-453E-9161-9246193DD684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4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ED1B10-3105-4D4E-943D-841E5240EF53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4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C93FC8-6534-4B8E-B487-D72233D291C0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4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D9A6AC-D960-401D-8D8A-596CAFF5BEC4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4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D4B63A-9363-494F-ABF8-098CF51F3DAC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4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B1C00B-D75A-47E6-867A-04CD8FE6A36A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4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06F840-4FAF-457F-8EE8-07B0196855E5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4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2B37C2-7912-4C73-8BF3-9CAC0EC69912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4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7492E1-B40F-4835-93A1-409BE34BC657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4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D5FBB4-3AB4-49C6-A714-FB07C9577E33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4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07A49D-6674-4330-AB22-3B5FE4BB3E3E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4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D053B0-20C7-4089-875D-3CB29C442287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4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A6A6B7-F940-4081-811C-247EA2C1CE2F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4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F18AB7-22BF-4293-97CA-37E81CD91702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4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5337C4-F93E-4352-B052-1422FB0F3F53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4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207023-3015-4525-9471-CBC3F628EE7F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4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7D3DB9-1EFE-44F7-B7EA-1D834B7FBF16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4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00F362-8321-4DFC-862B-8E2A9AF7BF06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4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AD9AE1-9E1E-4926-AB88-CD6ADBB1EAA7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4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DC8B5D-0763-448C-81D5-AEFC0E7021C3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4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8C6F73-D346-458B-AC14-E9C24381E483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4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88F925-5BA0-4448-9261-E0DCCDCE8D65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4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0CCBEA-1F68-4BEE-B198-42823562A9F1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4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ED3484-E274-4FFB-BC45-819C21D92C70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4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A48F04-7334-4A20-84E5-B514AF2AA35B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4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0F9CA4-E69A-43B6-8F95-3CB34B31B510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4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27587B-4AAB-456D-9C4E-0BAC711344EE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4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CA2135-F37B-4249-8FF1-85B213DADA99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4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978B6D-86DA-42B3-8AD9-0F394ED711D5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4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149F40-D1BF-491C-AA5C-3B4E1BEE9D29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4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6EC4EB-6215-440A-994A-CD2CBF71638B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4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A44421-DF09-4DF2-9385-55B57E15AE26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4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E68EB4-83B6-4D4A-9439-E2CE928C1CCD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4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3CE4FA-2860-4F88-A97F-ABB2D4B14A2B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4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5E2386-2B40-4128-8577-11A87A6504F7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4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6E32E9-652F-43AD-8BB2-06C48C5E568C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4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31785B-55C7-49C0-803D-1A4820B8BFEC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4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03A384-673B-4A03-AE39-4352AEC32A70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4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ED7AB4-6D90-4266-8B47-7236E083DC6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4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2B1F11-44C9-48B2-83AB-2DD0D2081FC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4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FDA6F6-CB22-44A5-B2EA-8847DC7B839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4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CB5A7E-C971-4CCD-B017-E84669CE765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4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678DD6-FB59-493E-8D60-AAAE7276E37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4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4D3388-FB55-4C8E-BF6A-2BA27CB7E99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4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812610-926A-47EE-9EC1-CF5E84ADCFA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4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536294-1E87-40D6-A450-EB53BA2AC5D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4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E7A5E9-55B5-4F4E-9656-AEA05A5124A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4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28C93A-FBA8-4566-9D76-260A5DF306E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4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473315-226C-43C3-80AC-DF26D3A57CB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4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B9022D-DCEE-48AF-963D-43DAFCC3CAF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4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BFFCE0-832A-477F-BB2D-574E93C16AE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4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847173-B4ED-4FC5-B7D9-C8CD2CCA28E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4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BFF9AF-30DB-4A85-B614-84F7633280E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4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A0372A-0560-47E0-B9BE-EC94FA79905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4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2E1681-B3BB-4FA6-B447-22EE91A2DC3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4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D17F18-C967-4283-B89C-7D24DADBC72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4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226A6B-CAFB-458C-8E4A-3F6A9161C10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4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9E72EF-1BDC-448F-8C12-90E6E381C53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4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3832E9-F124-4122-9CAE-70DC38FC715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4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54E9C0-6BCF-495E-92C3-0A1C3038851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4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19E72D-CDB5-403E-85B5-7DC7FE2BAF3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4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1DF39F-0202-49D0-9A85-636FE454A60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4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F71859-00ED-44C6-8809-78FEB35052C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4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8F5CB8-6F0A-4CE3-BD87-F392EB87E7D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4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572920-489D-419B-98D3-A337202504A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4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B840E3-A94C-4125-A386-CAD01E3581F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4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F4A3D9-0444-46FB-B266-C9C44C47D49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4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362AB7-D513-4F61-AF96-82CF3BF8956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4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856458-7491-4B2F-82C9-DEEDAE80A7B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4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DB6D36-2743-490B-A6D5-26C238AF0CB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4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BA299A-0AAD-4F64-87D6-15FF022D6BD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4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1729B6-E839-46CE-832C-76CF5C32264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4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6EB088-F1D9-4CAD-8811-63F0D094940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4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57E42F-A642-4C19-8ADF-D057CEF73B6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4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81ECC7-D3A5-4E5C-A808-EBB064DBB8C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4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B63944-52F0-454C-98F4-80BACF00752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4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F74F79-15A6-4F1E-B0B1-672A9EE438E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4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786F19-198F-4189-9E77-C0ACDFB7286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4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EB921B-2416-4E78-8ADB-1CCED098AE5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4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9C2BA0-9E88-4450-BCB1-F1ADD780CFA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4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A80594-E233-488D-8C90-CA6509C9124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4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456C01-696D-42CB-8C43-A67EF894F55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4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7D467D-6834-4B1B-B891-41B2EA859AA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4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0A8471-C09E-452A-853C-7BB94BDAE49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4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396657-6470-438A-818C-5BC97D3A78B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4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2EF60C-32FA-418E-88D4-202F6394107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4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675225-016D-4965-8702-D36D69AF35A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4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35DF05-C4B9-40C3-9338-678F9977476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4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EAFB05-F8F0-48B8-B8C0-5FA7D1FA392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4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AE7F21-861F-4335-9564-900685A9101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4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1DC7ED-F286-4C86-AA3B-AC3235454E7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4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940097-802C-4A4E-918F-DAD88E7DB0F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4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8E50CF-C6CE-44BB-965E-DB974F0905D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4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B389A9-3AFD-4D0B-83F6-4E46FC99CDB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4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0D7DFC-894F-4875-BABE-EC92853203B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4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D5FC14-0DDA-46C9-8892-82D2741B12E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4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40EAA8-D948-43E1-9682-ED7DE4388E0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4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F5AA17-37AB-4BB6-80A8-6C78810595A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4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0281B4-74A6-4FDF-8ED3-6602D315BAD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4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746C0F-E2DD-4C46-86E3-6085A81F0E4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62EFF7-5A07-48DA-BD7D-1CF7698AC2E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9F2575-6A77-4FB7-A08B-79ED60E068E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6B30C8-D02C-47EE-BA00-9DAEE1510D8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B3258A-58F3-4B1A-8628-179BCC1DB5F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46A9D1-A8E7-47CB-9D6D-A3B371AA36C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4BA674-4065-4F6C-842E-512C344AF3D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068420-62C1-4729-A629-0054C24399F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70B2FE-2599-4E29-84C1-0FC191A07F4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DD12DD-489F-44FE-BD1A-24C5F6CD02A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4DF88F-2C74-4E85-96A2-9F6E5E17D10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163B1B-A875-457B-9681-882576330CB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BFCCA3-0E3B-486E-9FF2-A294CF064C1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E4597F-4311-43B5-AF96-6826B300626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E57DF6-64B5-4E01-ADF7-846A367D308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A34E68-C21B-4F51-BB8B-E64F43A769F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19F848-28E5-4CAE-93E1-89BCC0AB10A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4B74BE-807E-4DE7-97ED-F674D580925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CB6AB5-50F1-4D3D-BA4D-95B26B2F9A8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7977D2-A0A9-4CC1-A329-32697A88DDA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DD5440-5641-45E7-AEBD-F08DDCA2E72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8C325D-AFE7-45EB-ADC7-4A35ED1E68F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5D220F-B05E-409B-B557-9E7FCA2DC8C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4B332C-FEE0-48FB-9F23-AFC323C6FC9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2B5A7E-B901-4E6D-86A3-9390CF930DA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E36929-9F20-46E5-B735-C2E8946653A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31CE24-4CA1-4F1B-BAA5-C8527B8073F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F556FB-3F8D-49F3-8BEE-9C52AF698D4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E8F99E-4D5E-433B-9AE9-418862A78AE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5FC8F0-0A89-4DEB-B5DA-F514663B1D8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979603-2E68-478C-AA89-F382AB05E4C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69AAD1-6DDC-40A3-9065-AD2BA41DA84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F02BBD-A2C9-430F-BBE7-4597A1810F8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13366A-183B-44C6-A398-0BEA401D3EA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DECCD5-66B5-4FB8-B563-7068BD8192C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1B0190-C344-442C-B9D8-3A4597D4EEA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A0E89A-6C02-4BD6-A23B-F53505B9E51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45043F-7BBC-47CD-A926-C94007619D1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6C7159-B4E2-4E09-B293-7EA884BFCFC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052EA5-5E35-4941-B34F-83613CDBB40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F68577-CEF0-42F0-BB6E-B4F5B8F37ED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5C4935-DB5B-41A5-A115-BAD84553A44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1C4FCA-BCC2-46A8-9BEA-E21B7AB8A93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61787E-1F7F-4DE7-B335-53F4E234A80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B1F2BB-AAEC-4009-8DAD-BA880FAAF52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1664BC-FB20-44E7-8E6B-D687A9B1661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30108A-F844-405B-9878-5347083C482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3584E2-BA70-4CDB-B7D7-6297FB4E137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B6DB98-E1D5-41AF-AEC0-1469EBC46C3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B66472-A6F8-43B1-9210-89DF48075E1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25E6D6-A823-4CBD-8ED5-0BD2237B1F0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663986-5E7A-4285-8C90-0CB6805E225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7AC9DC-7BD0-459C-973C-242F69F14AE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D75881-CD9C-4541-A0F0-08B55DBD6EF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071A2D-3B47-4FE6-A6D0-70BCCC4E941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93E7C8-531A-45B3-855A-BA0BFF23275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249C68-1F69-425C-A037-C9DCCC97938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36E9AD-1C4B-4E6E-9215-78D46E743ED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5E62B4-56AC-43DD-B6A1-575DDA1C1FA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DD46D9-9199-4154-83E3-24F1DAD40E3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A6A1E1-5421-452D-9A11-2FA6828459F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5F9AC8-69B1-45E3-B1E8-C94509B5A7C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229612-8CAC-4050-8053-A217C3EABDA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3F624D-A888-43DD-87FA-1644F43CB52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A69C0A-3152-4007-B7DF-8C080F9A233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9C1D1E-053B-44C7-91C3-C650C9BDCD7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EABB5E-8F5C-4F83-9C22-4E6889D3530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84CA66-D878-4B86-B968-0D3C08010A8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498D3D-9D97-475A-99EB-D05AF898888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6E40FB-0498-42EC-8A70-2B5C79BAD48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989E9C-F6F3-49E3-880F-879342829F3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AE12A9-027F-442A-9AE4-C02CB0D8959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C11AC4-925E-4875-A9BB-1767B35C52C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CECBCA-FD6A-4620-B226-8498C069A2E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A7B3E5-49F1-4C99-AF3E-94C7C6A1A62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83E498-2F2C-45CB-828D-C91EBCCD395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060456-7DFD-4007-92CA-3F7FF5C04EC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E25200-864F-499D-8F90-16F5B9922FA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0C9AA9-4A58-41A7-A509-A3F1190FF4D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4CBCD9-5A9E-4071-93AA-D4E465DE888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EDE37B-2ABA-47E5-BA93-0FBF9F42075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5DCD91-7EDA-401D-A5EC-3436493F7D4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3FA86E-94EB-48BC-B7A7-A219889CE9A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04743E-A8A3-4A56-B17A-F0CE2BF77AA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EB0CBC-BC23-45C0-949D-43C51EB315D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550BFE-B52A-47C0-B91D-777A2B038B6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8766CF-1E40-491B-B787-74929282E0B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DA5462-323C-4844-A994-DF7605C40CC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63FE50-7E38-48EF-8FFD-F16E0C2F6E2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8836E2-1ACB-41CC-B1D8-71725BFDA94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4DFCF9-D107-422A-A33E-D6B73D64CFB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BD1396-78B9-48F2-A854-1F050234398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3C64C7-0712-4AF1-B3C2-C76448EF3DB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A26D17-FB31-4DEC-A4E2-AB7A419AAA5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7AEE50-1BEC-43F7-9B48-EF23E0A60BD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F20B11-A96C-46E1-BB1B-C5C0FCC8283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21A5A1-AEBF-44C9-865F-0F03F7C8FCC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485D42-B54C-4F63-918F-16E3432769F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0047A6-EEBB-45DE-8BE7-D82280E380F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43A101-78CF-421D-A2C2-E940A1F8601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5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CA3AF3-E97E-4CA4-B7A4-A93D1994A52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B42CC4-450A-40CE-8D36-A7CF590B4D5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662522-2A0F-4399-A4D1-4269B5D6039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0FCC53-9187-4556-AAE2-230B3C4FBCC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CC90B4-0B4D-4D59-B968-54694A87FE0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F224C9-6603-4FBC-8EEC-F0219D994B9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50A0CF-1759-498D-A60F-16E538646F3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1D22EC-C3B9-468B-AE0A-D43443D1315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1F094C-039A-4421-8266-60C75DE3D9A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36CBCF-284E-4938-8A8E-41322DA1385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F7E2C9-4786-4350-BBC7-FA021B72DAF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75F003-453C-45C1-9409-35E55A70AF7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B96969-6AA3-478A-B4E8-E86F8A71DC3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96AA28-8696-4DF4-95F8-FD87D49D849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C80147-AE43-429B-9EE0-D0636255884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A596FA-03C7-430E-BDDA-6578BFFEE9A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C4F4C2-60F2-4BA5-98B5-06CF88B53D4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C486AA-6879-45DF-B1FF-1A0C676C846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A49775-0F0C-4B07-9E53-8EE899A5402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42FD2D-1054-41E8-AB49-F506A96B161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58DBF7-90AD-41D4-A775-1AF14B45E1C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90C8F3-91A4-41C6-B908-1077D589C67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CBAA3C-DC6F-49C6-BB9B-6C67FC9C141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1649D6-3B23-4443-91EF-798755205F9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985B05-B25D-4639-B25C-FFD052B6F6D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DDC369-DCB4-45C2-A2E9-75E2974AF89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53B3C4-19F3-4D3E-A0E8-1862379708A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87B385-CE42-492C-83A6-D84FD61B21E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4ACE1A-262D-4A26-BBB8-D668AFF2130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3BC508-0450-4322-86C5-6A77358B966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C86597-CF9D-45F0-A4A7-97320FA33BD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765E4D-4038-4CF7-9651-9F522958DC5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1E9DC6-D60E-4942-B38A-AE61D3DD12D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D1A0D2-4755-4DFD-ADC7-4E5CE870D49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04570C-B3E3-49E0-9569-E53BA58F21D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2D35C9-D88C-4B70-9A96-785DEEA9884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9A8C03-1A59-4CDE-AE25-74122EE8521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B77BB6-EB29-457F-AA0B-2283125A450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9615EE-7D77-447A-B231-B8B629F2EFF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928BA7-133D-4069-AE30-0B753B19D8E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0F124C-D3BD-46A3-BFB7-FEED0412B5F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937B34-884D-4F91-B851-9C4F7E07848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6CE2EA-15D8-4CDF-9A8C-F15CED6FD65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CEDAD2-0F47-4372-A898-77C5F3FE3FA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790107-E5E7-4FFE-AAAA-8872B5FE219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1EE808-396F-47C7-A25A-26700F4E89D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65FF6C-8223-4D25-BF2F-7E12C3B94A8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E73E02-EFEC-4D45-BA57-17E9E4B734A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DD7581-9390-437E-90F5-C3F4355EE9B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98A152-109E-456C-9299-AE1D4ABAAD2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89E164-AD38-461D-ABF8-0FF2ECE3A2A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59E2ED-B452-4CF4-A96B-A1940949DF6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DC094C-C607-429C-9C08-CD842E2BC36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8EB96D-CE35-4B83-901B-846E0BE86C4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F1F2E3-CDA3-45F7-8D10-1E4BD6E0877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A8A3F8-BDA3-4E99-BDF7-BCB12C28356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666CED-5EAE-4BD5-A2E1-89A690A0E3A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4B0FDE-F83B-47CA-8130-9EC7F1D2D1E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887DA6-92C1-4B10-B7B0-298940F27E9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EE92AD-1AA9-4D4A-AFFF-F5C65B01352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C77706-8F59-4C65-A6B6-E67C2AA5F49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C6DF98-135B-4525-85CC-E57B75FCB51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C7E3A3-EA65-4B89-821F-D51B87ED625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098FF5-CEF8-4916-9EDE-BB011911426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E7D4CF-DCDE-45C0-82D1-9CE2B71C0CD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A73CBE-2AA6-4436-A93B-FABEF2EB37C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D29AC8-CE59-43EC-9BC0-5234801E8BB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EDB0B9-5E0D-4C0D-8E3C-75828A59873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7F7FE9-96CC-4728-B1AB-A2D4A443067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3F52A9-9AB2-472C-82C3-2164D9F1E64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320A75-DA17-4904-A9B2-00D28DF0164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9F1397-111E-4B43-A173-279008C18F9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76DB11-1896-4124-91A1-40BDB5E035F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C5B23C-4848-44C7-8FE9-922B1E09D38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832BD4-C79D-4C86-B554-F43BA6D9222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27FD77-9894-4EC9-8CCC-996C6EC5C4E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91BF27-806A-4F62-90AA-63F7CA26680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88048B-7580-44E2-B0D7-B746EC886DB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15CC62-8F32-415F-8ACF-4D7BC8644F5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77BE11-1063-4CBE-B82E-D8FAB299E33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229864-DE2D-4DF9-A404-02FE7D83AD6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BDF87C-CA1A-498F-8F5F-13243DB3557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9F9DC7-5F92-4FF2-BA7D-E33C00FEF15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6C3BB7-5E8A-44A0-AC13-6AB3A554CF5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C05C4E-3FFC-4048-B451-8284092493F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8258C0-03EC-49A7-B819-C8E62FE653A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EA88B3-DC1F-41B7-96C3-3AB9856DA22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B44D75-4B04-4E0E-925F-EA13938C861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E0774D-A447-4233-9560-D5B44B1B269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C5A4B3-14BD-49E9-BF0D-48BC4E19107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1AADFD-143F-47A6-A0AD-4B42743DADC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FA4FD2-5062-4D01-9A69-26DBB078C48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1734C5-45A6-4E7D-9427-AABABEAE44E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3E5C93-AC1B-4450-BF04-05C3BF8C4A0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93BC30-2A24-4639-9472-E6523546B62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B9490E-D194-4125-972A-BB7F6F401F2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C9221B-B6A8-48CD-BA0D-73B96D2DD7E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CE540A-0E0A-454B-83AF-3A5C902907F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FCC510-2AA5-4FCF-9B9D-49165F0A559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CD45C9-0D4E-46E3-99A3-253FB7C627D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1BA400-230A-4648-84F6-36F7E301277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7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4EB410-A53F-4D23-A144-F72642204EB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7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7EE022-92F0-43AF-A9E1-E6295BC5F78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7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7313E1-2F7D-4285-B0FD-7DA8231B9D5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7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0E46EB-6EE2-4EA5-8BF6-6147776A898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7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2E8BC6-B2DD-4BB2-805F-BD3A46312D8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7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B6E974-E3A9-4FD0-A739-6090E41FD22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7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1DDE15-0BB4-45A5-8018-843BCEEEDD8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7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162D60-D099-461B-A4A0-71F95879FFD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7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9E91FA-5202-43C0-B6DA-67A7CE45D02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7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FDC4F4-517B-4241-83D4-BCDE264BEFB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7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6A0F1B-EE39-43C7-A1BE-E4149DDDE1A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7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EAE713-60F7-487C-9D00-84C6DA57768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7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B4E891-8F4F-445D-9C1E-F449C008DEF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7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B31550-DE80-4A80-B830-68BBCD8E433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7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D7AB4B-7428-4C91-B797-FD78F780E2C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7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1EF236-7955-4AC6-96EC-583980068E3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7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368CAC-44AD-4E9E-9FE3-3A5F1E5CEC7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7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0E8439-6802-4CB3-937B-AC9B48B0C0E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7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F2E167-72E9-4D79-9315-AAD70F50FF9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7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F48FBF-BCFC-4AEE-9A9A-47152A7BA20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7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79B617-77E3-4BF3-B5E5-5DC0B48440E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7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1FE1FA-56FC-4592-BEB9-353DE02EEA8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7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5D584D-DF83-4704-8C1A-E3E1D63CFCE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7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7C9C26-C07E-4E97-8000-4D9266D23FD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7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11644F-6568-4B3C-8214-5CB22C68A91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7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7B3999-39B6-4457-89C4-CD5BD4B0B4C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7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0B27E6-D41F-4D16-8AD4-2FDB2B8CCFA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7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8469EE-0B77-4394-BDDA-2980590C6CB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7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8D2750-7FF2-4D16-B4D0-05698E43164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7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459D13-45AE-4B11-A02A-A048D874B6C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7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066883-584C-4E0B-A1A4-2ED1E64F096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7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357202-BCF2-4C27-BCB1-0D35C48D572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741FCE-67C5-4289-A6B0-DA7F35E82D8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FC7CE9-8EC7-4D97-8B8C-03472A3E3EF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F76BA5-6599-4FD1-95E2-12DC801F3DF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BC766C-8302-40F0-9896-47017413C36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831884-DB0D-4887-80C3-40E67E15194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20AAD0-F19D-45F1-9C05-B19320D7AD0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F29DC5-EF85-4B47-AA3F-FE5ACE0B103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DFE04E-FFE3-42B8-A14B-980807289C3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D4F5A5-2FFC-44B5-9D9C-DE3955F2759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6F0B4B-EA0E-4A2D-98EC-A2177CE66D7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B39906-5A27-430B-89F5-8BFB9B10F32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4FC23E-C604-4C81-8965-D8FA6E96A2C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6A5CB0-DE05-4EF5-8431-BB8593667A8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C73685-51C4-44DD-B64D-C9B8BE6A44F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37DF6C-7BB6-446C-A143-88FCE649118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76464D-5238-4422-8309-399A6E034F1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7226B6-3DCE-417C-87AB-20B5E97C3FA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DE595A-4BBA-42E6-B7F0-76A9631F3A6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1E00BF-4CF9-4342-AD86-9458AA2B538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9C4835-7B11-4064-AA19-A0E6A93FA13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42C1F8-4B0A-49BF-871D-996B9C12830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4C88B9-5B3D-45C7-9535-90C79CDF6F6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FDB310-4744-4823-A77D-9F0EE2746DD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2C8D3D-2C44-47CC-A1EC-C5EA212E5E3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0F466E-C384-4C7E-B68F-EB910008CF9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B3CF86-3DAA-4368-9074-2AF8278D665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ACB10B-7647-43B7-B539-87634F533E8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5B8AAA-AAA5-492B-B1F6-B623800588C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DCD07B-FA6C-463B-9E6F-3B9FBBD8AEB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8456D1-D062-450B-B93E-DAB3E3B3CD7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CAD88D-F724-4D96-B180-2E906429F9B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18C7F7-F39C-437F-8D72-C023B962DA7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8BD825-9E55-4A96-A20D-F6F92AFEA30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732DD5-E4CA-4878-9A30-CA27A21CB7A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C3C793-6780-4667-8BDB-7ABE0E2A959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A58DF6-7388-493B-BCB9-E35BCEC632E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EA89D3-A128-498D-A629-CE1F8229DFA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0D817D-713D-4A2D-A2F5-9B1C69C773F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F477E6-8E27-4E06-8B31-E0354CDC65C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6DABB2-EE95-4A9E-B3D0-A59273E39A3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347C49-3FE5-41CD-BF3B-0D380D1BBFB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0569F7-4CBD-474A-B5B1-E147153EA4C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EDCD03-F540-4EFD-90BE-4B68F49F842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824D52-7980-4662-94C1-D544CC414A5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6F3647-7ED0-45F5-B9DF-8212CB452C5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455F96-4856-4409-A358-186300F0EA0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891E23-3B7F-4A34-B388-EF18D7C959C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74D9AA-CA8A-43F2-9E80-04903204F33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DB29F7-526A-4ABC-AD35-1102094316A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C6851A-F089-4DEF-BB78-FCC688E7EE7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8A8345-82EC-4668-9076-5CF7FC1F07E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F53DDB-378A-4C10-A221-3C19465A1AA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8C1BFD-D7A7-4133-BEF5-01B746A2955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8761FB-869D-40F4-8D82-C095148F4E6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47384E-2DB2-48DA-94A0-DEBC7C9667C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D9F5C7-11FF-467F-A59A-456CCC78A71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A592A0-D998-4D06-BD02-33012C1767D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E75147-396F-4BE2-9F07-442EE055F16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6B347F-DDAB-4280-ADBA-420DE8C6FBF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DD6F33-D870-44D4-8F59-D478C7A570E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F17D17-99C9-4989-AE66-E936993025E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7BE3D5-6188-4BB2-A582-FA73E67B93C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B46325-0C0F-48A9-875F-4F579358E56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2968F0-D912-4FD0-8B24-DEC166CC77C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8B36EC-1BE2-4D69-932A-C46ED40B68A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792F98-7A90-425C-9E02-0E8D0E55C55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64374A-2CFA-4C27-97D1-7C3376D8BB0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374F9C-2892-4689-BE2F-B7CC0F9DF17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7FEC96-CBC6-4EFA-AB0F-91C2B611162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96E647-5444-49B9-A743-341F61AFF5A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FC68C6-5374-4D35-880E-C87116DB276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772E03-3EEE-4487-9DBE-128C8DABE94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1AE25E-A73F-4F47-8ABB-3276FBC8045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D37433-981C-4B82-AAD4-07354E3C9F1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BEC8B5-2B0E-4CA5-AC48-D00837C5BA8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00EB4E-5600-4325-A908-09DF7FF4236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155833-ACE7-4769-A71E-4FCD9ABA13A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BE4253-29D4-49CD-B0BB-796C59F52AB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F05533-3913-454E-BEA5-9053C2311D8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C42922-3009-4ABD-AE9B-D46827B9DD2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434ACE-C146-4C7D-B408-F41659D807B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B71925-FAB1-42EA-9D61-8DE0B495DB4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60C16A-B597-4DAF-A41E-1F57C07E0D5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480C32-6EDA-4EA6-A52C-8FA78E8077C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C18ADF-B577-4B24-99CE-6C9BD9885D4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DB5074-8648-4261-84F5-E23BB71181E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656AE4-3C44-48A9-BF87-36DDD8A93E9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0075B2-50B9-489B-ABAD-E50C9B64EE6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7BBB6F-0D2A-43A7-B969-BFAC284B5FF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492EB0-FB4A-440A-949F-6461A5CBAC2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DE2938-EC76-46D6-8C56-FD88C31578E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34C770-920A-4F4D-B31F-EF2E56A174B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D0CDF4-ABDB-4FAA-AAAC-8C4A243B669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08E854-A7C4-45AA-861C-D693E1E8E74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4A5C08-B6BC-4ECD-A798-414F94552E1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0099AA-CBA4-4702-A0CF-5AAD866E8A8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565CF4-A5A6-4EEA-BA87-3E201A9F005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676178-012B-480E-85BE-DBD639F3904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47686E-F881-4D3A-939D-D592DAE5FA1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ACF860-467E-4D2E-80E4-ABC13790588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C00808-D199-4B90-A60F-6AB23C87143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998607-C7E7-449B-AED3-5CC32FB7B40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4E5AF9-0231-4376-B4F7-3206EE7E826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ECB3BE-A299-4B04-9307-513839AB849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F892B0-0B39-49DF-AF17-7F609D74B89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5DC469-2E11-49DD-839F-70A74303846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1D7D24-0D88-4D0B-B28C-1E31D9207E4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349A55-5ABF-4C34-AFDA-B4A12D09CB9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425910-B223-411F-8ABA-769ED77BA4C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44B70D-DF3D-4602-93C5-CE91AEB57B5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D339A6-E01F-418A-B7B0-DE830E99FE4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71DF5D-3574-4EFC-AFEE-B2713A2D43C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274636-4EBD-4473-9E9B-E0C6E400A89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51DAC6-DB65-452B-9163-838515F554F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4CCF71-1812-4474-9D0D-946D1FB6A9C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EE6D29-1A86-4559-88C1-FF86A22F8C1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35D067-C41D-4C97-84CB-5D932FBF4D8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B7FFC9-2DDD-4D1D-B4FE-B6D30DF8AC8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286458-2497-4987-ABF2-25A8859E419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B84A70-0123-48DA-8C79-4FC100941B3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96D003-EA18-4E12-B314-6A186B00EEB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04434E-B865-4302-8AFB-4A4EC515057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E2A56B-F247-4579-8F22-3BDE026A846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4DB1CB-9129-402C-9ACA-28B15F2A2B7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0E720C-F1DF-4053-8151-2DC948416C6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5624F7-EAFD-48ED-9AC5-BAC742C19FA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309D9A-8B1F-4BC5-BE94-F78AD6F0D5C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F87D4C-27F4-4539-B24E-950C2F93A1E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92AE36-1964-4421-A1F8-1139999E710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27CB11-2425-4BAA-B268-971BD9EFED0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44321F-C0D6-4639-B800-D309F761781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B0EE16-2D00-4CA4-ABB9-C817404C44B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A0245D-91D0-40EF-9F84-95861C4E109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3F226E-235D-4E1F-992E-E7CB5C733C7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89F01A-7DBE-4F0D-8280-0C19283FCF0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E0BA35-89A6-42EF-93DE-C4B63BBCBEB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FC97F2-A430-4A90-861A-AA6DAB77092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92E2C5-2172-44CD-8F1E-41FC1CF8AB2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96B088-5B66-4DCC-AFED-7EF1E6F0A85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C71797-8F83-468F-8014-2B761C6C855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60A286-13CE-4B33-8964-C1CD2F187CA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8E2B59-3C64-493D-9090-17D0935E386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4C0076-1E66-4368-A305-965C628F333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DFBD16-F843-427A-A776-6CA8BA0CE4A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0BC8D3-9853-49A0-98C7-653B40525B9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8D95DF-0ABC-4B05-98C7-D113141B76B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3CE335-B407-4EE4-B8B8-67C3848232A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845EE2-9505-4C06-8C99-99BE66049E0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F37E21-D56C-4665-A358-C5E2F5E23D1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2172A0-4E7C-46D5-A3BB-A293551E57C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6EC38C-51C1-43E2-A3C6-F0B028F99A3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B02CD4-3BD9-43FA-A76F-7E71944BF6B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B63AD3-6DFD-4B0B-9D39-770A8FD19F5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3938D0-FEC4-4B49-A9F2-7BD7A5E97FC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4E0DA1-D770-4FDC-BA43-C584EA2FD3A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966E1B-E4A0-4FF3-9BAF-B3566357824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74B1E5-C332-4A35-8030-0AE75B62386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83B722-232E-4519-A4F6-3F9EB1F2E1C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425D12-5D0B-4E43-95EA-39071C87681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3BCA48-ECC3-4153-8F2D-8D5F637BE27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FD9C35-F093-43E5-B6CE-032273A33E2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B7055C-FCD3-4256-83C4-FD94E34F307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32B17F-C443-433E-A5DC-C1790D52357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22B951-2F24-4A77-95A4-29F9A05B631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2546BD-E111-46EB-BBC7-37EE60D94AC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C702CC-8B8E-46C1-8C99-681E4A783BD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FE5999-ABA7-4A1E-9A6B-E1AFFB73194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8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899336-0E21-4560-A072-2B0519FD2B9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B655C9-6CF2-4557-AD8F-7DABC6AEE82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03E32C-3FA4-4668-887B-EA4B209FF9A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31CA00-5D2E-41CB-B2AE-2EF7CA5DF88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7577AC-884D-4359-8716-789607E3E3B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F76241-7151-43DB-8B74-B3A51F7E356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DC1A11-C697-4BCB-8478-0B0488BDECF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B8E71B-8AA3-4463-BBBB-F8B8AC91F68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CECE8E-96AA-4898-A5E2-0FFC0963537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5F2304-CD8B-43B5-90CE-E7F998E9966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0373A4-364D-4262-BAB8-A378D38637A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30AFF0-4471-44A0-A806-87D40F88DBE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BDFA1D-F35E-426C-B2AF-8041B8B3A81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98E295-83A7-4654-AECD-68684EC1A8C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1DD19F-F740-44D6-8D20-D091143129F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F55C76-308F-4937-9802-09FE8044A99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4DBE98-CC1F-410F-9328-D62DA798847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565CAC-5817-4D18-9B88-7484CD38595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375AFB-AB06-4655-B5FD-872F2B0DB4E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046A96-BE55-4270-AED4-9ABA3194B65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EF4726-D16F-4902-9A80-6BBFF994C3C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9C8FB2-72DC-4584-A230-917AAD838CE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59E707-927C-4F76-A4CC-6E77311DAC7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747517-5DE7-47A4-BC2E-C6444D3119A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3B369C-6907-44B1-9A6B-91CA43D318B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C9EC84-5DFA-489F-A045-41FC68B9DA7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62058E-D506-49C5-BCDE-2EDBE48FB97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222D16-905C-4E9A-822A-06D729A21FD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DE9DBF-C897-4F6E-8ED4-8C7725A856B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2235A9-46B8-46FF-8EFE-1FCF065D05C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6C9978-5591-48DA-87FD-1AF94DABBDF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0D9A9C-C9CB-480C-A9A7-D4AF4AF4C03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60D23B-39FD-4885-8AE1-D497C9383D5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00D5FD-B177-4F91-8B8F-1BB547A5ED9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A7673F-0D85-46B8-B899-FDB8E8D68E0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DDE879-FA1B-451B-9927-EC3C22072B4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FB9100-896B-498D-864C-268E22D823B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4E118C-0AF6-4DB5-BB31-384DB0EF11F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3093BA-CD4D-4627-B362-C25DCA03EB0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921225-82E8-4F76-83CA-ADEFD408982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52019F-7FE8-495E-82DB-428CB9A6C52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749647-04AB-4998-83BC-8824BB0D8C2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064BC8-DDD7-4746-BC11-B9AFC315174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3993D2-331E-4646-AE8A-54E1BF8F5DC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E93DB2-C42F-4F39-AB5D-48A9DDA6BDC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16C7E5-2A48-42CA-AAF4-F40A63B4669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481BC9-F8F3-44E4-A21C-637B75FF615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8B3C9D-71AE-48B8-816F-790536EA14F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AD3A8F-CDB3-49F0-A6AB-81AF888B99F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8B8826-E3ED-4B8D-A6FC-F400BEAA4DE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993939-0AB9-48C0-98C7-23234B6B32F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D36EBE-3A17-4C9D-9663-5A7988029FC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22A093-AFFC-4CE7-991F-742DDDBC82C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0D0BDF-1A2A-4ECC-A2AD-81AF4503835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D7C840-5E53-442A-990C-CDFF55A8DF3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C8E1D6-0043-4700-B287-403530E5DEE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159D8F-879C-4E74-AEEA-951D6A35D1F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7873D2-181D-4857-9FC8-215CAE3698A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FF3724-D7B6-4607-AA9C-07FEED7D762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7EF037-BC1C-4495-8578-9378B2C47D7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48B0C5-6252-4788-A5DA-CB40BF6DAE6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C53BD1-965C-4414-9205-DBAEFD23666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36A64F-B9D1-4F6B-81FB-0E6ADF53BB1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DBA3B9-F1BE-4DFD-A47C-9897CA61745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1F6CF8-6B92-433C-8D74-037DE32AD45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FCCDD0-2450-4E32-B3FE-0F98A1250F2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AE7E47-E311-45B0-A950-4B8318E1995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DD3B76-89C1-4D01-A74C-F5EB5720B57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F556EC-87D0-43CB-9E48-C6A3FCEC6FE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5E5E5A-3966-4B83-BAF9-E78E1B47D61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EB002F-D0FA-42C7-A8FB-F049C71FA36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8500B5-CDC1-4C16-A5D5-22C1468A857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8BC907-4334-43CE-BD5C-97D678CEED8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8A7377-7960-4244-AC1C-27097AB2CBC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0CBD1C-BD9B-4E56-9A62-36306244A85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687A99-01E5-484A-8C6F-45311025BD7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3F96D6-A563-42F9-A354-F9C7C64492E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85D28C-1C44-466D-AEDB-1238B5B21C1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5844C6-7891-4C0A-89A8-0DAA92D40BA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8CAEE8-BD1F-4183-A5AF-F2DC92217E3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44FEB7-0501-416C-B7BD-2458B7BEA00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F2CF58-E5E9-42E1-A0A4-A694188A956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9D9350-5A6A-433B-9239-CDF61298A60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998417-7403-46C8-A41E-8E16CCAE7C9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60A61F-9115-440F-B6C4-B36329273E4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08888E-9C2F-46F0-A08C-0DAD0180683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6317F9-A83F-413E-AD37-EEAE8D942C0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48759D-389C-4ACD-9888-943FF82929C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860C09-1743-4738-A40E-FA3BB3DB2C5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B2A7F9-909F-405B-8344-66E72550C88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8D9EE3-2548-4C0A-ACF3-2BC6F1AF4DE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907E2B-D32F-45A7-B262-927B0A48713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287B8F-0747-4D77-BE25-916B332B23C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88D1F1-0FD4-4BAA-8AC9-27B091045DA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F24B46-486D-4B28-A25E-9DF546930D2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D1F79E-9EEA-4B6B-A46C-FF443E27DDB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80616F-50A5-439E-8C23-012858CC6AB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8D77D4-77CC-496E-9BE4-12E2666CD44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48CD3F-F84C-4E0D-8C79-6B03C421DD0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CC4D71-1C9E-42B4-85B1-1984A734C3E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9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762493-095A-4E42-8E16-2AE25924694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A82804-D76B-45CC-958D-0EC63F6D724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F2AB23-B098-4480-9706-22D089C5B88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2119E3-1BF3-40F2-BA14-03E857DC996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DECC9C-78B3-4821-92C0-2D461CDDD08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8FFA56-1E8D-423C-A845-2BA974B9305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E4518A-1BF1-4A02-B042-B3B077FBA95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4897FA-8D57-4954-98D8-D55C9864AB4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42FF4D-C6B9-48D7-8467-75DBB244693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BECDD8-B028-4A31-8AF8-EEEB6738D7C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5841C7-ED37-4A1F-B558-0DA399C140F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9BD8B3-5CEC-489A-A4DC-86D95A9EDA0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0604A2-4F22-48BC-98F6-CBAF40F76BB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C1176B-9A98-48F4-8F59-2DD0B7AC27A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D21065-0C7F-466B-BD73-FB5DC6EC4A0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C60886-0526-4D15-83AE-C8BA58547A2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AC6C9F-F3E3-4033-9DE2-9CEC61DC3B6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2C8FEF-44CC-4CBB-9B66-C58D9B4C09A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E26E53-04D9-4F75-BC36-EAEE0434A19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6BC593-927F-467B-81DA-15FE4C82E00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606B3A-9D70-4B68-95EA-67FC15CB924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CC01E2-D445-4533-A2DA-68C9DF53464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F2CC8D-B370-4D9B-AB58-842FF0254A7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84472B-205C-4A29-80C7-81892C0D4B0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9AC4A8-A07C-405F-A96B-92883833F6D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DA5292-6E65-42C1-95AF-9BD903D225F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1BE703-7E71-4CE9-9541-D879ACFE475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F5CA48-DCAE-4AC1-80E1-187A6F4DF48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99E8FE-B9A1-4373-840A-06FE470F0D5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1F7976-F9DF-4C6D-A4A5-3E6C3227F4A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D0ABD5-838D-4558-83A0-8431EF8ACDF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34A5BC-C902-48B8-B76A-29109FBB460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E1DD2E-30AC-4775-96E9-5E255C54612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E5A7A8-135A-4162-AF83-2C5C0123F03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0A0A45-50A3-4D23-8F57-8BDF11222A8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43D853-079E-4B3D-B032-1187DD0AC67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BB9757-A9AB-49C5-B534-BC71C45E0AD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12CBEF-6E0E-4BDD-B4B3-7DBE1935EF1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67B7D5-AB18-4D48-AFDE-9D31BE1B6BA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45CE99-2665-44DE-B0F6-96EF53E73A1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BC1E87-107B-4785-A808-41389747BD1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A17F2A-C9CE-42C1-B87C-09840552D84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605B8E-F7E0-4051-8240-74D8CF47902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BF4207-DE61-40DC-A5A5-D8B3B9753C5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CC650D-4925-4E14-8565-A3590C78C1F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5FAAD0-6ADF-4981-9990-79B41DF5362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E8DCB6-F1AA-4C15-A204-1F02A68286D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92839C-361B-4B6E-A838-362D8F4197A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571E41-FDD1-4520-82C1-D59D248AB67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DB200C-7C22-488F-B335-56A0A5CABD4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E6519A-8CA0-49E0-A645-BC1F3ED82D6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9500B2-17FA-4664-8831-93BF0AB2B04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3988D0-FF9E-4BED-804A-A554E17F3AC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E9A7A9-FC6B-4BDB-9D00-86DA6D9D14B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DA1831-B978-492D-A48E-397FF031C6F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FA8F20-EC9E-4F63-8FC9-B36F069118C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6A6CB0-0F16-4501-BBE6-48C606CB113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2F1428-C073-4631-BC80-3EFDD66D514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6A9FB4-D013-4678-9B95-6B59BFA144D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E8D664-E7E9-4972-B5C6-5850B9006A1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2D1165-DF8E-483E-B968-E98EDEE4CC5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F38B5D-93DE-45C9-970B-9E42DD4D41F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061E45-FC03-4898-B76A-F03221335E5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F8EBB7-55ED-4DFA-8ED4-31D6BA39A39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2C246F-1B05-468E-A3CE-1C7D9EC6DEE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069C30-5B23-47AB-A61A-E1B32E97ECE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FE05C1-BCF8-4C93-9A10-A3F1EB8FF37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3B1F3A-8053-4FAA-9DD8-7786017EF4C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128D7E-D7D3-4E72-96FE-195DF8B407C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9CDD14-DF2B-4850-A256-DAEB5376295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952E8B-AB00-4106-8F30-5508B830CD5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C51F3C-5BFE-477C-A80E-FDDB2BE52DC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F58153-2F99-4A24-B309-FC09770A251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8AAC7D-3B5A-4CC7-9031-11D35456500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0DE234-C982-4CE2-98C9-34DB0784B49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15057E-6728-41EB-9666-8D27A57E906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1E6531-6C7C-4A41-8778-4421E24A506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B1D8B9-746D-4C31-B1B7-8EC63CAAAFE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89C947-78C9-4AFF-B3D0-B2D04BC8266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83A928-9CE7-4CF2-B020-1FD701D62B9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F4DEF2-683F-49DA-9EAC-6F5384FBB24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F85124-6420-4EC5-9E3A-03931657F7C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D59EF5-53D6-4FD9-997E-11FA74E5A27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F3D0A8-AB7D-4727-9062-98B522FBB47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84A2A5-EEEF-4E02-8482-DAF9434E080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C546C7-B033-4EBC-B52B-3E13EEDE47C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28BF42-CD12-4A3E-A0C9-9017A0D4023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209B98-748C-4217-AEA3-161F488E00E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3CB462-F46D-4EC3-AFD3-41A6EE56B95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6FF3C0-FF83-4FD5-95B1-9C8B846F403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A6B819-23E0-477B-86E3-4B62C047946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A63D42-37D5-44F0-B9EE-3485CC63AAF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25C3F9-ACB3-4C09-84E4-0AE5C886705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A75EA9-4880-4C9C-AB8E-3E0E94965E9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DE4D23-4A4F-49BB-8947-F9E1465E286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63E6F5-C550-4A8E-AE5F-C544E0B4CE4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91B521-4187-4748-8ED1-0FAE8E864C1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3D5F6A-3295-4EDF-BC1E-4988D1082E3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1859E4-8EB6-4062-A0C5-B33BF58A074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EC1FF3-0DFD-4BF5-8E28-37742F81BCE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0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F7899C-3EDF-4883-A755-BF74D4C1B46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5CB5C1-1078-4F7B-B149-CB3927E8E96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83254C-7BB2-4333-8559-24828F8D558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EF18A1-C815-4457-A539-6E47845C2BD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4E1135-D3CB-496B-97F7-433E6B96F5D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BAFDAB-DD10-4A93-A2BF-610A35E286D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4C82F0-60FB-4AA3-A00C-BC7E8259138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509C55-31BE-4BDE-A14C-12C3CE025BD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1F3EEE-7EE7-4D69-8C92-D3AF736E69E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9BA28A-D333-440C-94BF-40576DEE51E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0ED5C1-B529-4426-AFFC-B3E4F07AEEF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C5A2A9-B363-433D-A685-9ADEAA93532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21711C-B73C-4894-A1AD-646EDA3E260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BD21A8-27A0-45B4-AD4B-2E3174C5118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927DB8-BFA3-4DFA-8AFB-FCA6AD3E2B2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71E47B-F3E5-4F41-90F3-55AA9E2A967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37FDAB-A684-4D57-AA9C-3EDA3CE3B7E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838A3C-C220-46DB-B0E6-E97151FE4AC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D2F61F-DB46-4078-AB96-2F239F33469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FB6136-65F0-49E0-B6C2-A0E7F87634D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F3837C-2F3D-4965-AFC0-C742D42C54F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D08CFC-8087-45BF-B882-EABFFC26EDD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67D7AD-9687-442E-BC23-F220AD57035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F5FA5A-3E81-4DA3-AA22-325A748E1D8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E6CA1A-8ECC-4434-8525-A95C72E3E20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85899B-BB0A-42E3-A3F5-E4A3B676053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24995D-BD76-4417-AAC8-3B3B420E4A8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EEF27A-2AF5-4DBB-A1BA-D1FADE00729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5889EB-77D5-4E5C-9C96-B3BCA6008A9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9D0E35-93B9-4070-B332-F3300CA1520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0C56EA-0BD9-48FD-A48D-A014FA12EE9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E9020E-AD71-4689-9FDE-771074A30C9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437A33-FB26-4F77-9DB2-D15FCBD242C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A5D67C-DCD1-4B05-BC7F-77DF66B99DB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59CE8A-71F8-4D1F-B75B-EEFB2A0FF77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7AB76A-509C-482F-9385-0EFDD394782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6E0E66-445A-4F50-BD14-5381D30A069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4B908C-2E96-404E-9B75-7AC0DCA314A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BD8B85-8936-4645-9197-EEAE553CE6B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32DDAC-A3DB-4097-8033-0A73B1EEB2B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8F371C-6D2C-4DFE-BA61-A0F4EB3A203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AD1D16-C8B4-4431-BDF9-0A52E126AD0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A274B0-D9D8-4B0F-9EF6-810B49213EF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854224-D8DE-43DA-B5D1-9321E0D536B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53A40D-1E0D-437A-A0CC-94ACC8C89B3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D89A71-49F3-46C4-BA23-0EC9464B3D9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687000-B509-4D4E-ADC7-4766A2BEE2E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D357D8-357E-4900-A372-B5F986EDCFF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08A5C3-802B-446D-803C-44E449A6A95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8B005A-6781-449A-8C7E-F2A92992C4A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DCA5D1-769F-4122-B4F0-4E738DD8B80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CDDA57-2E08-4535-A254-B3BE63D78AC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7EC972-8E14-4507-9CEF-285D08A17B7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AB29D2-3CE5-4031-BCF6-911CD3A3FDD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455EE2-6B78-4309-88D3-3357C57688E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653FBA-6550-49A0-AD51-6EC0D49ABCF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CB036D-46ED-4839-8807-38C84A40D9A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49B946-43B9-4495-9DE9-A75F77ADBB7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C3895B-4849-45CA-8876-E99C8AEC793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950C22-57E1-4C55-8C7D-7FB326D3C9C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A27789-7955-4B65-A520-6F747697309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D0472E-FF0A-4271-BFFB-750C23CC0F5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3DDE4E-5681-42E8-9B6A-02D9E1D7C4A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1C219D-4140-4B81-86E9-76CBE2BB3B7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938A0A-583A-47C7-8EF8-6994AE8074D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72763D-8BDC-404E-9430-E8E5A36ACF7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9CF478-A37D-487C-95DB-363EE7A2F36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A04410-5263-4CBF-B16B-7E713E01F8C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852975-BB74-4197-8A34-20024EFF876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1E8C61-3522-4415-863F-5F6B01296F2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21DF23-2B55-43B0-B0E0-8EC43420B02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2E3558-1764-4DD6-A547-1E6F1DE7674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77DE92-6FCD-405F-BDF4-83B2812A4B1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A2E5CB-64E1-4C02-9585-606CF6F6524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F12540-7734-41E7-A1CF-D3BF87F37B9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94A3F0-5DB4-446A-8F9C-01DAB1CF74B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B8A249-5397-4D1B-B34E-5B49DA37036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04CAF3-4E03-4049-8033-78ABEF42C0F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EE8859-C1CF-45AD-8C73-E68130BF19B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D34BAA-BE0B-428E-800E-85A660CA5B5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A6DABD-CD06-4FCC-9339-83700AAE1F4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34606C-3968-4F84-88E3-42D1D2EB05D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B25DFE-B315-4626-A60D-258DA62AE6F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9C2A4A-8D41-4BB5-82C8-80E48428E79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7C1780-68CF-4DF1-89E9-05801BE7E63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FE7AF3-E64F-43BC-9B54-22E7FE79F0E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F0DD6C-EAA5-471A-A7E4-9D394014FF3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4D4B7A-ECF7-4378-8C85-A45D91A83AD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438CCE-A4CD-4829-900F-B3A65C7F020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FB7A23-218F-40DA-920A-F15677AD157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8599E3-B2EA-49DA-9B95-AAC32E5C180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C3A0F4-A733-4280-80BA-9A8B0A40156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092AE0-23EE-47A9-B140-2B96C7CDA5F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8D72BB-7A93-4796-A029-05806B36D84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A6C8B2-6133-4398-AE3F-131696817C9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B6CC07-63C4-49F2-BD4A-1FE33054F9B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E15FD8-589A-4855-8AAB-C3D039D89E9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830881-93D2-4E8A-902A-34027D9A938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C63773-6D97-463A-BFA9-70C59298F04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5DDD6E-C354-4B8B-986E-4E5A0582846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1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FA6CE9-9988-4FA3-8E6B-57B621DAEBF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192BB6-8F9C-4308-A2EE-9F10CDF2547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EDAF34-64E6-40F7-B137-430D59ACD32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DCD3D6-DAF0-4AFD-B77E-5533750871B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9F9489-31E2-4E21-AC8B-22DC1C84BE8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09B252-A371-4333-A0C1-5F7A4B1BF78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421F46-DD68-4C18-9256-83765856946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D56F18-74D6-42DA-9E0F-5856BEF33F9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942C34-06B0-4884-AC7D-3D2E6715992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3DA0D0-E109-4165-B4CB-330D26337B3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A21DB0-2376-4ED7-923E-A9ACF635CFA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8DB5A0-540B-46C9-B45F-4F0137C1E26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376C37-4E7B-4715-9A9A-03B29A84197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3FCA5B-EA41-47D9-8A47-4E9DB59EEA8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BB7833-4A42-454B-B01E-E6CD7B06832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056A1E-1085-42B5-B4FC-2AEDB373152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843630-AD69-4B05-A8B6-9AA4736C03D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98B15E-916A-4B67-923F-655F3D5C43A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C65B7B-0FB8-4256-AC84-27A6327C7DA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BA8979-0B0C-44FF-A6D3-79CD43A0B2D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5DDAB9-076B-4297-AEAB-C9E08B70C2F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F81AEE-A375-4620-AD68-9DFB07E0DDC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7201DB-DA4B-4303-8122-8D07BB93E52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39D065-E710-46EB-9DCE-4E3DF872FD3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2709B2-0792-4DAB-AD57-EB4635E1FF7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B48039-A498-4B3E-B9EC-8C27D4445E7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2F80C7-571A-498D-ADC1-F3E8F16F732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162151-65CC-44D1-85BE-54CD92EF456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5E3494-E524-4E50-900C-952440FFDCF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B11F71-0547-4550-B4E8-07B2CBA07A5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90F5D3-E35E-4B1C-A991-50F29AE20DF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623734-0E25-4411-9A26-C23D3FD36AF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FAE4B4-5206-4F21-913A-5161209BDC3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B63CC5-7FCD-4D29-AC80-B0399F57F38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271952-BD8E-4541-A94E-05C221C80ED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40016F-7237-477B-A742-AB9F03CB031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ABCEE8-8CD4-49A2-9766-0D26657E7A8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636B65-5EFD-4094-BA7F-F95B7E37021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B9F8F8-5AF3-4CF2-8B34-C5E178185D6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675F9B-5802-4CD8-AF5E-FC29A82FA59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283B9F-5760-44E5-851A-3B1E4FF28A2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411083-914C-47BE-835E-8E3760A299D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FDF10D-AEB1-4A47-A62C-BFB41CB774A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945CD5-25DD-4C8F-B49A-1487B3AA2F7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08071B-84F6-4794-BCB1-C38A867735B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6EC5CB-FD02-48CB-8D74-63D329D1A0E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01A9AD-B762-49A5-8889-C8733B6BB37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804F5B-FC2A-4DA9-A843-0C3FA7B4D55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FB44F4-361F-4369-A5D6-24E23AE6B7A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DB185D-638F-4087-A3B5-382CFFF208E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DE5C44-D546-47F0-9620-765B5EB07AA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F44450-FE3A-4E92-8E56-945BBF66DA8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A1FDDE-9EF1-42C0-B36A-E20238A9A56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0DF4B5-FE5B-4E81-B4F6-CD31C65850C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92BE60-56AE-493C-8A47-F3F9497422A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9D07C3-6204-40DC-A248-631B90960AC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3FB0DD-55BD-4B13-B835-DF31E6C15DF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989498-E81A-40F6-B438-7D03E3D87DA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D5958A-DFCE-47F5-8B32-62159D41749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C85F3B-AB90-4C36-8570-DCE13688299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2D8E91-FB53-4C44-A227-CA48AAA3437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F7C2BE-0FE0-4843-885C-29787516827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BAC8C3-4056-4141-AB0F-EA1A80EC53D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777600-6452-4770-8CF3-2CFE5E14CF6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4B5CA1-E346-4890-8DDB-384EBA4BB70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9436DA-8A4C-499E-91A9-87C19C839F9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D36D1D-A5D7-4FF6-8849-7281CD7F703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6EDB10-9AF5-4177-ABF2-E2D5CEBA3AF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D261A6-5AAF-4F0C-AA46-F7594C05042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CF3969-0F07-419B-B368-C3D93E5E8E1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F3AE80-9043-4038-B05C-C8AFF6D6004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6172BA-88AC-423B-9277-EEB9E34B334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07C559-5699-46D8-9E14-CCAA2A1C319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170EAD-1D5F-4548-94B8-2FEA4D331C7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094822-BE90-4AAC-AFA3-EAD5B3FF234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C601F2-6C98-4367-AAF2-5355DB92BE8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8E8F6B-DD80-4662-BD0D-F5D45D7D462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24907A-22BB-4C91-8E93-CEEE57C283F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946224-5253-45ED-B6B9-68402B65083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8E4A2B-5559-447F-89E1-B886196052F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FF569E-8BDF-436E-95F8-28A86B9B8EB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EFA76F-1268-419C-B691-03C656FEBC5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184021-EF26-437D-B012-C1B161F1114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66CB0D-9474-408F-9FB7-FA6F1FC9D55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D0DA76-F3B6-43A5-B8B1-8262BED06BA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EBA2E1-C37F-4329-824A-B77BA6D7833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50D94F-5B35-455A-9A3A-B4CE563C2A6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A66AF7-CBA3-4172-9505-A5979223C0E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215D88-AD48-46B3-9ABB-B4E42FA93FB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CFAE2D-4880-4C07-977A-EDFFCEFA10B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AB8D05-4B23-4463-A746-E2A09AD95D4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47352E-0A99-46A1-8777-1B8584BF41F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75CF62-DEC0-40AA-AE32-9DFEC83147A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FB3F7E-8D4F-471F-B539-EE9BB20C716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6D002E-2A82-45A0-97AC-3AA7E671F6A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FD0740-9677-4423-A09E-91FCD8C81D1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E2D35F-A32C-4C9B-B65E-5330A0FC465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4DE054-B941-45E4-B2B6-8E0C56B74E8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DA9078-C3FC-499D-A153-E49F592AA89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732367-AE2A-4187-90C6-903B5D21455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2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793983-38E3-4495-A7D7-33BCFD795B0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030333-FF02-454F-BD69-A5E1B82829C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BCF097-68A8-4489-8567-165D60C332E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31C5F8-AA31-429F-98B9-A515B749A30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3C3677-331E-403A-8E33-D771B8CFC2B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E0B6C1-FA28-4D44-AF94-B74F3CC54C7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5B691B-38E6-45C4-B258-6837E24369A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857C3A-616E-43D3-9667-20B2F492E11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5856FB-313A-473C-8377-5FE234C1DA2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BD3CBE-D02E-496F-BA8B-C4F07166D1D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AD76D2-9C70-417D-939B-1B918940A19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831FAB-388B-476F-8072-C99A7262B57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4D2D87-24C0-4965-B2CD-08D90EC022F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DB6861-75EA-44FB-971A-495249A4DEC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0B7C35-8C2C-4FBD-B3EA-72FC00E9CDA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891DC1-A1E0-4461-92B5-4E6B3390BD9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2902BE-615B-4561-AAC2-950D91A3D4A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344E99-2917-4720-B6B6-394F7E2D3BF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1A8273-4CD0-49B6-98FF-4BA23788109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1E5C1D-E061-4D98-96F2-832BCAF65C6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81D1D9-AE2E-4C40-9453-46277F562AA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382330-1DCB-4BA5-B5CD-75B4EF0E5C1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D855D0-0C3D-4E73-8784-DA1CA883EDF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940314-CD44-4F2C-9157-157064349D5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24F9BF-EA7D-4B9E-A4B9-154A09A682C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55A7A6-4963-4B69-94FF-1F5C5224683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75D74E-300E-4E50-BDFF-3D08426C948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6C1B2E-3B4B-4A3C-9CF3-ABEE02E65FB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ADC1AF-A791-4F3B-A814-40FCCBB47D4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7EDEF0-16BF-47CC-8A3A-C7A2034209C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3ADD91-0C06-4C52-90C9-5FB0E778075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377353-DA7D-4E78-88E2-536FBBAFE42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DC9DDC-7BB7-4DA6-83C4-8147EED100E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DEE25A-B73D-418A-84CF-77DEE80B111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E80FE7-1E05-4BCD-BFE4-06E79B25ADD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88D22C-D9B1-4DC1-9957-9A5155963B1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73F3FC-D07D-49AA-8402-806C0B61B72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B34743-013F-487F-B81C-6E2F95388F9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6505F7-1FB4-4D15-9BFD-F750481EC73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4A1C15-9FFC-441C-ABEC-A66FD85F62E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8F3E8C-ED4B-415F-A132-779228CB381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0DFF49-848A-40AE-B781-D29601EF0E9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A88A00-DA28-40F3-B4B3-E246607E1AF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ECD49C-1966-46D7-A089-89EBF39C832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3532A5-74D1-42C6-A8ED-D6B3136D5E0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83BAB6-D284-4507-8096-0D4352DD112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230751-C105-4E55-AB59-A348971C6C8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35D289-9245-4B81-993B-2C12D061008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036D10-6B40-4DFF-A5ED-435051368FF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E738D8-1530-4FA7-9183-36E3696017F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E83DF3-99EA-44E5-8943-F1725F72802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EE3C14-60D4-4961-A9DB-DED30B7D41F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D9652E-1F4A-4243-9CDF-06170CB83A5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F54483-FDE8-45C5-971D-67D44A85599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4062B4-7216-4E5F-887D-2FDE171174A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1B7965-6AFD-4A8F-89F8-FC7DD48CD63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EA4B64-C85B-4B56-AA40-E1B141E71E0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9CFD4E-339E-4D5C-9FC7-D0C1FECE141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E18FDD-B9BC-4D31-AA83-C4B819C1E65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C903ED-A639-46D6-AE66-B6A4E16D80E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AEF4D8-1FB3-4065-A08A-B118612DF7D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502AD0-FB56-41C1-A229-86D506D5048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F55504-3C48-4028-A27E-76A658964D9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4EBBDA-99B4-4C57-B8AC-882D2344D0C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E1746E-628D-47C5-B47B-4B642A2326C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DA249A-5E4A-49E4-B6C8-47E427682FB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253EE3-AA18-41FB-A9FD-C4CBA305C04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6C680D-F24B-47F4-BCEA-0BBDBAB8D8B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2DFD0C-24E3-4444-99ED-C06994E36A8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65350F-E2AA-443E-997B-91CE4544BD1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564760-D346-4D2E-91CF-B83CA9DC68D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A1B329-AF2F-4F80-947C-D221274776A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74D8C4-8163-48F6-A2AE-7C5514A4F59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B03BBB-ED58-4084-9CFE-0CE49EE9EE6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6AE40B-B0BB-4672-85A0-FF7B9B6D444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64D371-279C-40F6-8536-53F6CB32FCE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24E614-4E54-468B-B474-567B548334A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CE949F-2797-455A-8F3F-B2513983B38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6E9111-C2A0-4A8F-9269-397B161B87C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5C9D28-9EBA-48D0-B761-771A4D07000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E9522A-4075-4A14-9BE7-9D4179A19D8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07A1BA-A386-424E-8252-FDFEDBCFB8D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1A4523-51DB-4BEF-8CF5-56130DACFF5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E55066-6981-45B0-9A7A-D3A49C3C83F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8F76D8-9F5E-4229-A180-32DA4D19427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939BA8-C153-4F44-91F1-57A423F3355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4E1E59-16B1-46C0-BD9F-7F35D96B88A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8F852A-20EC-4EB1-976C-2F00CE3C237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5B254C-0FF4-4038-B5ED-404C81E5BD4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CE8176-D463-4C4C-9E15-5E037F030D7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5DCD3D-7FCD-424F-9C44-73D9A902D93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7DEE60-6F66-4749-A2B3-D6A084C1DA7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A5C8A8-CC5F-4AB6-8A4C-25773BD81AC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C2ACA0-FD3C-485D-BCB9-1C4D2F8087D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7AA452-4FF3-4208-9BCA-0076DE7517B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1F4818-13A5-44B8-A464-F78D7A2491B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FA834C-D690-45B0-BD4C-446C3F1DDD5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5333D7-E27B-43E6-BE68-A33AA6328FA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1FAC3E-A56D-4C52-B3C8-FF363047BA3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AEEF2E-2E71-4259-A24E-B09DE22D542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3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5DD311-8E79-4DAF-A235-AAB33E59389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B21EF8-4F7E-4B16-A30B-16C401C1EC8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12F57C-45D0-4600-9427-2F1E06B493A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F2C38A-734D-4CCE-AE3D-7CA9A39B0D5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9869F5-E9B4-4675-90A3-FA0858029CE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724126-2E00-43A2-B940-86972FF2805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2D2F3D-6FF5-47F8-8988-3EBB1519DFE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7598FE-2D90-4EAC-A70C-9CDCF62E534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2DA96A-C336-4327-88C8-D30873BD0E6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CC84DD-4503-48ED-8944-B9F9609B188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CC431F-6F40-425F-8F72-44BD08713DA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839948-8A89-4EAF-97DB-EB2182D4970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771FB7-092A-40FE-8A6C-28A43227E5A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A1231F-A451-4C5E-BF2D-8338A185B66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CDD54B-C262-4FAB-95BF-D4FD0E8D765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4B9A96-D3DD-4ADE-85B0-D6B1144BA50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EB6DFD-79DE-4450-86AB-275E22BBC35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495F9F-C063-48DD-ACB2-3482ED545E4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EFEB8E-D97B-4F82-8B2E-CE566FC0453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940BDA-8FA9-48AB-99E1-BFF2A7E2DF8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469E8C-8A6F-4C0A-9CF5-544F13D4026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928BC0-C9EB-438D-B552-7D3A8661CF1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222342-A625-4E5B-A8F3-01F94142209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F13508-E262-417D-A95C-A88FB304CB2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2AD5A1-30FC-40F6-A09A-B035BC356BA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6CCECE-6C3C-4DE7-8B00-A8C511E8CC1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6E41E6-2DBA-46DB-BDD1-320E84B8501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3388EC-0F88-4D27-8F03-92163BE755F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CE7963-0CFD-4972-8020-F16FDCAB852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96C29B-EF3B-4596-873B-4B72D9040D7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BC9F0D-86EB-4AB3-B4B9-EF5DC0D1D90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13FF90-F22D-4EE8-A62D-48DDBE5274F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CA5707-EC3C-481E-B9B5-0C8ED954951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77BAD8-D38A-4010-AC8E-001B488DD66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9492DD-AFD0-40D1-B5F6-FE4BBCCD113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D13584-6954-4ABE-A43D-23E726F7142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8D0A6A-9EE5-4370-B07E-5830FE97D2A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8DA50F-A0D1-4367-A8C3-251362A3CB5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A7A9BC-8480-4597-A420-DD07CE940BD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7437AE-3C75-4B16-839D-9FC49C1C91D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D43425-2FF6-409E-909E-7F52E126438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3F6CD6-B314-442D-AD4E-07FEA11CD30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46B71B-E50D-4300-AD78-E263BC2A7E8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52D021-1A26-4AEA-8557-1CA94C48FB1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99136C-E682-4D4E-82CA-9FF12FD3A87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82B7D1-F896-467E-B206-96E3784D687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2B4333-A042-4D03-9A1B-4916F287EFA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3100A6-4FFE-461F-9093-4A23D97A9BB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CBDDF0-8AC4-4725-A7AB-E616007B193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2BACC2-B7E3-4E68-8C66-2B3B6D2EBA5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07F888-356C-4B33-9CB6-7DE4480CF81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CCF0F0-A5DA-4C89-8CB1-113B6C0BFD0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EEF9C4-B232-485A-B579-21A8CDDE8E7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D52E13-E843-4C73-97C7-CAAF7EA755B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67494C-F9C3-41E5-9C7C-CE2DC5C9485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06F1C4-2CAC-495D-88EE-3F5D295511F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F8EADB-23EC-4CF6-BADB-3BCBE60C062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31068C-5372-409E-A2A0-0365039EE27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8964D9-5F1E-47DC-A62C-2E46E52ED0C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5BF097-6CC3-450B-8447-E7BF9705373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405A40-D616-49C0-AE34-6FAC9CBC449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4967B2-30D6-412F-90DA-651807BD417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5A6C1F-9BC6-4869-8608-037F5A57F4E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23D343-FE87-4083-8015-CA38FD9853C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4C1660-82D1-44B7-9057-B564CDE02D1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4E0F24-2B79-45CC-AD2D-247BF430518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B07BFF-5F19-4920-ADEE-6F04FB71B95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F03D33-435C-40FF-86BD-A514C73413F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32B97C-CA88-4400-9819-921FA2FFA68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EBC26B-361F-444E-808C-CB3F0FE3F81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92C6CB-B25F-462D-BE88-59EB964F95B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351929-3F03-4D75-A931-C2E0E9A3BAD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F16D86-74EE-47EA-B571-798C8978FCC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AB9635-88FD-4A56-B32B-5E0E85B6DE4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A70A1C-6356-4B7F-A861-70389EDDB9C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081B08-E6C2-4D26-AB0C-CB4C00439DD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6F0AF0-9C6C-4993-B1C7-9253E772930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CB0A60-104D-4ACA-ABE6-F7A8023608B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7F12AB-DF17-40D0-B791-89D1911A2B0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153DA6-0B46-4B18-A385-0F1A2B2D392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4A269D-8900-405E-9CAB-AA18086EFA7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158469-9E7A-40FB-811A-3C5ED95E031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4DEAA6-5FFD-4B1B-8B4A-566ECD0B6ED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748294-0334-4AA4-9ED0-A2C8B8D06FE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FBFD53-9270-4BAC-AE68-A0176D431C5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B5FD76-1EBC-4FD8-9A12-609F2CF0287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7D98A9-0A58-424C-B566-A6C805EE78B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907026-4E65-49CD-B19B-A3B5E929E87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367956-A786-4B45-8334-1ADF179EDCA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145B37-4A89-4F59-83F4-63A63BB891B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C31542-E1A6-4FEA-AA0A-275A26780DE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AD1FC5-4892-4518-86C1-62CC17290C9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150502-053E-4F0F-ABE2-FC030196FE6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A887DB-1285-4EC0-8D56-C6D62B66E85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0587DC-865E-4FDA-80A5-8EC2908C948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262B44-E42D-478C-ADF4-01110A87224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4CB825-816B-473E-8109-4F1AC3F72A2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BA0564-814F-48C8-A40C-545E9041AF1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E55706-B1E0-4F4F-B5DB-EB8856DCCAE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3A702E-A3AD-4FFE-A89A-2DA75C6A536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4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437FE2-7379-469D-8BFB-DBF75C95E7C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8F24FE-3E97-4E8A-847C-6A6618B913A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DB9735-78D7-4260-9578-23D8AC1A28A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0E2DAC-AE46-4DBB-912E-E38D540EE42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48046E-C266-4DE8-AC99-CC03D674440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6ECF6E-230F-45CA-A75D-8F55CEE318A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60C7E3-20A7-477E-AF76-19667B6D0C5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A72EE7-9FE6-490E-A53E-7CBAF7A3F9A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A8D18D-6DB7-46D5-A5E8-8C0D5236C61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C79B95-2688-4CD6-8538-C5A79526417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9C5E9C-F612-42A9-A8B4-1D939CDCE3D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6049E6-2CFB-4C19-B23F-C9CAA4B3000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B679FA-1AD2-449E-BE5F-89B05A6C19D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EC79FC-5E80-45A8-B1C9-B8CD1BA8ABA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03C647-9A37-46BE-9575-1073877CC01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FC9309-295D-48C3-B7AF-71FAB390464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198B44-9EE8-43D2-B19D-C1EA23FFB09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9C4D25-2F46-4505-A3DB-BD6747F28A7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E339D3-497C-46F5-B41E-28CEA48CA63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84A041-F0CD-419E-AB9F-E1A23D662B7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C02A4C-61BD-40EC-91C8-AC96C9F712B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382141-3354-4C01-8256-AC0BBBF2D63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B5431B-97A9-4995-852C-99EB80A3330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56C7F7-303A-47A0-B905-BCB057C25EA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5F2C6C-7A62-4C8E-A1FF-17E0E0DD1C9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F10580-F1FB-4E62-87D5-F8FD32DFF55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7354ED-88F9-4769-A160-AC966B3311C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A9EF79-B757-46D8-9E50-2509760A655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A95A9A-02B4-4332-B973-91262986FFE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0DB5FB-5368-4DFD-B4F2-DBEEA97F2C5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D93995-FBE2-47CF-83C1-57469EE8141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7870F2-4FE6-4508-A4C0-13560A3F9C4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E4254F-B090-40B5-A149-058F6A5FAA2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54A1CA-06F2-4BF6-91B4-F146FEA7C19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63E86A-F29A-4B1E-8A3F-EB89250800F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2CD915-7990-4FC3-BF85-0E68EFA5BD9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845F5E-18CC-4615-A7CE-0F6B69F0A98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6AC22D-FC36-4EC3-B623-889266BD0C1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22A5C1-09EA-4372-9BAD-19EC2350DB1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2FAA83-89E7-4EE2-B50C-5FE8B0DC211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40DE47-DB39-4655-ADE9-E1D63DC660F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F2B531-EF7F-4D3D-A1D7-DF51E3511DB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05D7B4-0E1B-4180-B592-34188E0D04E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833C5B-E2B3-4126-8494-6032A657B14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CF7B22-8811-4E97-B499-8EE77DA46AD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0316C3-D1C6-41CF-921F-05810B8B1E8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E4E0D0-66CF-462D-B9BF-7712A83B9C2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00CEE5-09F4-4DA8-8627-CB84989903B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5C5319-978D-4CA3-A57C-E93EA6F1747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998DB5-7603-4E62-AB02-4BD0CB4B052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2C7A9E-20FB-4267-9EAD-43372F596B4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801877-F277-42A4-81BB-6F1B312786F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51C429-5797-43BD-A029-39615C7E2F9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F2CBB8-1B0F-4362-94D2-324551DE277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F0DEC6-C1D1-43C8-8DE9-7FF2F1FCDC8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879E9D-B47A-4F64-8DB4-34D51B3CD9F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D6B229-D1D6-4BF5-94EC-A2CBDED0358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75806A-5E28-4BC2-BD19-4F3CE12E471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728294-A20B-47A6-AB13-DBF4B5778C3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147C19-FB85-45EF-B64B-E6434213135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6689E9-0FF6-4165-A643-E77EAEBCA64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F21002-9965-4586-9D3E-E9F94BCABEA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C8F9F4-5003-4FB2-9D6A-E70F2ACCF95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AA6145-0597-444A-AF7F-3B46599078E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0D66A2-1BC3-4813-95CC-BFEFD37B9F8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C203CA-3D76-4830-A701-E483C66BA70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4D6FE8-C4B2-437B-8BCE-ECDA1AB2DAE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BF55B2-16FC-4607-9222-97810B55B44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D0D9C4-5AA3-432B-B93F-4217A13D9DF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08B095-EC56-471A-939D-76986210606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A7AAE1-CDC3-459C-BACF-D67BAC388EF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1638FB-6B2C-4D55-B96D-CB424D20E92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330A13-2124-4CD5-9301-B256B61E10F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704C8B-F949-45EB-9A37-0ACA4FFABF6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CE97C7-CA48-4BA3-B2A3-008A9A7FECA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C0B093-4C1F-40B1-B768-C0402C312A6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A57BFC-9518-414A-8EE5-9176F819D4D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851AD3-6F2B-4DA7-9F1B-14751EA3313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FF7723-BDF6-4761-B3CE-BB4906D7127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3804A4-972B-47B4-AA5B-AB3611F45E8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6DC2AE-9615-45FD-8889-39FE10B2943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4D2EC8-354E-450B-B5D7-3D0F6D9894E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5A1BBE-2187-4C48-B0DD-6A3D3421181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21C90C-A7D7-4AC8-9AAD-B9FE16316F9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7BF8A9-CE39-4B34-86AB-2638C8A4502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EF51EC-6DE6-409B-ACBA-E59E48C3B03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797D83-7C9E-4629-919C-6EC83B8048E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85FF4A-33D9-4E39-9A01-6F0E71F37A4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B091BD-BDA7-4097-AEB6-3BB509DDC4F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450E36-0B50-4714-BB8D-924C724E561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756DD7-8B35-4C2A-96A4-7C9A80021B9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468E7B-FE7B-46EF-AB43-18BA2568D22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9D09A0-15BA-4752-9BB8-9928D9E0253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468370-685A-460A-AFF4-638DD438E56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3F3189-E156-4831-88A9-ECD1941153F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EB30AF-8096-478A-A6F2-FF08B46EC62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3923B7-EAD3-4936-B0F8-AAF726D3CFB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E6871C-00A2-4A9E-820A-2BC5D4BE8E0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ADC462-AE14-4BC8-B221-A9FBC22C247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7044BC-1B33-4C99-9634-22728694566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5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1B5541-A297-4E11-A19B-104CA3103E9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9B9C14-8CA4-4EC8-952B-C6277D5D1A4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CD0A88-544A-4B2D-A998-57CC53063F3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21B8C1-D827-4038-9BC7-CAB73ABB141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5CEE6C-B65E-4FEB-8584-4F0635147C3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D95172-E3F0-4AF3-8A03-9998ED77875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54C8DD-DAA6-46E3-A999-B1B2F6CB43F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5BA2C5-C55E-4A33-9AAF-07338962001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B0C95D-73B7-4134-BB26-DD54447E503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EFDC16-6449-4C0C-A034-1C056CFF48A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E29EA1-CA3C-4A8E-9F1A-2E4832C053F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8EC99C-C9C0-4AF1-8C3C-FB94B7C8177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E5E09A-6DD7-46FB-AA4C-193A269A25E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B6E829-5425-4AFE-82B8-6389646CEF5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39B4E6-2622-4290-9E84-0C87627A0EE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75ACC9-3E17-45E3-9DF0-42580702B78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74662D-5549-41EB-B1B8-0C3AC1047F7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8DE066-6CD8-481F-A130-B04D9017560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C83CC5-DD2B-4E33-A03E-5C8B7EA3B24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786879-C710-4C41-AFC6-CE0B8128CAB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3022E3-F86E-49A8-B397-14D9D73FE03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5F906D-6D2A-438D-9518-3F301972B29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EE9880-36F4-4A52-97F3-DCAA8EE3196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51E3C5-E147-448E-B066-CF3BCA80A3A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67A3EE-2F5A-4EB5-A894-7DC12F288C8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238170-73D6-4C0D-AF48-7186EEDED38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97EFAC-408E-44CC-B74B-C48DE83BD50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7CC38C-BA8A-4FE6-B0E5-CE3384534F1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2BB3A9-1A30-4ACF-BD55-9C3FCF49BCD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2CE75B-EF86-4B6D-A5BA-E928C16221D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7B47E8-8276-4C36-B519-5D1DFD57D68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B004CC-AA2E-4CD1-8011-8E3D4572E45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B0B843-FF56-4E24-857A-6BBEB9BE389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5E18E8-D43E-44AC-B4AA-3C141764351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105B57-C8B2-43A5-83D0-7501F86D7BD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487BFC-C231-4343-A38A-0C43C0B9366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D8EF5B-94DF-4CEF-99AD-21309E702F6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EB4DE9-95EE-4508-BE42-F4BC75E88C1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A972D6-9561-4E85-A295-F3794B0274A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8A7163-A3BD-483C-B3B5-E3CFCB5D739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54CCDF-8838-448F-B95C-712625FEBF8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4289DA-AF8D-4328-B452-AA14C3EE73C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D07DB4-BB51-4D8C-A577-D3A9D1F4C2D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989CCD-2ED0-4546-A678-2A243DA8512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CCDA43-D091-4BB1-ACE9-AD570D1D1B4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554E96-3D93-409D-9A0F-A712B811AD2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14781B-EBB5-4F5C-93B0-33FB2C415A8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7C1D61-7E44-4741-B377-B23B0F5764F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EFF40C-E450-4CF5-93FF-3E69703B54E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0610AA-CC47-4118-85C9-EF0363E14BF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A96DE2-5504-4FC0-A242-356A8A76314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1FDF03-7632-49AB-BA89-B55EF63648D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52A420-18E8-4C6F-8D73-F3C5ACA6944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672141-15BA-4481-B04C-6145C03BBB2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498DE0-1225-427A-A2EC-0363F925BE9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C9E1B0-B550-49E5-BBAA-C2CF0CAE38D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43E0DE-179D-46BA-9C4F-94302A5E5E1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34E766-04C2-42AA-9DE4-0E25F789295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BB8805-45AF-43F2-B93F-5F41AA1DA9F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B11C0D-54B5-4B85-8B90-11D85539AC4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C3360D-2DD4-4889-9C22-60623432AB6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E1F8B7-2263-4CA6-B2A3-B13FD44B4C8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3E950E-4755-4738-BF1E-D7AA279A5C0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57743F-6D5B-4098-9E60-8822A395629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AA151C-09FA-4D3B-96CC-3E279879193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6071F0-1C51-442B-BC7B-0666C690F1D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4B5648-3BF9-445E-A3BC-1310B744757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688AB5-CCCA-406B-A63A-61BA9999815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4E591C-43E9-4099-8DDD-786D12E53F3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810CAA-173A-41B5-A3F0-977189B819A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7B7722-04B9-436B-86EE-651CD001A50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170751-77D4-4AFE-B84A-E9D6B7E67CF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0A807C-1F54-466A-A5CB-694EF90CF9D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08C1EE-EDD3-4B7E-B5A1-2FFC460CC84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A46A55-636A-40B1-B427-F41D2542452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4AEF5D-5D38-4B70-9493-7640A6EA3F8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7ACC9D-7E7D-46D0-87B0-A96E944E9C7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371C02-93F8-4607-8189-CBDF2A010CE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FCA522-EE00-4C60-BF7F-12ACCF9A6B4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065D65-4CA3-4109-9E59-3F0A2AA67A6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6214A2-6713-4C1D-8681-8CD3A78718D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0286BD-E8DC-4589-A5A9-1E3ABB88846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412099-D0BB-4B80-B020-42333330493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3825F7-E63E-4C55-ABE9-C2C583CFF56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629C39-6A13-47FF-910D-8D1072C5585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CD4397-F1E5-44B4-8B7E-DD2236105BA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3C4E3F-7BCF-4AE4-B508-93264F1BFC9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FBA332-EDC0-4DAB-9986-6AB105DC8DB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6BC8A9-4C08-4EEF-8727-9094968B70D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8D43E7-382A-4792-B237-52C3D83F737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CCD0ED-919D-41D3-A419-F91728794C6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D2EB8A-54F2-490A-99E3-30B8CD0F8EA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F3FC60-D040-43FE-BEBC-B02DE7E5826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AFE074-DBE5-4889-87A9-901DD4AC015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136AF7-AF47-4453-8BED-DD8C095C265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87FFAF-267F-4977-A4A3-B5DAB794A6C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076D78-DB2E-4E78-9257-71AC52663B6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6EE060-2853-4C62-954A-4D7B368FE32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C7FA30-9A39-4A0F-8945-283DD5C451D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A9A115-5463-4790-B764-34BD7E03C60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6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A95772-8805-4C6E-BD14-B7758A09E8E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A2299A-D6E5-4EFE-A5CF-552F2A5A129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A32ABF-C724-46CF-A55F-9D082209918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0C86E0-1190-4496-954B-9CFD640BE49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A426AA-03E3-452C-BED1-82AE6519172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FD4A6F-6BF6-46C7-973D-61E3D5175C5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748175-F989-4D5C-ADE4-5BC8370FA61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2D5756-44CE-4865-AA72-1B5B8790ED7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C1AA91-FA10-4C74-9D97-DFA48914305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5060A3-5BD7-4405-9420-04F536F97D7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B1F5FD-B186-49CB-9684-CB4DE59CFF0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48FD4F-8C3A-485B-AA92-395BB5B859F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8F0762-3CE6-47DA-A2FB-00F5102B537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8F4109-A4FB-4C1A-AE88-0C64686FCC2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D61995-0BF9-4E35-AC70-D25827655FA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63B2B3-1B34-494D-B27B-98B9D2FA39D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8B735F-5939-41B3-973D-CC96F434BEA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ED2F31-09D9-412D-BC39-8F613E81335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87E03F-4B62-497D-8030-C2115C9BBE1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9052C8-A29F-495C-9FC6-E79D168D80D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C3FD9E-E98F-4FD5-98AF-C44E5E5D6E6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6AE46C-88F6-46F9-8CE4-C4C329240E6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5F2BF3-7A64-4CE2-A757-D674173EF19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8D9D14-B925-4B7E-8128-ECB71CED5E4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C6E4BC-831D-48B5-A97E-8F7BD719822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09D1FD-2DCE-4ABE-82A4-3D8ABC3A21C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5DA2BA-548C-451D-8B9C-699BAFEB98B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0FE4A7-2863-4D88-80EF-CA7FBB4840D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4F2CE7-E0D9-4917-A804-597A9ED92C9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12E650-80FD-4818-8AC6-AC20425D2A1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17296A-B5E1-419D-B0DF-80F0ECF8C91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DE6909-13A6-4867-BA3B-776B8D35527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4792EA-4B3B-470F-A785-8CC019007AB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832887-DBC3-4942-8064-F7A482280D4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589B67-3384-4BFD-86AE-9944F992CA1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92D391-9E6C-473E-9F77-AA8008646D9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2E32E8-F71E-4116-9F67-CAE336976C2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BC14AC-0291-4309-8033-E3317670658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A31524-5A1D-42D8-B008-80AA2D817BE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DB87EF-5B81-471E-AB52-F4DA4C9CCA1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2A1B83-71CA-4CE8-96A6-5995C0C0C5E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3C800C-4820-4E00-9BA2-3FE40D7158E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4E2498-92AC-4273-8499-B80F5D76C5F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233475-9491-46AD-A66E-25725BB8976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5C5DA9-A0D7-421E-BCDA-FB419141A00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171C3E-528A-46E5-AAC7-CC2CD45F4BF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58848D-7F51-4D8B-9979-BE02B37329F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414BD1-29A1-43D1-8E0B-C8B6247FE5F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259C14-87F7-4E14-8763-2C132E70010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CEC7E0-8B92-4DEC-BF74-7321A12C028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DA4668-33E1-452A-A9DB-B02303C8CF7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51EAAE-1C70-4B9C-8F6A-23ED1F3AE97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13E6E0-EE9A-460C-A056-C3756858766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30927D-2899-44D9-8145-6890ABA0A6C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006C6D-C077-4DDF-B1EA-82E0D72C967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2B52ED-A391-4428-AD94-FF5A5292271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C06986-450A-4D8E-8EAD-A6C7926EF85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78EE63-E73C-45BB-9A13-E2EF7C54AF4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ED63A2-50DB-495A-941E-B856F6A6196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83DF2F-3DD2-4224-A486-AFE862C995C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36F1F0-1515-4BB8-BF44-EBFF02853D7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B0F740-17B1-44D8-89D5-A1961470215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D87DD9-2443-46E7-8E63-6904F158176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DC6028-1CCA-4B52-BB9B-60332A0F02C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1D2848-4220-4B1B-AAC8-44B8F91C09F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674760-15FF-40C6-A87D-FA1D073B09A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C6A06A-D870-426C-8CC9-A96086DAC21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0B9DC8-950E-425A-BEC6-D7C8C0BE256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7FB5C0-7D15-4E1E-AD51-96A9F77D665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0B0E44-2DB0-4A61-A288-13601ACDB1E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702507-A574-4941-B3B8-44F6F43D413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833F19-A9EA-40B8-81A4-B92B7BAA88D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4829C5-7927-462C-AB0D-703DEE1DA8A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42FD37-C86C-4036-8214-2F605818263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5F94CE-F006-484B-8B31-1205E877456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820F33-9069-43A3-AE23-882FDFCB553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FB196E-1B2C-4A1C-BB25-BE22E5C8F19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F0AF47-A9DB-45AE-867B-E8C29C856E2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CBB6A2-9A2E-42FE-AFE0-F833B782037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AC9526-EE23-4975-9686-4637F5C8B80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0D080B-21ED-4E45-B7A0-57866702267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E086C4-D843-42F4-A2CD-25DA7E9708F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0DB476-57AD-492D-9918-338CA3DE6B7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5FD6F2-B60E-4960-9E59-AC6BC7DC472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603A33-1D25-4448-9191-87A34DAC536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F88098-8570-43EF-97BD-8F5EF5A4C50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236792-0137-4B31-86AE-59F2525C292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C9E4AD-E2C3-4888-AE0F-C4F0CCE0674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355FE8-B427-44D1-BEBC-4D602A73123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6E30F1-54B6-4F16-825A-A124A7CA659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B44AEE-CBA9-4235-9F46-A562BE7AEBB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8B35BD-348A-48B8-9715-947018C0E03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C9D43C-2F9B-4F0C-BA6A-0F5A0055256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55C5D8-108A-449F-A21E-F8292AD3375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F1ED98-3D87-4952-A498-9D92F3CA462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91C1AD-BE2F-4CD4-89D4-88C7AC634B5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220AF8-D633-43E3-AA9A-4FD463EC448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467914-9E30-4005-8E73-0B1B2BC6FF2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A2F102-7BFB-4525-85CB-00DB2943097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F25BD3-6766-456A-933A-74D7C3F89D4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7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FAE517-C10C-4E51-A1F5-957F842AAF6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349C2F-6A28-4419-9B53-ACF25D13B00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05696F-606B-489D-BE07-CFDEA1FCBC6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4F1415-DFAE-4B81-8341-04A74D16508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7C8E7F-8F7C-4D5E-A120-80CCF069F7E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B40C5C-91B3-4691-8118-FB559BBFC22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4355B8-FE8B-4BC9-8A58-4C6AC543820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C388F5-CD97-4801-ABFB-01096038973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D1FD04-DA81-47F8-B36F-C334D52AA9E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2F5119-6FC6-4663-A055-B83143CE3AA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9C734E-C9AC-4A65-8F48-0F7DB69BF1D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8FE98E-3253-4B8F-894C-1CFA85CBE87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A650DB-BCFE-4686-8218-B692B282005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A6E77B-5254-47B7-987B-A020D6E9687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3BC0E9-5651-42DC-A3DD-DB29BDB2C54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E6A1C2-D470-4D84-B602-643C70F24AB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BBC6EE-FC05-4029-8FBC-D9117CEC45B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01E82E-BEA1-48B6-AA82-DC99319F0DE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C05741-74BB-4F4F-AA6C-A17BC329915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AA7062-0C6A-4333-9E10-21DEE6A2287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B8DA23-0AE1-4ADE-86DE-D1DA58E33DF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C12B99-6197-498C-ADA5-BCD3E8F4A81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7376FF-41E2-4079-BF1F-DA073090C08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12FAD2-6D0A-44F5-A5AE-221E79DF8CD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4C749C-6D7C-41CC-AF20-5341A398525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4BACAF-FE67-4869-BC91-C063657ACFB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CF8E48-1D4A-4E1E-8696-9ACDDA3A9A7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EE05B4-133B-4834-BE23-DFE70F3B9E2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89A779-4EFD-4B6A-B664-70586411C41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5E2CFC-0865-4AEF-8CF2-CE6F398C88F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7F4114-65ED-4E1D-8654-C464FAC13F6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7D3D5D-0AF6-47CA-A793-A2218E86D4D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10D22F-584B-41A8-8FB2-951050F3C0B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744EE8-80B5-4AA7-9AE6-9971B7C1898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4EC1B7-C74E-4D19-9302-990FFD3C5DF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E22BC0-AE77-41A8-A6E7-EBF759BE49F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B279A3-C0E6-4296-9AF9-13879F8BE03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AAE148-042B-4F55-894D-44C991E6407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2B7F8C-1733-463C-834F-B77628399FB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C50A65-3774-4211-BF1A-4851763B813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C263BE-4E12-4D9F-9D2A-323AC03E4E8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24967A-9E0E-45D5-BD8B-4B09D7AEED3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3C90E8-FDC8-4D7E-AD13-8760B22795E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416844-3EF5-4B06-860C-CB02788FF4D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0F4CC6-5BA5-4EA8-A223-99E472C35C4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5D7F8B-9666-43D3-BC83-5CB3A75D57B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A8D9D2-6E28-40C9-B113-916CE7D48CD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E579B6-7827-449B-96EC-6382A9A05B0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940CE1-6BF7-4327-B30C-EA6C2DBEB3E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3867C8-6A19-43D4-B81E-87766CCC03C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7BE28C-3821-4DBA-8EBD-82AA3444E51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60BCF4-809A-4F25-86E0-1F7B46D2282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A04B69-4835-44CB-8AD9-D6EF605714E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77C918-ABA6-4484-8395-B3949FC04BB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23E9BD-9D6C-43B8-9CAA-4B8A1A53C6D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8ACE6B-B293-43FF-9007-E27C6290879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68F3A5-314C-419E-BECA-A7CDD5DA7F5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BF1C30-4DCE-4DE5-9F32-62837368A10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AC053D-7CD8-4E54-BAA1-1A6F249B872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D437EE-5A78-4E34-A021-CDE277E5134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B9ECFA-CB1D-43FC-9B18-CA155E358CD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9A2CB6-614F-478C-B9D2-D14664226B9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443339-441D-44D1-A763-56F77645FDB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55ED86-F05E-45E4-B95E-3897A866B57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10A8DB-F28B-4F5F-B57A-3C307B9325B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6F172A-3117-49BD-8C51-430DED0755A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DCBCD5-6D4D-4507-99BE-51916934A1D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A4F552-93CC-4B4F-99D1-05A0BF6B57A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A722D7-65C4-4AA3-B28F-FF74AF7D81D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387C30-3D22-4C2D-A40F-6AE65149C2E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AA44B5-E43B-47FA-9162-17A555C4FC9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E7FFDE-7591-416F-B623-EC66E41332D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7DB374-3126-42F9-847C-E1400D641F7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EB7010-2B89-4CC2-86CD-AF727764EAE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5669F3-F6BF-4361-8D63-10AC965187D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93FA9B-E8D6-4B01-B489-E7B001AB6BE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D866A6-CF49-4B53-84B8-3C5FECD0E9F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C75A04-B4A4-406B-AB45-4ED2A3C2C3F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F1D2DC-4545-43FB-9FF2-E6E5C563F87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8C3967-89B7-4899-927F-B7199BEE610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33A7A3-6CD5-486C-9DCD-F9DD09CBF21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E146EB-91A4-46BE-9A47-F0351C41702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1F71AA-1ED5-4E71-80E2-7AB8A402575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3112C7-DB83-47DD-BAA9-F6846DAE631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A8783D-2881-4557-B959-D80840552FE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E8BAB0-8E52-4C40-A119-D085BE710F6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F6BF77-C17A-4C70-8A46-2BBAD5D5892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4EF52C-67D1-43CC-93BD-24024351AA0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C9FD71-6886-4410-9496-9EAD95448AD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A07082-52A7-4E3E-ADE3-086FBFC2A93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F3E8DF-B789-4A1F-A1B6-23C7A7030B6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7FC457-E01B-456F-86FA-DFD30C3D515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4ED467-8314-4342-884A-1C5A0AB6AE6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5A1C62-0595-4C02-8192-8E77C61340F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BF12C7-2365-41CD-B6FD-4A60033B9A6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A951B6-CEDC-4107-82A4-A87249D1FBF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40476D-0934-480D-9073-6262ABD765C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E34E6E-3D66-450D-9667-F40C0301437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B51D96-B3B2-4EA2-97AC-AF26E3AA55B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D74425-3B20-49B7-81EF-59A7AE86AFE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8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CB7920-8921-4890-9E03-3BD1B2C5DD6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B47D35-027B-4C15-A9BF-6F3B5779EF0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52E6FB-3578-4A81-948E-A3A0C63D1AD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5B0F6D-6FB3-4536-827B-241D3A2B085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23A09A-8042-4C99-961A-D75BA681CE2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677FDB-A534-4D19-B7C1-C4C785C57B4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9C87D3-D556-40DF-B139-689B790E0B6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EF7EB2-1A85-4F81-9CC4-EF840FFF39C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33C62E-6087-4CB8-9CE0-8DF729F2CED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12D308-B0BB-4808-BD34-3782027D81C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189E30-F57B-41D3-A718-374821D609F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88E5CC-56DC-431E-BFE4-E1BD959C3BD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5BD44D-1CDE-4D67-A1D5-28DCB401CF3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13D478-B932-47CE-BA40-8AD890442FE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C450FA-8F8E-44B4-9A61-361FB491DD1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A5698E-6B1A-42A4-AE89-1B40E0A8F82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206656-6C94-411F-845D-89833DBB1D5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5265BA-9FF6-4ADD-A9DF-629AA28E584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F11282-9AB8-4022-A54F-1F1AE756511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728D8F-3C38-4359-8173-3688D04E20C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474FAE-A70E-4B60-9785-77E5F25471C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AFAF4D-D842-4B8A-ABE3-A700859B1A6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025651-FB85-488C-A731-B0D08F18B97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356D9F-4A4C-4001-9471-1968DE06374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AFDD45-FF71-4973-8D0F-B6F436392FB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7B4226-1ADD-4330-8B2A-C75735F90A0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26766A-8EEB-4767-8E84-E3FDCDF3D48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A84B1E-2466-4C3A-AE28-3752454851A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BAB259-7AA2-40FA-BBA1-63575F8F807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FEE7DC-EFDA-4FD0-BEBA-80ACC7C617C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C04CD8-39C2-4C1F-B5E2-B6F2CBED4A3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D3AF63-66DC-4C51-B4D8-0D739596385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FA6A99-EE2D-47D0-9183-56962FAAD59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16F323-C90C-4918-B743-E7B4648B7D9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41B8EF-56BA-4CE1-A596-2983D666582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95AF66-F7D9-4DCC-94B1-5F8DD294950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B7D0FB-1D2E-4E59-AD16-51337241D21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2A24CF-9B37-4D3C-A2B0-3529D1E6729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6EBB8F-F7DA-43AF-80D7-F8420D28238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66C7F3-ABC8-4189-BB83-DD548819956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0BEA42-CEA1-4AD2-A926-9532CAB3460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DF14B3-DD0D-4068-91DA-8534F93D70E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A7CEF8-A1A2-4260-ACA9-4407A262460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2EEF81-B317-4D85-B423-74D38DBCCE0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F0B662-4EA5-4C72-886F-2F5EA68C0BB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BEFE2B-524F-4113-B5B0-4C49EEBB6E0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050A1F-4392-4947-B268-FF9391DC4C9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0560B1-60B4-4CE1-96AE-B332F68A4D8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D86D09-066B-4D54-BD06-BBC4ADA250B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385600-7E2A-4F6A-B0E6-DB8B771D68F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11E48E-CD67-46A2-A2D1-19A3AF202C6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FE6565-F021-442F-8F8B-81BA32FD580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7FBA09-C9B8-4592-AD89-07E9F35EE70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12B36E-3DBF-4B84-9C7C-2F1F353394C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A4D7F1-DAFD-4990-82F6-2EAEC31D635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FD7F55-0E9D-4821-88CC-CB3239E9144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7E64B8-5BF6-41A2-B877-0B237AC667A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414B10-B3FD-495B-932E-3DDA1C5AE25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E7CA69-10E2-44E3-B6F8-612ACEAE558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45F955-7AB4-4D19-950B-602E2CCF18C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F86E4B-BF5C-4091-9211-E4A3AB697F1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E2BBC8-1519-47EA-B0F3-064B62B675E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CE4939-728F-40DD-9F94-AC6926AB343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70787B-C0A8-4A44-93DA-60FFC659C2E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987983-05BD-43AC-80E5-4121CFEF68B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AE8584-0A63-4F55-8297-7468B42A2CE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2824AB-CEA0-4475-BC80-E88FA0D41E9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2E50B8-F38B-473B-8176-1274F461B97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358AB8-BF89-455E-956B-F81319665F4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374257-686B-4E4B-8717-F2CD64B03D1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38341A-1805-4AF8-ADA7-E6FAF7000F0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7BB86F-FB71-48A9-9B22-729A347F4DD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84A8A2-3380-4ED9-A0E1-7FC1D4D7B0C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6F3AAF-BB56-451B-BD2E-5ED2A98A9D6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BE3D85-3E83-40BF-B0E6-A7410D67994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7B436F-267A-4CDA-BC17-104DC8F8DF5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807F42-8951-426C-934E-EA8414812E9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7A2410-887D-440D-8468-58193855585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72D7AE-550E-46B7-8411-9AB9764736F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4C317A-501C-4FC7-9591-B636834EE1C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F78AF5-1B9B-40A9-BE8F-90A4CAB62B5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3E0BBD-B917-493F-B555-97C419524F0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F9342E-1222-4F80-B07A-EF40579DD1E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61949A-F777-4605-AA6E-C9F69D6F889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226AD4-71CF-4191-8513-9DF605B3C56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734DF1-35AB-499C-9720-B3904CCE428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693507-B789-4E1A-A338-33BE1AB30FE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89DEE6-0012-4889-ACA7-752BBC3294C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9127B1-6E8D-4819-89E6-B746B3A7DDA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CE298A-CECD-4223-8270-5D9DF76C174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2EE18E-6BA3-47CE-BC7A-866E9DE9A60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A63473-A885-4DCE-9E23-B21394F991A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07123A-806E-4CFE-9BB0-00BDA3A15BE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CA6712-6640-4F6A-B949-C92DF9633A1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BCDEBA-6B18-4D22-8F7E-E1D94567E96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3A0470-071F-4399-A938-1DE66235471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0990BD-FC48-435D-B413-44EF6923E75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3D3779-31B3-4187-8D4A-ED7B2348A8A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830E4A-D31E-4562-8136-74E6AF39546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853FBB-670A-46C0-9DFB-CD2E0991C07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19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0427F8-381B-4747-B590-B044D568138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02C1A2-FF29-414E-B88E-E4D62F8E4A6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778A2B-5A9F-4919-9215-AB9466CD502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A76782-64C8-4E49-92E7-DDF1F325702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9619EB-78BB-4EDD-BBC0-97A24D04946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C5827F-DC1E-453D-A0AC-F07719E1818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D3250A-2A43-42C9-A893-E10510538D2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8A9CC9-C38C-427C-8D03-96886F15088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311827-1E56-46F1-8C48-B0F452AE54F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414CEF-05FE-4065-80AC-8D5EB61DC5B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12F130-3282-46F6-9FD3-19AB34216CE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34388C-543D-46DE-B545-72DA2DA6FAD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9BB9B4-CCA0-4B05-B9A3-B7ED01B66EB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CFBA6C-F678-433C-B1E4-6481F087023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B31A2B-C8C4-41F8-981A-6919D007A9E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E7A0A1-9CB2-4929-8C79-8A1A1A2883F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C82423-5EEE-49C0-85BD-715464EAB9B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9E0A04-CD05-4E3A-B2C8-6DD766985A5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AC16E6-DFDA-4041-B296-92B5DDD3F81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34D643-CBA4-4638-B496-BB434723174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2EE7EE-C7D6-48CD-A3D3-655E103A6BA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86B710-A088-45F0-801C-A481DBB081B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EDB451-6AF8-4403-BECE-6E9F1AFA067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2D3B8F-52A2-491E-959F-A6B365E9B26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7C3F22-B38E-489C-8A71-FE4C99A3D56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0BDEB2-486E-467F-B5BE-8CB11BBCE0A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25EAEB-C91F-4980-9622-9024A224ECA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0321F6-038A-4E98-B268-8D03BE18A72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A9415B-11A7-4B18-90C1-8B6C8D93F6D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2D4142-C0C0-474D-9636-C19AD03F0E5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45EADF-C37B-4730-9724-1891B1CC842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BEC00A-73F9-49B2-9B48-E0E8ADAE922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A2021E-2473-4B3A-BCF4-DFD88816037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3F8A52-D70D-4312-8585-FAAA63EFAA8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1479DB-5A66-4937-A587-D1DA001B7AE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DD2C5A-BAAA-4B7D-ACB2-BC227FFF688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37A0AB-ABA2-433E-9D0E-D668D362FFB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40BBFB-477E-4BC2-B284-A6FE88D6767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4DE656-9545-4030-9F30-CAFEB04CFB9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B8D4D6-26FF-4BBE-AE96-29CE6374157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3CFC81-B7C8-42D3-90C0-8062AB289AD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5AAFB7-CB46-442E-B852-5A71911AA46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62E05A-C73D-4DC4-976A-381E4643A82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8B7DD5-9033-4804-A5B3-59E666EFD63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D642DC-FD36-4372-81C8-3C3B218662A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8A9639-0D5A-4677-85F1-C4DE54DE228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D2F1A8-B086-487B-A76F-334229DBC64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87C55E-A24F-4BCD-A726-BFB02911CB1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B101D3-AE2A-4DD5-8DB5-60511EBC744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BF77EB-B03A-4DB3-9346-0E23409EF26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02BC2F-9C24-4F70-A23C-239077519BB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C1D626-F4F1-4E17-8E44-A741245163C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732635-E172-4C64-9BC2-D1FA4117F96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32EC80-D988-4351-B505-E4D457AB441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0786D1-5C3C-4715-A5D6-BB3D1289B18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9F7371-674B-4876-B76D-EBEDE07D2AF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48AC4E-F6BC-4393-B435-871A4505372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38BBFE-27EF-4B2C-BF4C-4290727003E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496931-E07C-4C55-BEBC-99A81F7EDEF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F4BE8A-A562-4170-9962-19605F92237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A05493-A334-44C8-9D87-0021D2CF753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DC248B-E357-4F39-B06F-2B82BD4A13B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A79D44-3283-4629-958C-2E4DB15BD44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D30E9A-215B-476A-B248-68050E984AC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94DBD9-39F4-436E-92D9-E16725C198F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D4FE6F-7A28-40F0-9E4D-AA3C812E1BF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03D695-411A-4DC2-AB1E-2732BB5E5E8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0C6390-5EB7-4773-87FC-3ED3FB01262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0399B0-5A8C-456A-ADB9-71CAB1738E2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70BA9D-5CF4-4030-AF2C-2B813DB2652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8A1EAC-D647-4643-9937-0F480968694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3C87FB-85DF-4D82-AB60-F4BAAF00D82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0BCB73-FBCE-4548-9A7C-21F26DDA7E4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04C4D2-D290-4589-8C4C-E0F2EA51324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B10578-0EEC-481A-A1B8-27F72ABE845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BC2851-6131-4C44-9A2E-E703134BB2E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D2FD45-3849-4EF4-9259-2467DF894FB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56E59A-1D89-4231-B8EA-C3100BA7C2C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9A8EC8-46E2-47A8-83E4-FB56F6DB96A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20DDAC-9CB8-40B0-8C8A-803F476749F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F14101-E961-429B-AF35-98A420C8CEA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D79BE1-3DF3-46EB-AE58-093B1AD9C4C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4C2E5C-F4B4-425C-A29E-37CAF50C94A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A4D6FE-7658-4E74-86D8-AA797DE0318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5B2BB8-F7FC-4A78-8B5D-78FE4FFFD81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7E67EA-1A0B-4226-9874-7DF7774B82F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16B892-10A1-4AB8-8A3C-10D28B7681A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0E3A89-4EB9-4601-88E0-46705E80174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0F2A2B-1BB9-412E-901E-9D544924BB3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BB00E4-CED7-4BBA-8682-28A66A20669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5130E9-8FB4-467E-B726-F8960938D2C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803FBE-12F4-439C-8D41-F0105BADD25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D334FD-5396-48CC-AD44-F74630B3736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4562EA-E431-4E35-BC67-0D90708CE03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2B3C45-400C-4BAA-BC22-68F713FEA32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84F9F2-4CFC-4693-A075-0A975A7BC8D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896826-A407-4735-AD87-C7BC21FBE0B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76B0AF-564B-4516-8008-CD099C04313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702803-A59E-4C6D-8B70-B21A0382491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E053BD-727D-4A4C-9AF3-176DE000873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0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B1C8D8-C930-4422-8D7C-4763BBCE58B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386F89-78E9-4292-8682-E902F062A2C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E0B1DD-A117-4248-8239-937166D37F6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8AB949-C6D1-4CF8-A991-A5BC27CF9AD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5A8D83-E71E-467B-9E97-F210B5BD6A0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9D93DC-6950-47DB-AB40-AD0A0F55598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4133EF-D2C9-4C1C-9FD5-71C1A4BDDF9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A34FAB-902F-4A12-9474-A8F61A0E9D1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BC1528-16DA-4DEC-8A4A-3B0EE41551B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FDA6C6-2B59-4BE0-91D5-88705106569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97B6FD-4785-4844-B0B8-4FB4E9D4C04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0AAA9F-F631-48BB-AFE6-E6ACF721C2F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6BEA88-F0F5-45E4-BC21-869D69A3BE4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783BC3-6609-427C-959A-F5E632EE7A1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015940-AC31-44AF-A741-0B0AE8CE6A6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FEC9D7-0AC6-4780-A1A1-66E8A602505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17A3F2-547D-49FF-9A2F-3D847FB3DAE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CDCFED-4069-4025-8F51-4E9FEBC104F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153718-E974-4F27-8EFF-D45F8C82AC5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4B68F9-1C31-4C46-AAD5-3590C6657BF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0D1BA4-4B4C-4D84-AEA8-27D8004C52C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E3B4C0-E166-4168-8505-5AF8023C5DA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377F19-32E1-4076-AE50-B3963D5DE9A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02A7D3-A842-473A-8530-24AC17DAD99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D78BBA-A48F-4A1C-A6B6-1D49E4EE5BE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3593CE-EDEC-4FB3-A6DC-37B28F874E8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937B99-8E87-4CA2-B2FD-B64E1E8C466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8C183E-F6AA-4336-A50B-0FD61497ED0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75454D-DA19-4B4D-A5E2-A1AEB47B480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9E7913-69FF-497C-9B3F-9ECEE54DAD6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C55D6D-6D5E-44AD-9A48-D51871E3820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FE3ECE-9117-4288-8B8A-BB7131EA3C8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F90402-247E-4AA8-B2E4-9783297CE21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94517B-BE3B-444D-BE21-E3322D52664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E0EE35-8D62-46D7-80AC-C9D53CA727B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052CD5-675A-4B61-BD60-4790A68B1E5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02416F-DACC-4B0E-A667-2BE9BA670F6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7D5275-0E91-4F11-822E-30D4EB04F0D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6FC116-92C6-4560-B0BF-F5D93B78764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5B7FE4-38AB-4AB4-BEC9-1A8F6AD9C6F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AB0A81-3AD9-4D05-9F8C-3D5CEEB98E6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25AE1A-1206-48A6-B6E4-D7082E01BF7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B9826F-6F18-45F1-B178-719AC0848D0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FDC7E1-BFAC-456B-825B-383AF85FF74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827AF4-0055-445B-BBDD-36930C8028B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7A54A5-3F0B-4F2C-B677-3B191DB8A72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7FBEFB-383C-46D4-AD91-D67772F2626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600094-DA59-49B1-9EA0-AEB6D1966D6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A3DE5E-02C4-4F70-B1D3-0998D202BE4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31544F-8AC1-407C-B37C-5D845D5F023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8B81C3-0915-4A60-A013-384A6465D9A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033F77-CC88-425E-AF9F-0A59377FAC9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A7D549-34B8-47D8-9E7F-4BF6BD5B341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B685B0-A4AB-48B9-B84A-779D09A0637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874DD3-A9C2-4038-9D43-AD0BCE6F052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979DF4-F317-4116-B394-BE6518E2684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BAD3BA-BD00-42DC-8690-20C1EFB11DB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3A811C-EE2D-49AA-AA90-AFC7B239778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ECCECE-5574-459B-BE2F-59025CFB2DD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C53CE0-01BF-4D94-A9A3-C59934B3B50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AF6BE2-15D2-4EE3-BF50-4FAB8AA52F2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0EB5D6-8E7F-412C-9CF0-BE98BD16581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C461F7-DC0B-483A-A3A5-0C4182AB081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E4D593-9B07-441D-8705-C0F03BA473A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CB83C5-90D6-4892-831E-C71C312B451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D3383E-6F71-4281-9FF0-B1ABA85266F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243D15-D02E-41DC-84BE-F7C50661B3C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146337-2DB9-47FA-B18B-CEB6099B059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9EED6B-DE6C-4B00-ACC7-C7EBFFD263F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C4C290-26EB-4F90-8FBF-8FC49234066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DA81C4-8493-4015-8580-FE439349B4E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F86622-76BA-413C-9F96-C445A145899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56FF34-0342-437B-B77B-AC1E0F81CA1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AA7287-F08A-4DA2-B3A5-03C58553A46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E1AD7E-38C1-450F-90F7-345E669DEF7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102CC7-D636-4D9A-8874-85019DB5CD2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45896E-09B0-4A2E-B62A-47B602B3741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16C9B4-6CDB-4A93-AF1A-20F6BC1CA0F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C495CF-C36E-484E-A122-E0AA3363F70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87F8C7-086B-4603-A99A-C5CDF4EC68B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1920CE-6A35-45B0-9A9C-1AFF80F865D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8D4015-357F-41B3-9CF6-4ED91BA82BF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3ACC05-36F9-402F-9986-535FF483FD3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BC67DB-B5C8-499E-AABF-19F7B1775DB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101332-ABE7-46F9-9DDC-834E1036A72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E160F5-2F87-476D-BB10-4AFF48719D0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F96D9F-17D8-4B45-B728-430EAEADBA7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B7F90D-040B-4B4B-B7BF-90E5DACDD4B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A9CEC6-4825-4A86-9B91-6A904628BE4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745DE4-A1D2-4467-8504-0F5ABC6FD7D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C08ACF-F9D6-4B7A-AEE2-13717B75D25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17F73A-9C62-4B2B-8A4E-7255E73513D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D4CB9B-8D2A-4E1D-8F1C-BF4D5EE4445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80D4AD-C068-43CF-9258-5FFB5A79F2C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5A3CD1-2C7C-472E-A2CA-71DFA478DEA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DB5773-0159-4827-B2F8-7A24E35CBD5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BFF9BD-5E48-4056-8793-738800AF3C9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5F2438-2B53-4F53-83FA-9D341F5F226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4AB482-51D4-41FC-86F4-54A10B9F8A9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1CFF9D-73F4-4D14-A4C7-ACDE46487FA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1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AB189C-D316-455E-BF05-5D7979E8A58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22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9FD5D7-3C9A-4DAE-B46B-6BA3A48C774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814BF3-9A77-4230-AA8E-0764E5C253F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DD4B81-1DCD-4913-B73C-2200D125A2B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0FBBE6-DA35-4EF6-B043-5C2C428D8D5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BFBFE4-E224-470F-8B34-C0D5C36B13A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5E0CBC-9911-48E3-9C95-98344247BC6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FA26D0-DE6D-4791-9A8A-63D0871ADA7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A300E0-EFEC-438E-A481-A921D2A3E44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BF818F-1749-4B88-885F-2EF3B7A8C9D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8B1425-29FC-4C00-981B-655EAFC8BC1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2C321D-299E-426D-8D20-C44F21CBFA2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62C421-5AA7-4096-BC0D-CF78F03B211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DBB165-51B9-4814-84D4-EADEFB5A727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0037B8-1164-4113-A392-8324E251EAA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A8D5DB-95C0-45E8-9B34-03183E928E7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99D6A6-AE4D-4749-8142-3F96C3330DF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688218-87AA-4406-B08E-A79500CCB82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B5F933-D710-4652-8545-C4EFABE2CE7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65C797-DA16-404F-A628-560DC86D4E8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2C9472-7297-41EA-AB53-8C8E3098534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7F86FE-6581-4A09-B2D0-91EEE8FD642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7B25D6-08BD-40EB-B134-FFEDF030591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523BBC-B1D4-4C5D-A969-38D4D03437B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A9643D-2BF9-41CD-8C5C-8581BF2CA56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617FB1-9DBC-40D0-A6FB-9F76B554636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CA73FE-9F48-4C9C-988B-7234C25F63A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1D4806-127E-4400-AD3E-2B1F648A6E2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5A8D03-2DAF-4221-8756-7C638737D9F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D9F9A2-04E9-4D29-BF85-8CE0E796CBE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B17300-6E92-46C6-B81B-C8CEAFE9997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3F4DC1-BA90-43DE-B412-00459E3140A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60A504-88EE-4FDF-B4DD-83A1A2E7CF9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B81BEC-CD04-43F2-9C51-EB1434BC135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DFC7DA-1C82-47AF-8021-B6804269DF3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E161A2-C56A-4C55-9C0E-9F66B0872AF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DAE980-B1CA-44D0-BEB7-5826860BCDC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2D97B2-1B13-4D72-89B1-B26B6503F2E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149E44-D275-4C91-BE0D-C20D59289D2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D8E428-3BEA-4BCE-B7FE-1285B684E9F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DCE57A-7EA5-4419-8C2C-39A2A37F6A7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CEE23C-FE7C-43C7-AE43-B39F4E73F1B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30915D-D764-4437-BADC-2FB75A3FCEF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E9A389-31EF-4F8A-90C7-D01F4AECD88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1FE612-A86C-4D45-9482-7692BAD31A5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AE316C-CD2D-4FD7-9665-E6BA49208E2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0AE1D6-E0DE-4408-B0DA-16B4E465B46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B18DF4-800C-4937-AF4C-4B653091578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9C13CC-589F-4FD0-A043-849B2B0A517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D44DE1-0172-470B-A344-371D1716961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0338F7-F028-4F07-B299-0DD77E5EBC6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F6E354-A56A-408C-BAE7-762DC75591A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F16C1E-10F0-40F8-9BAE-36B04DFADE8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0332E4-63AC-4B25-BF4E-2A804FC2F70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F09CCB-CD93-4E69-8A68-6758E8A22DE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B7BF1F-36C6-4E9F-B39D-E4CE330EA8C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72CB3A-E69A-46A3-AE74-5CD74BA277D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ADA168-00F4-4795-A1AB-8C138A6C6C8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D192E6-B5D2-42B2-B834-10180FD3FC8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6E9DD3-4A9C-434E-BE76-4E4B6CD773A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7A5A6E-02FC-4838-BC45-6B57938B12C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3ED026-C44C-4A87-BCC6-502F9EE6D7D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385B05-6650-49AB-AA36-8184D24E492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8C3D20-C0D1-4DF6-BFB6-DC2DA9082B6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3A5A08-4B27-42C6-84D8-CFB4D7495DE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46A63D-7330-46AC-B5B0-81D3A18D88E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6559D2-07F1-4590-89DE-939F7154DE3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876780-4B3C-4BA4-A0F1-F5B02715C41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1B80FD-D4BB-4BCC-BFFA-E25060BBC80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A34AA3-A808-4990-934A-E3AD1EAE4D5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5C272C-A1B7-43EF-9C87-C644223C9B1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54CA11-B454-4166-9394-51F0A0DE237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6C56BB-EEC3-4492-8302-B9A2C1D5877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97CC29-00F3-42FA-B523-1B2F7C74057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5568C5-475D-4668-8677-034C1E71EF2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3A2389-83D2-4999-A9B6-632886AB949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1E2A08-75CA-430F-94B7-693A651EFEE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995507-A7B3-4424-B931-9F971DC8791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AD30A6-479E-425A-B626-717B2717686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75CDEB-FF35-41BC-8884-DD0FEF605FA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798344-796C-4794-8C5F-F0B2815EC54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22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98BD4E-7EB6-43A6-872B-D466C465C0F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2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A8DFF1-6A74-4AB3-BADF-E4EFE296E006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2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25BD51-2C8E-43B4-B14C-6EAA1704F867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2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D9E48A-5136-4290-9B27-276C5F7482B0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2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078468-D5D4-487D-BBB7-2ECBEE74CA25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2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55A0D1-B8D9-4324-92D8-1331B6BECAF4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2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691F56-435D-4A91-9546-4064C4A99C43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2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7C22D6-6288-432B-A5ED-C0C59AE7497C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2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1D80DD-CACF-4048-909E-877F2E4BD2B1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714375" cy="304800"/>
    <xdr:sp macro="" textlink="">
      <xdr:nvSpPr>
        <xdr:cNvPr id="22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239AD6-BAFF-4390-B4C7-5C021837F9FE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2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5A0668-549F-4BB1-8E83-E4C6F8ECCBEC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2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E9F9C8-07D0-4737-A878-FC3E242777A9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2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07352F-99E5-4CFF-A712-6BE74AC34A38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2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D32786-CBB0-4533-AEE5-FFF4B4390322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2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22D0BD-0829-4D0D-A881-CAB2D332088D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714375" cy="304800"/>
    <xdr:sp macro="" textlink="">
      <xdr:nvSpPr>
        <xdr:cNvPr id="22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720A78-8915-4687-8661-84875B8321E6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2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E2EC8C-3A56-4B62-B9BB-28F79B6807DE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2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5708C2-F03F-4437-A4DD-4E7D8ECF5AA1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2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A0A5B9-6BFD-47B6-AAE0-0054AB895E1B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2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FE3ED2-CC6F-4EB6-A513-CE5C504E5471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3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E0F6D7-DECB-4741-B391-9184A073799C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3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1608BD-98F9-4A4A-A7F5-D2B004E69320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3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72F27F-4DA9-4176-9482-0AE1E1A05AB6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3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A25672-7A2D-433C-AFAC-16C70CBF3C32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3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2F7050-2E18-48D4-8080-A3661D8E0298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3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2D1F0F-CCEE-49D1-BE2C-DE0856065996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3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FBA071-875D-4A53-8310-37354904EA0C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3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64897B-BF7F-4072-9CE4-D58427F64027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3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5D4861-1107-4FE6-AEEF-67E055D28186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3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06CE8E-3ACE-41CF-8090-DC2219BF28DC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3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716704-C7A1-4F5E-AD20-1F2C76D2A4AC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3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B9E8CC-0FE7-4CC7-B7EA-B00E52AEC687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3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B053DA-5F92-4763-AB30-522ECA6125FB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3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7244E2-F3CB-4A2D-902E-1A294518A98E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3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E618D9-D419-466C-A161-0CC865D194C5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3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4FB39B-6E52-4963-91E3-43580D11DB3B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714375" cy="304800"/>
    <xdr:sp macro="" textlink="">
      <xdr:nvSpPr>
        <xdr:cNvPr id="23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995414-6EB5-4770-A2CA-7497C3A8A68D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3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3164ED-6AEC-4E63-9A27-CB76A8E2CF36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3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BC15E3-89D5-4ACB-A79B-AB913323762E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3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CDF0A8-1705-49E3-A04C-CC41B53D8325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3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37E405-C88D-4405-99CA-8B7505B306CC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3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059E16-679B-44CB-8949-A4254C1BF127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714375" cy="304800"/>
    <xdr:sp macro="" textlink="">
      <xdr:nvSpPr>
        <xdr:cNvPr id="23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AE9640-ED25-4122-9F15-843F2760AE48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3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450BAC-E04F-40E5-A271-32B7CF6400E4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3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231178-B0B8-4E6F-9716-C6E24264A2DC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3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8DC029-9937-4F0A-9A11-F5ED8FB8D94E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3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B66E63-6944-4FC7-B50B-144B5B984CD7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3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BABDB9-5868-43FD-B112-BC3620967B35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3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34DF7E-81A2-4F93-B109-ED2A6F91996D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3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72A536-5EED-4B4D-82BB-C341425F7C0A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3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345D35-AF15-44E5-96ED-6939DB4402B6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3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B8CBA7-872C-4284-BA01-DBA37174BE3A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3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111091-A062-46EE-AC6B-C7D69DBE5257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714375" cy="304800"/>
    <xdr:sp macro="" textlink="">
      <xdr:nvSpPr>
        <xdr:cNvPr id="23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56EE50-293A-4EF2-B24B-3BF0CCBF1A5A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3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923889-A32C-45A3-9456-3685F300D01B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3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1F9F34-E2E3-4770-8B6C-8CE8B6DF759B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3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D9DC34-7999-4A31-B24C-4508B075F821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3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DB8A5E-13E8-464C-9B52-13E7D4FDBFF9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3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F010BA-00BE-4108-A0D9-604947C2C67F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3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F88919-91A3-40B4-BE9A-E16D1E159B32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3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83B0E9-5B7F-476B-823C-E0C191B64536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3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543068-D81C-4126-A1E7-B60B66D642B1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3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D244B6-F4FA-41FC-9352-B0FC62CD8D81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3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4D905C-18BA-4ADF-B313-997EA53EBA49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3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CDE8AA-A0EF-445D-A4DE-DF405CDB33C0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3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932311-8523-4563-A3C9-8242742AACF0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3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24BC03-1546-45D4-BF27-872F9B6F7F30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3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A02537-7D4E-4CD4-A9A4-A6A3CCE8226C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3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9338C6-E554-453E-8209-307E0AFFBB2F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3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C9DC54-14E5-4C81-9C6F-44949FB976EF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3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C34FF9-DDE3-4BE4-B7E8-8CFDDEC0DCF2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3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5D1936-1930-41AE-A0F9-D2AF5CF05D35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714375" cy="304800"/>
    <xdr:sp macro="" textlink="">
      <xdr:nvSpPr>
        <xdr:cNvPr id="23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BC08F7-DFEA-4D5D-84A9-DD72A9C57E9C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3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AD52BE-FDFE-4428-9B0D-E8034DAE8AAF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3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060A2B-C35A-44F0-B752-9DE3FE763D24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3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A03DE8-0D44-4FF3-B7CA-12E077E9E63A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3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D3F0D0-43D4-464C-B556-0DCF40D0AD0B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3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68FE45-424E-43B8-B14C-FE9522CE3266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714375" cy="304800"/>
    <xdr:sp macro="" textlink="">
      <xdr:nvSpPr>
        <xdr:cNvPr id="23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CBB53E-702A-4226-9D8B-5C67C9D78B6C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3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CDA9D4-B90B-4567-A010-2FEBAA0ECC4A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3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BE4A69-9353-4034-ABF4-9750065657EC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3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92E756-283D-43A2-B1DE-B17EA31373F0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3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43914B-25A1-41F9-B0EC-D876065915FE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3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730A40-DAD6-42B9-8511-602EC8F899DC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3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1FE9EA-37B8-44F7-94C4-47155580835B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3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242125-919A-4D4E-A1B4-2DD9D15D6A16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3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E5956C-6660-4DCE-A4E4-FF7F64A7D8F5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3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D1155A-0C51-4D85-8C16-C5C085098739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3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72CFB0-32EE-4951-B26E-1FE69A0249BE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3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4B2D35-3DB0-4018-A192-700823081E93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3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7359CB-4795-4D75-89B1-F6633CE9E2EE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3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CE9C3A-051D-4380-B986-C8D29F42B033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3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DFA4DA-B706-4AB4-8C53-22A94C890298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3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49324C-410C-496A-BA62-36D2ED2A9341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3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7D0BD1-75E1-48CD-9F7C-0849AF5FC06C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3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07802B-D2B7-4902-9E44-2EE1EB274F13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3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1783C9-6165-4B3B-8BB0-7F53A279496A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3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AFAC53-F13F-4417-AB02-B7974D473BDE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714375" cy="304800"/>
    <xdr:sp macro="" textlink="">
      <xdr:nvSpPr>
        <xdr:cNvPr id="23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447A4F-F870-49A9-A309-91F108F00552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3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47B3FB-D8AD-4D61-ADB5-DAB051D6C0FC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3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510392-8E81-4701-9FAA-BF7E96028CB6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3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62D26A-25E4-4B5C-ABDB-40BD59B3D7DE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3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3EF738-5B62-429A-955C-011DD4F657E8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3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A37E37-46B5-449C-9375-A2A970938A8F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714375" cy="304800"/>
    <xdr:sp macro="" textlink="">
      <xdr:nvSpPr>
        <xdr:cNvPr id="23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8B47D5-0C78-4031-B4B0-307245B87FC7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3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7AE7B5-25F7-4C54-ACC9-AE625B497F49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3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508926-D38A-4992-B10F-AFDA74909582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3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04E355-F581-458E-B43E-7F776AEB880F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3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D974D7-DEA2-4F97-A204-C21F840B853A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3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A260F6-8DC6-479B-B66B-2F7278450A23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3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A5148E-34F5-47BA-AADB-545A731B75B4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3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636638-EB74-44D0-A044-63D63F1ED01B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3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D812DA-7497-4589-AD84-D960888C81D9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3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85E757-E4DC-40BD-A52F-893F141F20FC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3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03A6ED-2C06-472C-A4F1-8A438EE46E0A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714375" cy="304800"/>
    <xdr:sp macro="" textlink="">
      <xdr:nvSpPr>
        <xdr:cNvPr id="23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4465DE-6186-4850-84C9-A1E2CA67DC75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3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97A08D-EC9E-4A78-B693-C3DC10C7E9D5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3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1AA54A-F202-4D01-8F53-5E644F8AA973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3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16AE02-0C4B-4E4F-9B98-84EC3A5CE17B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3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5A2232-49B4-48F4-92F1-18986382755F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91D8D5-4408-4DE5-AB26-E06006095472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A4829C-1E73-4282-8AAF-81A472ED1C33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52EE72-9383-4626-8426-B6626D6ABAD8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E43B6C-7D9C-4BE9-AF23-0F14E74A7173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003613-9A2A-4F1B-8513-A145AFD6B50E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793DCA-97E1-4071-A293-2EE794FACED7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0A085A-B7A2-4AB7-95A7-2A5D12494487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BB54B3-9060-4775-807A-63DBFDC79B83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85931C-7847-4C34-B602-FA76BC2CEF04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FB8F91-FF21-4A5C-810E-7CEC961B4B9A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6E0EAE-3AE9-4961-81AF-6511D21195B4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3A4087-1325-41B8-B344-F188A10FEA38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BB4738-0377-40A8-9A92-5E540E353E81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EAC542-BC59-4FD1-A4EE-EB2FC1A1B8DB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972B57-21B6-4874-8A50-81D02BDF5CF3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36D646-4834-4ED1-B768-A6884C5A44E9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80FDDC-6002-4E89-91C6-021747869C20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111DA2-1E17-405B-9B0E-D158B7704C13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254704-B171-416E-B6DD-B5441E98B20E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BA6F5E-34BD-4876-B85A-8E6EEDF8F080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60AD0F-93E5-4B80-B439-154AE60FA611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A54310-2D41-4C78-9A9A-13332D686592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1918FF-C299-449B-A35B-A3D8B0C70CC8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4815B9-B0F6-4830-82E9-4680630C8C03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D70EA6-CC4E-4FC0-9092-34CF06746F03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E17305-89B2-4D67-AB0D-B3F53517149D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2404A6-CCCF-4756-A37B-3709A620BCBA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3929E9-B1D0-4DC6-B6BF-D83657A33599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6A27E3-0645-41A3-A03B-C0082E3D6D9C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9C7E7A-EA45-4478-9031-59A71AD6F2A3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5C0133-3452-46EC-9510-409FC90D7B74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CFEA56-9930-47F0-B476-7448E2BE12D2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2A8B43-A06C-4512-B265-2AC451C7459E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7B2768-EF6E-48A9-B0AA-74B0A2AB2411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5B04F1-CDC6-4762-BDAF-D4F279ABADFD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CBB739-8F9C-4948-B616-185B9889987E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D732D9-D04F-45DA-9C1C-41EB91EA5C2E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93295F-7597-4EA2-BC9C-E07FB5374218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4136E9-E0A8-44DE-A69F-8998E5413B2E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B32660-0DEC-4FAB-82B4-D0E980850CE6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5EFDD0-5716-4B08-A8EC-4FC4E27D6E84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20D4E7-9DDA-4415-A451-3EFE140138BA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345F55-22A5-4ABA-9D06-27596F9578C5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0817B5-636D-4303-96C1-6F49315B3D5E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ACE9E7-C206-47DD-AF6A-DB4DC68DBA6C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68FD8D-8384-4BF8-9D1B-2B221A1F1311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C3C5BA-B3B1-41AC-BA89-238E1F73E39E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82785E-8DED-4269-9153-76927385A201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640F65-CCF4-4787-8CCA-0461FABDD1C1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7459EE-38D2-4313-B651-5F7DA49253A8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F115B8-BC09-4060-95BF-6B277CBF1F11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E740DE-B164-48F0-B769-DC5AD555E6BE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19A8F4-C307-403D-9D9F-F03BEA86AB05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A21231-4CD2-4C80-89BC-FEAD2EB90B7D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9DE214-B87E-4006-BD7A-76C464140AB2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E2C906-807E-47A6-947C-143B22E8C32C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3195CC-7F15-4919-B1DC-1715E5DA913A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46688A-3AAC-423B-982C-0382A5C7CB2C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EC6766-B8E3-4859-9B1D-B9D84375B665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CE9FA2-8317-494E-A8D7-F3B8E10844B6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236AA0-F460-4F73-8804-76DC93C3E20E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48EA20-192B-436E-AB47-D59344266AB0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01FDD6-E939-433D-B27E-896345BC4329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1951A0-B353-4E93-9CFC-686704458E28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384996-0F5A-47DC-B477-6E5C03F56FB5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E4D823-6736-4782-AC9D-AB1BFEB984FC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1A108B-2E05-485B-816F-525F4EABBBBB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7A899C-6DAF-4803-AE58-D6C7A74F18C2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AE1CD4-2254-4AE2-80D2-5EB73FF94115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BA83A0-B9E0-4F60-B80B-7AB57E0C1F12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00A936-FEE0-4B87-A00B-894EF73962B7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E44C48-28CE-4AB3-9AED-941D7F24B46F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6CFC8F-207D-42A7-8B2F-1D3448AB0CC0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BEEE07-F7DD-40F3-821D-B07888685934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BC08B4-463C-400C-877A-1073E0E77D0C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85E7CE-21CE-4670-AF40-CC3B4E4A0A64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32AAA6-EE84-4320-B15A-26BDB8212FC3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C89B7E-6E69-4F38-B3F7-6644261A75AB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D58AA1-0E16-42A1-9F7C-3A4FBECC4D28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48FDA5-89ED-45C2-8331-FEDD3058C925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DF9C13-E3A5-4AA8-BD98-2717DD36E000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D873E5-F8DF-4C6C-B6FE-B471E5F2A753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2E8F3C-9C7E-4125-85DF-DB5BF92C7E83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52023A-EDB3-41E6-B789-0BBB1D1C5518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045C51-A716-4892-AD45-0D854C84BEEB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FB2BEC-E38B-4645-9548-DA81D6B73707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1BEEC9-A104-4A1B-B8C1-0CD0FDEF8BF0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2C41FC-77A4-4BB7-849B-792065184C45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24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0A5125-3461-4F33-B882-5938449343C0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714375" cy="304800"/>
    <xdr:sp macro="" textlink="">
      <xdr:nvSpPr>
        <xdr:cNvPr id="24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FD24F0-7FE8-4F2C-B5E9-A9DCF2508142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24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F80460-698A-4240-A0AF-00529B90BED7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24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50D03B-20FF-484F-ADF5-266E888D68AC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24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E8FBA5-15B5-457E-B844-05F7E898B385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24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0663FD-4A27-4696-B212-FB2A6BBECE6E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24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42F557-8CE6-4524-814B-8B3FB7B9715E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714375" cy="304800"/>
    <xdr:sp macro="" textlink="">
      <xdr:nvSpPr>
        <xdr:cNvPr id="24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A69979-E9A7-4B83-AB7A-9E631BBA8AA5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24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8CACE5-A88B-44FB-8C60-46C2D4BBDAF8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24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B7DBCA-A40B-4C09-BF82-A2D09C9B2BEB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24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47BB94-9725-4DBD-9FAE-A38BB2A4B64A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24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A6A501-0C17-4CCC-B495-3AE0489AE2DE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25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E35A42-CCF8-4F9F-A0EC-832B0F6BB323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25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7A0CCE-FB64-4690-A77C-0B9E47B849B9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25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970CA5-6A46-4F00-9035-CA7DEDB138D4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25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9CAF75-E7A8-49E1-A107-26AB0C7F03D4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25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9DFAF9-46E8-49C4-A5D2-C03C4F6C3687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25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ECFDF8-E92F-4212-9418-3BB56436F8A2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25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6C6701-509F-4056-9814-FAD77EDB6A5D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25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1111B9-0978-4EC4-AFEC-A49DFA454063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25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DE7132-583C-457C-B975-C15450704F2E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25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AE7CC8-EB97-471B-9038-13F85A556E19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25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4056B3-F46B-46B3-BAC5-5686125AFC10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25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700C97-D3F6-4627-9D61-E92ADE9CD9A7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25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CC1C3D-B4D1-4600-9E4E-F37164A45A25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25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93C111-D08E-469D-80BE-6F39200904E0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25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74FCDA-D3FE-4589-B5C7-F8314E7F3F37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25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27A9E8-DA92-4485-B610-D9719B6F811F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714375" cy="304800"/>
    <xdr:sp macro="" textlink="">
      <xdr:nvSpPr>
        <xdr:cNvPr id="25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E0AEFC-DBD7-43FC-BEAE-50DCFCE03B35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25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B7316B-FD34-4ABA-AEFE-6289F36A43DC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25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74C9D0-4EEF-4F02-A5CE-6B5E7B1A7E07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25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7BC894-9DEA-419E-9F98-24EC1B96D023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25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FA6E7C-798A-45CE-8D63-03E00A0A4C7D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25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CC7CCB-6B01-48BD-8AFB-70BE5016ED7B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714375" cy="304800"/>
    <xdr:sp macro="" textlink="">
      <xdr:nvSpPr>
        <xdr:cNvPr id="25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2A0D52-C0D8-49B9-86C8-15C1FBB48205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25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41116A-F7B0-4D86-9A89-1F22AEFA4154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25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9FD0E1-47F0-4E92-809C-DBB137701573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25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C6660C-B947-4632-AE3C-A95E08E48E74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25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4BC39D-E50F-4A2A-9FA7-CC72E68AB877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25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EA558D-E75A-47F8-916D-3D1CB783493B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25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05ACD4-D034-435C-80BD-69EB7C2DE9A1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25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C462F8-6573-479E-806D-2DD5D99EA646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25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C2A644-8CB5-4F89-8D98-BDE7B0A24148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25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EFFAA0-CC74-4F0B-8DC5-979500E622E7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25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E5FD86-E111-45C5-B69D-05277465C3F3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25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504C7E-1E3D-4AF0-811C-A17F0445B004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25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8FB9EB-167C-4B2D-BFC6-C6869DF2C293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25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78C748-58A7-4FD4-8541-B896A9FE97E0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25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56586B-4FE3-4968-B947-A657E11B915D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25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67204C-757A-45D9-8CAE-8E94128091B7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25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378B43-D8E4-4F26-B19B-80ADBA9DB9C3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25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145D13-56B3-4068-8AF2-0E8FEBBBE74A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25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EEE83C-9903-475F-9050-C4DAE30CD019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25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F2AED8-4E36-43DF-A99D-0E7E8864D02C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25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7B7495-D1E1-4E80-AC06-59ED2EA44C0F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714375" cy="304800"/>
    <xdr:sp macro="" textlink="">
      <xdr:nvSpPr>
        <xdr:cNvPr id="25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C06AA7-60D1-49A3-BA1C-9203F259CAB8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5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787BD5-0040-48F2-A281-537127E2A2B1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5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0D359E-9376-429C-B88B-BC9A12917293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5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22F619-4A69-47C1-A0DC-5ED4988C8F6E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5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CF0FE5-749C-4532-8C72-8248C6EB3D71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5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A1D90F-8819-4EE2-A288-50FBEF83D85D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714375" cy="304800"/>
    <xdr:sp macro="" textlink="">
      <xdr:nvSpPr>
        <xdr:cNvPr id="25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16E8E2-D14E-47AC-9A27-67A4DB2AC6EC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5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E4BB7F-78E3-4BC0-900F-ACEE7C398EAB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5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9092BF-96F4-4336-9E3C-0BF3AFC62EF9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5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EA8EB1-3F64-483C-8F0F-57BD5A0F5DAB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5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F0E070-421E-4A9A-B92B-FECE219FAFD6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5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6A5BA0-F4B6-4993-8F08-43960FC57E1F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5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CD835B-62DB-4134-9561-DB7EC6ECB2F8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5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44F3AC-63BE-499C-AC83-BD07FC8F6FF6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5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6FA8F6-F995-4DCF-9E57-9E4346B41679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5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F47A1F-160F-4526-ADEC-C586FB610C40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5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737643-94B7-430A-871E-4998C9D8842A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5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C75AC3-7843-470F-8B26-1E5083D84A8D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5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23E453-E111-4725-91B6-1501CD2DF79D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5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6B9310-A4A5-4F9B-AE4B-0E4D04880EAB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5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BC3637-3454-4B0F-8437-A261E15B24DA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5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B5D18E-9604-45CA-93B8-5EB5716F18F3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5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B30A0C-41A8-4B26-91B9-403F11603D22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5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D4A9D7-E16A-4C70-AE16-3F0C1E550FB1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5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6F738D-9F2B-4D4E-AF11-85BDEA2EDE92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5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EAAF24-C931-4B18-94EB-D04E7E2CE40F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5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059603-1957-48AF-86C9-DCD360015B9C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714375" cy="304800"/>
    <xdr:sp macro="" textlink="">
      <xdr:nvSpPr>
        <xdr:cNvPr id="25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E7F641-79DF-4A34-AD56-14B08751C4F4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5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C178E3-94BC-4D85-A54B-E00B0464ECC6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5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991B09-037B-483E-BB02-0FE76E59796F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5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1C362E-AD1F-446B-AB0A-ACA00C91C12A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5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11F69B-AD3F-4032-8456-2FE1CD391E52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5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9EFC32-6F42-499E-9970-BF4086E3C715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714375" cy="304800"/>
    <xdr:sp macro="" textlink="">
      <xdr:nvSpPr>
        <xdr:cNvPr id="25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59938B-3EEA-4229-A729-7C8A493E2384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5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255C1E-6F95-4274-9E36-1684903EE7F2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5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8702D0-E261-4546-BDB4-5C88D9C3434D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5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ED8457-C9F4-4F5B-A6B8-1D647C673FD4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5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93FFED-56E7-4FCC-80A6-F9D9210E61D1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5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767764-8693-4CED-85D7-4EED8E294D12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5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423267-DEF3-468F-A45F-A855F65C8B6F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5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412505-18CB-4E43-ADE7-F0EFB162A51C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5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C44E72-532A-43AE-AF85-65C29ADC5AB6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5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4A7D69-210C-4846-A007-D737B512AA05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5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5D0711-1019-4ABE-ABFC-082FA95DF219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5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D7F380-9DA9-4E9E-8DCC-3EA2ABAD7701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5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55B3AB-AC5B-4728-9A66-A53A04B4578C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5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086168-CB89-4B57-8552-2E5F76220EDF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5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EC48FA-22C0-41C3-97F2-989C66C491AF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5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99B6B1-4504-4D91-B022-FDD19712C1BE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5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E64B93-8C5D-409C-9F7A-0B98BFBD454F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5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C25DC2-3D73-4150-98FA-167C5AD5B472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5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8A7F79-0939-4DAF-9B56-0373BCCC9ACA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5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30DCB3-20DA-4CD3-A9D8-DA3AFC1F2E28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25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CA5EBD-9ACA-40E9-A82D-64035C8F25D4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5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60FAFF-5421-469C-BC8C-B7FA03B58A78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5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3E4CC7-1694-4B11-B4EF-11F6CE9C6F35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5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04E22A-53A9-4AE7-8203-EF2EEEABF7FB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8191FC-A711-40D8-9D32-3D7166ABECCD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EB7612-D95C-4D83-98A1-441B4CACC01E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D04515-7772-4081-BFDD-84F5314E1FF2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6526F2-CDC1-4A5E-8801-3346C8F1D984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423BCF-DD5B-4340-ACF0-67727850AED2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714375" cy="304800"/>
    <xdr:sp macro="" textlink="">
      <xdr:nvSpPr>
        <xdr:cNvPr id="26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B8713C-99CA-420D-9D0F-F6767A17E21C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9BB989-D221-4D77-A20D-CE50B6BD9334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A80B68-D6E1-4A14-9F8C-FC0745FF904F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BF7E49-3A6E-4463-9907-BD73DF62BAE3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05C76F-D20B-46CC-A429-A6F323D17334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AD1262-62A5-423B-A480-55CC589DBD46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714375" cy="304800"/>
    <xdr:sp macro="" textlink="">
      <xdr:nvSpPr>
        <xdr:cNvPr id="26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F7C71B-3C45-4540-99CF-9B84421B8D0F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9F3107-CC60-49DB-9F55-116F033D6E48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EB9B32-200A-4499-BF1C-4B0807B737DD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E885ED-1D2A-40B0-B567-067EA60641B4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E0FABF-2585-4730-9F88-FD63A55594A3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332C04-8DE3-4FA8-8C57-9411388F6DB7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F351BF-5954-446C-B43B-AD7093784877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39C112-0139-4F48-A27B-E058678BB825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7B58B0-2A1B-439D-B9A0-1F0C89D5D0CB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69DF4C-2E8E-457E-80E9-44DD56A2B909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6C117C-6E88-4B3C-95CF-95A0DFCFC8DD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714375" cy="304800"/>
    <xdr:sp macro="" textlink="">
      <xdr:nvSpPr>
        <xdr:cNvPr id="26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5DD02D-0066-412D-BFDE-81F08C4F21A2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205545-3BC9-43C2-AFFF-3F2965D0A52E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E85BEF-1B92-480E-A859-E21B189D669E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A122B4-6133-445A-B62F-11891D2DCC60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37E3CE-2F3E-4EE9-89ED-E5890ACD4A67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E0BAE1-06FF-476D-98B8-74965C73D031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6DA8D8-50B4-47D3-8DF2-8576FD619E17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228210-E96D-497F-B494-D19B0C665527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C785DA-E7F4-46C4-9286-ADDDEDE002CE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1F4EB3-6333-4825-B3C7-4B688EE160AA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2BFF2B-46C2-4B12-B07D-D3D5A00494E9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19FBFF-8A0B-408D-BCFE-6108ACE3EBFF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4545CA-1E0E-4AE5-8034-771651A4E725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7246C5-40DE-4CE1-B53D-CC9216929B37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6D9241-5AD3-4DA4-B98D-4DFE42D43EAF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EE7B38-942A-46B4-A4B3-4100BBD0F946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A3E6C2-B952-4665-990C-7661B458D1F8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C4FFFB-90E5-456F-BB4B-3D9A9FD44092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885B02-208E-47C8-A7C7-CD1345609495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714375" cy="304800"/>
    <xdr:sp macro="" textlink="">
      <xdr:nvSpPr>
        <xdr:cNvPr id="26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0F2239-E76E-4009-88A8-BFA7F296D0E9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50828B-C661-4D7A-9A98-6E633D14F866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597B07-45D4-41AA-B5D1-022BD7DB3CF7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1188A5-F09F-4AA9-A96A-75DB7D316DEE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514E32-6EC2-4660-B8BA-33DFA3668404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7013F8-11FB-49D4-94D9-8BD5D722DF0D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714375" cy="304800"/>
    <xdr:sp macro="" textlink="">
      <xdr:nvSpPr>
        <xdr:cNvPr id="26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3BCA0F-3D46-4ED0-8838-5888B4169320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DE445F-A9EF-4CDF-B830-72472A59A898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43CE90-1FCF-42AF-A066-087BECF026CA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8FA6BA-50B2-45BC-9306-F603DDE363CE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3654E0-3980-4991-99DA-5654DCCD8DC2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CC4732-41EC-456D-9844-AAEF361DDD4A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C7C5F5-7430-4ED4-A3CB-1ECE0DCE4EF2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0430C5-9789-4689-B4F1-940D873D010D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B683A1-B02B-4CAF-8B4E-37D5312025FF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A43577-7AD4-43A9-A6CF-5878BBD9F6D5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084482-A3FA-41D1-B744-7137F65E2F5D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714375" cy="304800"/>
    <xdr:sp macro="" textlink="">
      <xdr:nvSpPr>
        <xdr:cNvPr id="26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F0202C-2380-40F0-B77A-8F67CC6F7040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5701BE-2274-4A60-A632-529F1F703359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DAEEC1-2A6B-47A1-9823-ED3DED96986E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C6A2C1-D561-41FD-B52C-BFE6E332D99F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A39EFC-A3FA-4F9B-AFBB-6FFCE8E2C1DE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4312EB-01FE-4EEC-BBBA-C5A8F126DE6B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C26C6B-8AAD-4EB5-8A8E-2F5C2D8FB4E5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764C36-DC3C-4148-8D77-B42EE96FAE7D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1B44C6-8CE7-4126-9443-107413935B6E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2917AA-90DA-4697-B036-41CC632C5E00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62D5E5-60DD-4C3F-BE68-11A23143BCB8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881751-AEDB-40B7-826C-E65DE2285A6C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77FB89-A0D8-4DC5-857A-F10905860110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D3C601-40DA-4C19-BD9D-72129DC73CC0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2A89D8-8038-43A9-9E6B-22D24A767F1D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3162C4-C445-4806-BF0D-ED017A6B27BE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750265-EEA4-45BA-A885-E2C7738B2C68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8ADFF2-C7F8-447C-92F1-B8CB429DA267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B1C225-04EE-485D-98E0-0786FFBDCF23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FC137D-C7AB-4090-9179-BA6B79A02C04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277035-6BEA-492E-B3D9-59FCCD5D9B18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C7E4F5-793D-4EF2-8217-E3C1A31BBE1F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9CDE21-B035-4723-8737-607BEBD2BACA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1C31C6-7A4E-45E0-B6EB-284730AA7389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5FDFB0-616F-4B80-83EE-B755D6B7EC92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1C4200-C3E3-42C0-92DE-D19865FE2662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4B4AC8-26AB-40F6-8D37-C1EB5D809C9F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360DA4-51A1-4F0B-AE29-3A9AAD2D3D62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6BDBC0-0D5A-4FC6-B8E7-7E9B81F84D75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45D566-BB97-4F88-ADB5-07C18D1AC756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5093D3-6BBF-4C51-890C-82CCAE2ACFA4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79B8EC-6007-4473-B032-7A8EDAFA6FDB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5949F5-C886-4ED7-A423-8D80D6CB04FA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202910-EB5C-4E96-907D-63993D1861FD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14CBD4-5FF7-4293-B535-A2C4EA734978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BA98E3-5BCE-4AEE-8EE5-C1AEB8AAB0DE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14DBAB-7A41-4D3C-889D-216AB266B483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A3C23D-5ECA-4852-ABD5-EC87F7CB9303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FB4F2E-9211-4BA5-87AE-81233B140E17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B5EE97-1327-434C-A525-B91A057BE73E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63D32B-FE1A-4256-BC83-3DBA16B4A1EF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6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82DEE0-303D-4D13-9C5E-991041E52973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7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08A671-240E-466E-9611-C938130384E8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7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E68C8C-E650-4CAD-9D25-2D4DEDA51D21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7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5B56D3-F1C4-46F3-98FB-56A8FC9C2432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7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9D4763-0429-4EC7-9C83-B24F13526098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7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A53B51-0ADA-4AF0-8347-4A6E1A302DFB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7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0E5B9F-BA1B-4CF0-95D8-E3A4AB06C11B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7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A3B644-39C1-4EFF-B5AA-4DEEAD16448C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7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74652A-D43A-4D85-BB5F-C3B1CD52246E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7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4D4F0D-7FEE-4363-86FB-B3A5B4E6DEC7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7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496E4F-93A6-48F7-91F9-AF88E5495A3A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7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4E5113-ADEB-4D96-A5D7-A9BB31A7A1B1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7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A52085-4752-47CE-985E-4D3187C64D8C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7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CB1F83-D5B7-4779-8FED-3DED116C6550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7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8DBE37-5F0F-4C3D-A20C-A1D9FAEDE2BC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7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7183CF-C174-4E7D-A628-D9D4BB1E879E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7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1ADE4F-03B0-4582-9E10-F5161B889936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7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7F142C-CD23-4D53-BF84-1E2E7E4C9603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7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E8DE85-4E54-49DC-997E-8AA7649E647B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7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EBAB1C-0B04-4E67-ACCA-A4FFE25ABFDB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7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B2ED67-5307-4453-998A-0D002F3C208C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7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44CF9B-8706-4044-99D5-1362D71171F5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7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C8B920-9597-42DD-AED7-85E9F5AECA20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7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38B0C8-F9F1-4045-8F72-BF25141B2489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7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A9A322-D381-4F18-9CB2-81709D7E722D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7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530900-EA85-400B-B1F0-2EFED70F1758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7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BD9D39-2040-49A7-B7B8-DE908F1A3BC4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7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1F3F35-E3A0-4527-A942-D042E25AAFD4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7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36FD05-A7D5-48B4-853C-5B775564C1B3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7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191289-8018-4728-9FBD-210C29A14A2D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7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15DD7D-784B-4DE4-ABA4-6A0A1E7F0352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7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8755D8-1284-41F9-905A-1BCD64B674B8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7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1757C2-6F23-4010-B9D3-64E09BD52DBC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7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A32CE5-F842-40FD-BD55-F7579D018C67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7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3E6F66-AFD5-4E39-9892-75AD5BF5ABD1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7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CFDA1D-69C6-42EF-A778-662D90C286D0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7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F48D58-0CE9-4419-98BB-D78B3F7BAD51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7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8160BD-2161-4C1F-B82F-8DC11DE3211D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7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519528-BBAB-4D0F-BC16-740F256320F5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7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60F293-3FE6-4323-9B9E-D2F14FAFF410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7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D37F04-89A9-4D74-A7EF-8E3CBCFD44BE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7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FCB223-0701-4A52-BD9D-94F78AE4543D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7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216D1E-7198-4E3B-B4FC-58D43C254FAB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7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FD7A76-D0CF-421E-B126-E048F99F4089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7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454506-1213-48CE-BEC2-09E0D3C2FBE3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7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41B1B3-A7B6-4D0A-AEED-838291194EA2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7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314678-0A5C-4D55-8454-8C324B11DE0B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7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4C0F3F-9FBB-493C-9F24-0AEFAF94C72E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7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FC28CB-1190-41B1-8AC4-A0EFDDAA37C1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7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C1A65A-CD20-4AA3-B12D-318BF5011D52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7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CE4BB1-8D67-4700-9BF6-E46F407F7BDB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7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554D1E-D0BF-4424-AF11-84DBC316A93D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27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BB0EF4-38B4-41E1-B60A-4591A31CC7E9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714375" cy="304800"/>
    <xdr:sp macro="" textlink="">
      <xdr:nvSpPr>
        <xdr:cNvPr id="27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BB75EA-6B27-4974-8A0B-46E97DD2EF41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7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F187DB-687A-40CB-AE60-FA712F9F218B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7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81B0B1-2819-465D-A5B1-4306EB59F852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7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B79B01-F725-442D-8725-2CBDA03C17E0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7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081941-88B6-4327-A46B-B1CBA00C5353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7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B0084F-6BAF-47FE-B71A-EE477A2D9F76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714375" cy="304800"/>
    <xdr:sp macro="" textlink="">
      <xdr:nvSpPr>
        <xdr:cNvPr id="27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E418D6-62E2-448C-A85D-FC74C3DD6C1A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7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D15ABE-D1F9-45AC-8CE9-3870321FB0C2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7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1600C0-15B1-4327-B383-5E2A9713053D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7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3E79AE-917F-4E80-841E-BFB4D40312AB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7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276C95-009A-431E-AFE2-43F9672F0597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7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73BFCD-3A96-4B7A-93AF-6FCADFB28477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7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6D1516-5665-49DF-9E77-E5040DA28C02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7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3917E2-00A8-4F61-9A85-52355CB988BA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7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94C206-9451-4E03-BBA2-B4524FF2667E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7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BB20F2-1B73-4DB1-89FF-638B03ABA9A8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7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C495C9-9027-48A6-A5E9-6FE8328151EA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7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439482-9FD3-48F5-B10C-B03A34371533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7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2BACE3-A730-4A20-BBFC-B1E828170758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7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5537D1-CD31-4759-BE5C-25D3F7CB239E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7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2206B4-3B35-4739-9189-FF436CACBF43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7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08D717-CB7C-443C-A10C-2897D73A4BAD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7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7AAD08-2005-4B2C-A69A-2F111BC59883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7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C3613D-FCF5-47D6-B391-F6B1362C8706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7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843BD4-20E1-4ABC-98E7-07CBF7E50AB3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7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F6AEC5-9D76-4BD8-80BD-4E44B1151EF9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7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A61C55-FDE3-4507-B709-F352A9A6C4C8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714375" cy="304800"/>
    <xdr:sp macro="" textlink="">
      <xdr:nvSpPr>
        <xdr:cNvPr id="27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DB20F4-CB28-41D3-86B7-7BB12F773292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7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6CC05C-A065-4730-9FFD-3F13C2CCCC65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7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D93CCC-DBC9-41D6-AAD4-9D96C236D7A4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7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6BB325-ED10-4F82-89CF-87B50B6B3FB8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7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68CDBC-71F1-4EE7-A6E4-01D1629DF891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7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5CD611-C1AD-40A6-AD76-C31931672877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714375" cy="304800"/>
    <xdr:sp macro="" textlink="">
      <xdr:nvSpPr>
        <xdr:cNvPr id="27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86DA26-6498-44BB-88FF-F013A7B4BDD4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7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72A8D0-18CC-41A7-AC5A-CD0FED39E0E0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7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83995F-081A-4E0B-A5B6-0A9B62332C0A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7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555DC3-938E-4A19-9A62-EA59015701AB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7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085354-F536-4DA8-B9DB-7A328D84B3CC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7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F4D41C-77E9-4050-A883-348497EDF7DE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7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CB11B4-3758-43F2-9B2E-50ADFCEFAA8F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7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1FFF8B-D918-4CF9-8400-2FFD0F2269E2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7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C5923C-4F6E-4738-8DD4-D76B600A6DCC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7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8F0385-9382-42C2-A38D-A22431130536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7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16CCE6-6A3E-42FF-927B-B3C019297B78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7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D78920-062E-4FA5-A350-E1E042670C72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7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1C86BF-5480-4BB1-B15A-0E8ABE75AC84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7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5ADA57-778F-45DA-A6C0-BC7D1AB78EEB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7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EA51F7-EDB1-4330-913A-410238E54D07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8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E79001-CB6F-497C-8DBD-D8A0C9D21E1A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8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AAB605-92D0-4F2F-ACE4-A144EB0D2C64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8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A0FA7E-F2D7-49C0-8500-85D6B28254B2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8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D92BA0-8FAB-42B3-9C56-8BDE583B6C86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8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4A2753-AB0E-4FE0-92DE-DEE21BF447C3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28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04962A-0D74-4E89-9082-352A210575C8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714375" cy="304800"/>
    <xdr:sp macro="" textlink="">
      <xdr:nvSpPr>
        <xdr:cNvPr id="28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322978-ED6C-4F71-965E-A68F5D7D5645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28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7B294F-D7F4-4180-8D22-8342DD5BF9CE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28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B96DB5-85F0-4DF5-8611-2538DAFCC3DB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28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6D9582-2110-4F10-B857-0ADCC0178BE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28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685B9D-E58E-414C-923F-E3ECFF5901CD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28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5E200E-3E73-4C4C-B5A4-46F785CB95A8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714375" cy="304800"/>
    <xdr:sp macro="" textlink="">
      <xdr:nvSpPr>
        <xdr:cNvPr id="28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717A99-80C2-4919-8308-029A0B6E166A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28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189AAF-17C2-4FB9-8789-0C20F8295FCA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28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EA166A-0ACC-44CE-B1EB-F12B3416CD4E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28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252EA6-01B7-43D4-9359-5FEEDEB62361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28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6AD7EB-2F26-46AE-B71C-DA33D809BC83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28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278A52-A992-4ED2-AA78-C82A482831E7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28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85037D-0D28-4D4B-BDB3-350CFD48219F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28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4FC00F-D8FD-4292-A06C-FABC3D5666FB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28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6A26AE-15C9-4FAA-A1E9-41FD75FAB25E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28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79CC2E-1DB7-4B38-B3BC-7DF8050E246E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28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54ED4A-51D5-460A-BE3E-18298744E3AA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28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6A571D-19F4-4E11-A5E9-A6F383CA27C3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28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37EE06-F75E-4FAC-ABB0-CD483A49DF12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28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0840E2-D7E4-48A1-8D3C-B5EC174D9D12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28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55B786-997E-465C-BEFC-B75DDA8E65C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28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0C166A-AFA7-4D13-B506-E3257655461A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28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4569DE-33A4-4149-922F-85DFCCA98819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28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CD0F16-1FD6-493E-BEA1-D125FD22F25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28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AD4F9B-B05E-4D81-B217-BFE659E4AEB4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28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E56AB8-3627-489E-BBD5-0A0388E892F3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28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DE6BE8-CD04-4A5F-8CDE-F78E6CC430EC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714375" cy="304800"/>
    <xdr:sp macro="" textlink="">
      <xdr:nvSpPr>
        <xdr:cNvPr id="28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AB4C3C-F5D5-4EBE-A96A-43EFFC2FAE4A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28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A7489E-7CAB-46E6-9C41-1347A692507A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28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C03117-9366-4DFB-A7E1-7E0A5FA2276D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28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C217EC-EFA4-4B34-9F80-636EDA1EAD9D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28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7B5D11-2924-4D49-BD31-3719B73F94C5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28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89197F-E067-4ADA-A13E-D1F7FCBA2A55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28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248597-919A-462F-B2C8-6C8BB502B6BD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28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4310E4-4044-47A5-943C-5E32861F3242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28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DD62D5-F458-42C7-B334-1C6403D5AFAC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28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CF2A4A-95E4-4ED4-9BFF-A6DC505CA64D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28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BF158B-7A1C-429E-908F-CBE48125DECD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28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4D5B40-AB86-4849-96F2-1036EFFEDEB4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28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4EFEE1-645E-4340-979C-A1905C49ECC6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28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8AEC07-1DE1-41E8-98E5-61196D05BA0B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28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222FD6-D549-496D-AF38-C5BFA52840B1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28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064085-C19D-4067-BC41-84789F62C358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28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505FE4-8A51-4209-BE75-221D631282C6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28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484521-CE53-473B-9C55-1283EFB98CE8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28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304D73-8411-4189-B91E-9904C02ABA3C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28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EFBF7E-C612-4035-BB1C-C8DAB3DA8CB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28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05334A-79E4-4DBF-A416-E7B7F13B7345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28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19D73F-C8B1-483A-B207-79D46D234C82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28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938E4C-789E-490C-A676-6193A52261C8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28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B63E45-3362-484A-97B8-B32B28ADE681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28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2EDE8D-D3F6-4F3F-A2D2-E60BF6CB3C58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8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0A4D7D-FCEC-4D1E-AA9D-9BCCC6A87E4A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8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9ED5EE-7999-4B89-9FF6-2EEB14A68653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8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D07687-F0AA-4190-A3E7-A5BFB27FF78A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8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263945-3F40-40E0-A4B1-7EA53D04E498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8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02CCE5-7057-4320-9ADE-C6EFF12EFB67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8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67C092-63F8-4D4E-9F15-075677EEDC74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8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60CEA5-2001-4753-A90D-FC237A172739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8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A9F0DB-FD9E-4F71-BBF0-F5E88F975AA4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714375" cy="304800"/>
    <xdr:sp macro="" textlink="">
      <xdr:nvSpPr>
        <xdr:cNvPr id="28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2A3FB4-9E84-40DB-9587-C0E1F4971449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8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1F658D-FCB9-4F36-8CF7-38D2879EE8EE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8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167852-D1AD-4F92-ADC7-C192F506A07D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8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1CDF49-8AB5-41CE-A607-6764E33C52E3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8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CA949A-1848-4A62-8F32-0564119419A5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8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D21B91-F82B-4DE7-8DC2-A091F316FCB2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714375" cy="304800"/>
    <xdr:sp macro="" textlink="">
      <xdr:nvSpPr>
        <xdr:cNvPr id="28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457238-9F9D-4B1C-9149-63EBA3940BE7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8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144256-0CB2-4E9A-B777-CF55E93BE437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8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26A1B8-00B5-4962-8759-4824D678A15F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8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E02C3E-20AA-4A7B-94CA-81C290B60779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8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E52915-4F41-451E-909C-387DB3A17DD8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8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540A13-3F1B-4AA3-9F98-716E7D206EF2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8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28184C-F7D1-4FD8-9D71-893F11FD3AAE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8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A992A2-EE86-4659-92A1-0BC4C45866FE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8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4F3FA7-70BF-4312-AC7F-A05B46EC978A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8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F26623-0BF1-4025-A5C6-61DDEF1148A7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8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18A18F-D868-4D24-B2E8-532DA8F6FFD5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714375" cy="304800"/>
    <xdr:sp macro="" textlink="">
      <xdr:nvSpPr>
        <xdr:cNvPr id="28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1595E4-4D4D-4F0E-AC5B-3AA639C05DED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8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564F28-4A42-43E4-8DAC-427803177961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8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C55C29-B313-4142-9287-3336C587C317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8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3DA8D3-0071-42C5-94A2-EAE86C34D04A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8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04D260-BD80-4E99-BD67-92DE1B911879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8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C67CD4-6792-4726-9DC4-070547A366F4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8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83C216-03C7-4E20-A8D6-9418AA2CAE48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8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6B6476-1A80-4E8E-B1EF-D1DD08B321DC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8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B5215A-B563-47CD-B2BF-D5CFF3228F7A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8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1E961E-5309-43FC-ABB4-94CF843DD174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8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AEB31E-41BD-40F4-8E85-1059389B5927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8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D0FD71-7280-4F98-9DB0-CA6069E44AC8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8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FD9318-CD55-4FFC-BAE8-881D5E6A40BE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8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D496B8-1ED2-408D-8C74-8FE6D77BAA06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8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3B3F5E-D3E8-4731-B123-0DCEFD9FCD94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8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0B3759-739B-41BF-BE25-530E09C1F6E7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8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894378-5512-4EA9-B744-E3FF0CC522F2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E56D60-0CFC-4A33-87DA-63C30D87F0A1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3E7A33-22D0-4439-898B-4694984B3DEE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714375" cy="304800"/>
    <xdr:sp macro="" textlink="">
      <xdr:nvSpPr>
        <xdr:cNvPr id="29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2DA5BE-A200-48FE-B3BA-A35FAAFD9266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6D2DFF-383C-4F0E-97B2-FFC3C1FB7612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BFA688-A822-4CA7-A21C-2216141F8594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D3CDD2-0082-4D7A-948C-94B58ABB5CBE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36E9B9-02F8-415D-8631-DB501CBFF970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B54B42-60EF-456B-A646-68C627389A97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714375" cy="304800"/>
    <xdr:sp macro="" textlink="">
      <xdr:nvSpPr>
        <xdr:cNvPr id="29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FEF4D0-F588-44CB-B380-4BB932D1BAD6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129ECE-49DD-4777-BE2E-D40E8ECD836E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9C494C-210A-4D18-B88D-39AF03966443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7B36E2-8061-4D4B-9332-6ED950E750D7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6E585C-6287-4F3E-96B1-6668223AF4E7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555F74-7C4B-456F-B3EF-45E0AA582E7E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88A0CE-03DC-481F-BA71-D4031E6B28F7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C060DD-AB01-4EE1-A54B-BB613B7617C8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7EF297-62C7-49E7-83A3-D027D643A442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4658AE-B42E-40DC-A34E-17D010463B81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783EDE-41BF-48F5-BC4E-AF328964A890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714375" cy="304800"/>
    <xdr:sp macro="" textlink="">
      <xdr:nvSpPr>
        <xdr:cNvPr id="29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FB7389-45F2-47B4-9BE5-CAF8AE36F2BF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ECE127-6902-4E78-89CB-F34D4CF323B0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37CBCD-F11F-49C9-9CD7-07D17C7F6148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5BBBF3-1C66-46E5-BDE4-9A6B3ADDD1FC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BD7D16-DE37-4D11-B678-489D52AE48A6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AC915F-29C0-46D4-B767-E6D13EFA384A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27647C-5095-4040-B6B8-C0B94726556B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AC4C2A-49F2-4086-AA66-08773B166B53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A9A26D-28D0-4789-89F9-AAF1A08689E9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BAC27E-B079-48B8-8F83-E2448E579927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1608EB-02CF-4AF1-AC0B-8F586EB9351E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4188A3-038B-47A2-9F0B-1699C3592467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49BC95-A20E-4F9D-9C0A-355DDEE81360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FA862C-26B6-477F-8087-74D13C111151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A5F1E9-CBE9-4368-A249-6346D8CF928C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1EE52E-DD0A-49FC-86EE-7093B7CB14B0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5B5BFC-9FD1-48BE-AB3E-46BF8DF73B5D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672636-8EBE-4114-BB2E-E59FA20C720E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AA3C2F-5C83-4F47-8E30-4F3FDFA9BD13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7B575F-2353-48AC-B9DD-A98E3A0A75B7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0B107E-467F-4D9D-8D65-4CAB9E3829AC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623129-1DAC-48DB-B031-872131E8E978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191C3B-E450-4AF1-8FF4-06EEC8AAB631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FCE64B-CFDC-4891-AE21-4CD1677820FA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41DB92-A4F7-45BE-9ECC-2392097D9DEC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DD4926-0398-4FE7-AAD5-0DC8CF82DA19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729D20-F82E-48EE-9CD3-87F3E1664AC8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4F06C8-1E8C-4E6F-A309-8D603A5D7BB4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7A7D7B-DF52-4682-A412-02C9F9CDEC0E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5C6E7D-AB28-4B10-9B46-4D7586B33931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B5A577-F47E-4F40-AFE3-9ACBEA2D5BC0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3FD451-B7C2-41FD-B52F-042D32217DE7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4052E7-E61F-46ED-8859-F730F887F158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460661-2ADD-4328-9698-6A7C2B371446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0A0094-937C-48F1-93B1-839DB2AD1EC4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DF3069-5A5E-459D-9B0B-FFE430123D85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09CA49-2472-46F5-AA32-4F621CFF7038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AE0BBA-4EB9-48F1-BC88-8B65370EE94F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770205-54EC-4D9C-9612-04EF05718AFB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966237-6CA8-45F7-A82D-9BCFEB0809D2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563177-6D0B-49E6-ABF3-74673D235C2D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0A944F-B9D9-4339-B729-120D1B52F1DC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9F6248-D8C9-45C4-BCA2-8936C8739455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FD066A-F42A-4E8A-8B2D-6D09CDCCB510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D4CEC5-6337-4017-ADE8-A95676699F78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D8F20D-CF78-49C4-8E2A-C044A867E5E1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40EDF0-A80D-450C-8B59-2CA53A9D93DB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B3F3A9-D1D0-48D9-9565-15810792A668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42674B-61D6-43CE-8DE1-ACDD5F074788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12367A-A8A9-4935-9185-B5D4AD50DF42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F56995-7550-4F77-A8D1-3C074092B317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02F166-2224-4EAD-95EB-E939E3E884E5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A889A5-C2EE-47FE-86BF-2BBCAB8FD0BE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B5D057-CACD-43D4-8936-7F36BBBC0D72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FEF2B9-EBC3-40AE-8083-446FC0C37B36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7764B0-A1DC-41A8-A6EA-D384748487EB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EC7F28-90A7-4BB6-A858-8B6A028B3D02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F8B6D6-B08C-4A98-AE48-CE9BCA66F4FD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7CAA0D-3016-4185-A984-2BFFFE835122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9DA7B1-9AD4-4ED6-B2EF-62B4317356BD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85E790-8A2D-468F-907D-B14971C15B0C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408A34-3109-4931-88C8-D668598BA87A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4FECAE-4521-4C7E-8A80-FCA4971543B6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C36838-EA9E-4AC8-8FAE-E064CA140EFA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70DB09-2C8C-4523-A72E-EB4D7FC121D4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528263-6BB0-473E-A6A2-75370D74026B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20EBE5-6623-4768-AFDC-220C1695E4FE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8796E5-52BA-4E3F-8772-45D3531C7514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146B07-F0A0-4EB1-99B8-5A96444965D0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F8CB5B-971F-411D-B97F-87E1FB65AB4A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A8DEAC-DFC6-49F5-882A-2F7B902C6B11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5F5704-77CA-49C8-B45D-E5F88F6233DE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81C47B-9E0E-4659-AAFE-5A61CBE7D973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EFE45B-128C-4E8C-8FF0-202863C0B7D6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E16215-5F3F-40F2-8CFF-B0333BFA187A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F0D6F1-21E4-484C-B002-115AC844F3DA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3F2725-BBEB-4040-AC09-E2E16E49B731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9237E0-4058-4849-8D96-BBE012CB4C70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BF2BE2-F948-484E-A1D4-E3BF83E15D3C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228A64-AB24-455A-9820-15442CED0255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29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F043B6-A69B-4EAA-90A9-C3142226FD55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30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B21F16-5E6F-4D43-90CA-5E05E025E9AF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30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2793D1-2084-4749-95A0-BE3CA3B4ECAF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30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E24586-D573-4BFD-ACFE-8EB4DE8A6265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30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580000-2D27-4BC8-8052-D75D091C9DF4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30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0D20A3-57B8-4F97-AA25-2B4362C0A03B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30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51FBBB-B310-42D1-AA16-A23B6D743091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30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72C869-44C2-4821-9759-A8EBC728C1F9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30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8CFD99-B781-4CBC-B530-CE9F8FB0731A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30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0E9F5F-61C5-4284-8DF1-6CFBF64F43E8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30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C7F5C9-1033-4BC7-ACB5-C77A7F0937C2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30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715D54-B7CA-4962-819B-C2F8BEA5C2AC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30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50A58A-4FF3-4B6F-94D1-58A2EDEC9735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30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9AE4BC-03EA-4AC6-AE99-63EEA5F690BC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714375" cy="304800"/>
    <xdr:sp macro="" textlink="">
      <xdr:nvSpPr>
        <xdr:cNvPr id="30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B094C7-09EC-4DF7-A3DA-FB9A71ADFD81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0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6DEF4D-3F21-47BA-B198-8F5B0D391E1C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0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3AE8B7-170F-4F0B-A9EC-84EF7BE71FDF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0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A36296-4A31-44F5-B767-795963D0F4DB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0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801B30-F215-4B60-91AF-497D1ABBCCAE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0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B4AAB3-965E-4279-9051-72E3B6BA766B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714375" cy="304800"/>
    <xdr:sp macro="" textlink="">
      <xdr:nvSpPr>
        <xdr:cNvPr id="30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D15F97-D154-4FA1-BDCA-31F8ECE88A2B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0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8C8B3C-8CAA-48F8-9905-3C5F7BD960B2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0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B06945-E126-4A93-A3EA-520705A1AF70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0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C86F8A-E4F4-47F7-A7B0-9BF3AB083B25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0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CD45E0-30B5-46E3-8F33-22ACCA538305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0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AF5C21-5FB4-47B0-8222-9AEF1FC3ED34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0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F8E59C-8BF6-4A29-9512-9D5F776ED373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0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B636F3-91C9-4314-8722-9C4E4E9F3C3E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0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89CC06-513F-4635-91C0-D4EEB6FBA93D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0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375C48-77FE-4BC7-AAFD-0E31001A02AA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0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721F4F-0D40-467E-B7D8-BC88A87B2F29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0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D0440F-61DA-4A4C-A502-0574447CC3C2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0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CF61F2-31CA-4140-8A9B-A5C35A76D5B1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0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41C6C9-5EE1-475B-B6AF-F7C30CA5AF04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0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261304-B725-4EE2-B930-32E575858990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0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05AB9C-278D-4DDD-8393-5E8B64D411AB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0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E95F37-4527-43B7-9943-679B052F6ADF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0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81767E-66E0-4A7B-B464-EB1A959ED6D5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0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C265A3-FAE0-4A31-BA74-2347AC2BEB4D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0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57C7BF-5A4B-4D20-862A-E99D080CD2ED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0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ED5F2F-8A2A-40C7-824B-72C8B385F343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714375" cy="304800"/>
    <xdr:sp macro="" textlink="">
      <xdr:nvSpPr>
        <xdr:cNvPr id="30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4CB944-2727-4AB2-A92C-7484D642AA45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0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437EA1-C4DD-4C03-8D44-C4428D84D9FA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0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FCAFF5-0BAE-42E0-B31B-CE9C0C1A6D46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0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A0EB72-77EF-4651-91EE-20597060045C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0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71BF0A-B137-4C3C-8F7C-7845BFAA6BB3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0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D2889F-12E0-4AA4-9728-98EEBD5A8594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0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6E554D-9A8B-4792-81EC-495C25F0CEC3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0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96366E-8B42-46D8-BD75-137745FB3796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0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89F7A0-37D0-47FD-BF1F-A4E5713CB1DE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0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8B5FE7-726E-4DC2-8786-DACDEBD9F7A6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0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5D5801-DB3B-4658-868B-4EAB16AD6C6C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0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34D5FB-8D83-40C1-B994-8F3A774E76EB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0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6B2237-0DAF-48ED-B264-B28F2DF09409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0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1FC7FA-4A83-4B1C-A99B-FE937482009E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0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6DCF96-03D2-4F5C-BF84-DD409C4D990F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0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DA2C3D-2304-4532-A04B-4E2B245BB08A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0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3E81F0-CB7A-4F5A-9747-172D651ECDFB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0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969DFD-CD22-48CE-A512-1433EF4CDC8F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0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280F9C-B32C-42CF-93F4-B10949EA68D9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0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AF9ACA-BB7F-4062-8B02-EA37B996AAA0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0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D63B87-1424-460E-8028-630B88398978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0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318674-6723-4471-9652-D65ED34C399D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0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416DC6-1E4B-4DFB-BA32-F7BF8B89653F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0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18C139-148E-47A2-B744-F3E92955A042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30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614BAC-5427-45F8-9A3B-601A5B42B709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3C8E19-B3D5-42F0-A4A8-45116023143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8ECF48-EC8F-42E0-B7C7-ACE73377648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BB4C86-5382-496D-B809-64BBCCA289B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75F03E-4E8A-441F-9FE0-D63A4D7DD90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316109-9096-4FD4-8E45-81907110624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3F8F41-FF1A-44CB-AC50-402B972AE11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F13A63-5400-4C0D-AA6B-BC08DFC69B9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020D23-53F1-4195-88C9-340EFB096AA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CE545F-D25C-4223-B97C-D4DE10D12D1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55CD8B-C83D-4C0F-BCB9-734C0AE9381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529FEA-A298-4B8E-B8C1-AC18E95A3CE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89F471-3625-4B53-9E69-6EFA93BC98E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A26645-A275-4F33-A1E7-3B073AA5708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4F4BA9-20F6-445F-8592-D445B3701C2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26A7D1-83D7-4C62-94F2-4A7EDCFD814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6047B5-0EB0-430D-8419-7E961EEDDDF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77AE53-D7DF-4AA5-BA7F-26EFE526A4E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B2E3D6-1307-48C2-9994-365ECC1F86F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B1F47E-5AE8-4A54-BBD8-85C6C2D9422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CF50B6-0667-4559-916D-76378FA7464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A132F6-CD53-45AC-89DA-951FEAB37F7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7640FD-A14F-4E7B-9846-5943F639793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41A72B-CCAC-4FD8-9323-A72BD41009D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3161BA-2732-4ED4-996F-B98EC311183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47F509-B246-4F3B-8F2B-5BBD3F565AC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7399FC-EF7D-4503-8F87-34607A928EC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3A9192-1A1A-4F86-8F4C-E8010A93648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2872EC-9F85-4E8A-A18F-74109536FDF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A08DA9-CAF6-4CA6-A283-06D44B36D62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B04503-A6D9-427C-8565-4B9577FFD61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B7C9C3-9219-43B8-B279-DB38DE48A1B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0E8590-BBBA-4F4D-8ADD-640A891098B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FFCA2F-58A4-42AB-B490-AC7D3F1EAE4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ED8E15-1279-4E9D-A984-654BF612ABE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052885-D270-4207-97CA-EFD2698CDF2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98BD15-7770-4354-902B-42D4A3D390A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AE0C2C-63D9-45BD-B8C2-F0C768643A5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521315-A23C-49DB-8291-4CD43421246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642FE5-1EFD-4663-B87A-E4A21B84086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104915-3111-4E9E-8AD9-678279D4CC2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2A9E30-A6F5-4764-A3C4-409E8C71154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6E6E98-8009-4E56-948C-0A3BE3E8796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09430E-177A-4783-96C7-511B2F01A12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207864-3DE3-4DED-8FA2-9D11BFE7025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C4D66A-A233-4709-919C-1F7B86DE96F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53ADE9-8DED-4651-89CC-26FAD302679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52C305-81D7-4963-9790-83D01309CE4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1B5304-7BD3-4C11-8439-29D56C94DCD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AC12D6-9409-49E6-83B7-98AB496AEA9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891AD4-0AA5-497E-AB26-33F454D45EE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4AA6D3-9807-4B28-AACB-6ED71D26663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B8C18E-7F01-4DFC-A43C-17762BEA02F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1ADA24-43DB-45C8-81ED-3E86EC1120B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530CEB-005A-47AF-8609-1D5813E4F68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0A0483-7FF0-491F-BBEC-94AAB7356E7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0F7EBB-9544-46CD-BCDE-9CFA819F9BE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B51E22-74FF-4A99-8E73-C39334D5531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AEAA9B-6596-4177-9BEE-45741C2B98B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1E811B-C94B-4A0E-8219-F9DCC22E443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9C9051-983F-4253-8232-AEE39905E81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40B70E-2947-474B-B167-019A4BD0116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5A2332-1177-4259-86EB-94EEE86CA0C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F2CD1C-B423-41D0-AB17-44872499FAC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6D1240-E516-477C-81AA-8B824818029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17E620-A2EB-4F48-804B-BA7792F4545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73FC09-442A-4112-BC9E-19722FF742A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2785F1-8F7D-4A51-BAF1-6F20E8CA4A1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C5BE8C-3A9C-4E81-9D90-84D3A804383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FF9826-D6DC-4D03-A8B7-DF7739B7BBB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904472-0FB7-48BE-A4AE-B8F65AC7C85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65824D-9017-4877-941B-7DED2931D45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26E837-D21B-4D4F-94C0-6F912AC6EB6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22EF41-C550-49BD-B446-B3D83D500A6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A25AD3-F44A-4199-BDBD-5187FF721BC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7286B6-B645-4817-B30B-00E12BD1C90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3CB013-AACD-403E-8662-AABE929282A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4FCFB2-675D-48D4-8257-DE6DC3E06F2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3B5E4E-9A47-4BE4-ADA8-C55D9D7D79F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4037F7-C158-4E6E-B84D-EB99853CABD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F45015-2A68-49BF-8E8A-9B00D9C99B4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361F94-1DBF-414F-A0C2-0DB3389C959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9AC458-BE95-4EF6-B6D2-D9F32D321AA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0DF987-D565-45CF-9235-596B06E06F9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034DCA-FEE0-462E-9306-00EFBF05E3E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D1BFB3-FFA1-45D2-AA69-E5426C0322C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5DEE58-92AF-4B7D-BE67-3D2BD9E450F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4D0549-5CA4-4E68-B1A4-76F0A290944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C830CF-7291-4755-AF09-0B78C7786C7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8D177C-CA4F-4A84-8315-99A97F5D503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24E404-752F-4552-9237-7F51502FBBF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4D861F-0FEC-4121-BD2E-3059EC4BB0A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66520C-B332-4B90-829C-75CCD97B001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8FC151-B8CE-4A40-8999-399D8E51AF6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4BF723-C45A-4ACE-832B-5887A3808EC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8DC6CA-FAB1-483E-AF9F-DF0A6CFACE2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9BAF90-4456-4050-8F8F-5795E33DC1E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81D0CD-417F-4357-B559-6E77D2C7B34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379349-90FC-400B-BC6C-90B0DE92552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29DA06-4DC5-4606-B324-F1CC7E57F1A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F4A29D-8026-4B37-8DB5-165C4478C57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5FB309-F1C2-49A0-9DA5-A6766E8D5E2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B4C746-7B2F-425C-AFAA-D10866689E6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5EEA5A-93AC-48B4-A44B-73A544CDDFB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78E516-CC34-4F4D-93E2-F2C427A6959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93ACCA-955A-4403-8772-47A11CDB5FD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D22DC5-7159-4EF9-B298-F3B82966580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554998-D7DE-413A-9056-13C92FF2499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845A1A-DA53-43EB-9056-CE27F53C060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6E9415-EB37-452B-9ADE-F23FC6A45B3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712618-336E-43A0-86FE-8EA55860FC0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D019D7-A7C3-4B6B-B009-1D54A63DBDB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EA72B1-DAAC-4F4B-860C-343ADB37D44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EF6929-845E-420E-8A38-8AF07FDD72F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7CCBCB-24E5-4C37-9670-EF3E4A55EDC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E4066D-E8A3-4FC9-8F9F-F2AD59E9F41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0F9E60-9E24-486F-952A-61ABE1283A2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4444B1-8BF5-4907-BB96-E7E1BEFDA6D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A433FB-4000-4670-BE71-3DF320C066F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DD4037-06C2-4B71-99BF-EE6F6E682BA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3DECB5-0901-40B0-9219-20DCC1D9A6E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68DECF-5995-40C3-A4A1-1328CDA121A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A9E34F-9CAE-4CE8-9908-F9A4EC9A02D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A00641-34FF-4B00-ABA0-A070C8E3587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0A9D5A-41FD-4F4D-BFBD-A22A8811A2D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8ABD2B-FE48-44D0-9AC8-B44DB6EC894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80F5D8-1FB8-4ADC-A7BE-60D3A54E24E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D99FCB-02B0-4910-A1A9-09C3EF58DAA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CD6EE0-61AB-4A2A-AA05-5CA3BAEBBB2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1687CA-07F8-47DD-A389-E9E519D5636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B8C40A-94B3-4B77-94BE-1265212C329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E70CA0-40F1-48EC-8918-7B89B380E98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9B48C3-283D-452B-9B3F-1F8F1A353AA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CB97F7-59E9-436A-B529-8BB983191B9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23A4A7-DE7C-456B-852B-D0E8CF15298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807438-9508-4723-9D5A-B85875A78B1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782EA2-9907-46A2-8494-D9E3B1AF2CC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B3FB06-12DF-4F8B-8278-84E229F5985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62A4C5-B9EA-45E2-9654-8C529721DCF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286788-E458-4BBD-88FC-496605D7F26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196023-AB96-4978-97EB-DC8B4A411F4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841DC4-7515-45BF-9BBB-231D1B8B31D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16EB25-C501-42F6-92EB-2FD21D7CA4B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232976-23F1-45CC-8801-5327BDA4ACB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775C66-9442-453C-857A-2945B0EC7DB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1A4C65-D145-4DB6-8541-95D849DA010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4BFF9E-3E03-435E-ADEB-2B654368A29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D92C34-9936-4CE9-9DEE-AB8EDD2E047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6A0F17-CB3E-4E9C-880F-2905BDD850E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5CE855-F68D-4339-95B3-437D6B0DF6E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866CA4-C513-493F-9BFE-AA274954C37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3FD43B-C8A8-470B-B25E-5688AF82298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EED4B2-DE05-4257-9356-F87156CD57C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3E9CAC-A53E-425B-A016-BF3683ABD0F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1A22A7-4033-4D8F-B7FF-28083FD804E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C92BAB-C89F-4648-9F11-9A0E53EC63D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110E2F-5CD5-47B7-B9FE-F76C1BF35ED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AD8879-C28E-413A-BC42-9F2759CA9BD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3B85E4-B7F7-4C37-9FEB-F11070C4B0C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985DED-F3FB-4FF2-892F-46DE052DBF3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626FFA-389E-40F2-A940-0B6078C8ABD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1632CA-532C-4E37-80CB-5A2021F15AE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54A8C9-6243-4049-B175-DA397C3F4AB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B62B75-8565-48CA-9BB5-08CCC2BE968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2AF649-F965-4785-B900-B5EDA8A787D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3ED50D-0546-4703-99DB-E3EF86751FE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F07F71-D02A-41E0-8D4D-C01D4E6CD2E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14A349-E624-491D-A895-20FF24AECA2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152D14-EF0C-4762-BE38-EC6BB9493E0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763480-64BD-4833-BC32-4B71B124008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99D2D2-0178-4E7A-98DA-978214B191B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C0B733-BE00-4D3C-B71F-FDCA9AA3363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7397FC-4FA4-47EA-AC88-8B6CEDBABAB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8E89BF-D645-42FC-8E7C-C635D865331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6FDF4F-1841-4028-B500-26AD3EF8DE3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16810D-CACA-40B1-93D9-87E0A44B220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8BFB77-F86E-4058-9673-4484C089E20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C8575C-BB5D-41FE-9213-6608E9D9BDC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598D97-A8B5-48BA-A171-8FA47013F83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36AC55-29F3-47BF-BD19-0DF29143B80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E6392C-141B-40AE-B8B9-B06279E589C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4D8219-89FC-4E99-9A84-96AFDE74D7C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DC607D-6F63-49E5-9B6D-AF59654B6DB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C96DC3-D620-4522-B22A-0D0F2666263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1A78BD-614D-4A29-B260-C4A34A83137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4BDE42-34C2-4686-BD2F-F79FF2F56DA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7BF494-625D-45F9-AB6D-89D1BC8C7F0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E45829-80CA-4C92-AACD-92C052E282B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9F7CBE-92ED-420D-80A7-E2DD04DFD3A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1687AC-C881-4848-850C-3CE774E2DF7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1F3725-D0C5-45AD-855B-02C3024C2B4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4D4994-F7E6-4008-AB43-1BB16396747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63CEFF-B741-474B-B575-8094E17E37C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965495-235F-4798-88B7-7208544B0D3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25A467-EEED-48BD-9F2D-5409936779E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C320FD-0070-4473-BAFE-895C03DF50B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259F22-0137-4C19-AD2A-98CAB52D0FF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1A74F3-F504-4ED7-B3B2-A8D8779F591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6018E3-C94F-4AE4-B761-5846963B142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642C68-D48F-4960-9208-C30FEE7AEFE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A7B594-659F-46C2-8037-6076D325682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BDD3BA-3044-4DE3-89BB-071E1506DAA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24D8C3-8D0A-463C-8723-0B00A5BCE99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DFDFD5-7798-4FB2-ACA9-80DA9E84C95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D7BCE0-DD71-4D80-BDF2-12518FFAA67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C6980D-B7F7-4164-91DF-CA49BF7F551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A44B46-B27C-43D0-9A68-0824EE2780B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F401B9-A5EF-4BD6-BAB7-667FA6075A1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E27B92-045E-4CFC-8F4C-D70E6B5BDBB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DAE3E8-B9C0-4D61-BEE0-F7C7C54C33F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D85174-2B72-400B-8EA5-739AE71DC8B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999527-89AF-48DE-B336-A380AAD8140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602971-1CB6-4EC8-9A6E-2E5A60CDF72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211011-216F-43B2-B3BC-BC2A7E60BFB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210CD1-1716-4BCA-8ACC-9DAD2BA1DBA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AA77EF-0B73-43BE-95EB-3FB1E252E32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85CC9F-7493-4553-93C7-4CF2E752B67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3C8B01-4097-4849-883A-F05CEC9A4A5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80D6EB-69AF-49BE-9756-5E01B6988FA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ADFF37-19AA-446B-A2F2-567859009A2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9AC48B-8351-44CC-B058-372E974DEEF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78D50D-83DF-4764-BAB8-667D20F7BB6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1AE5FD-61D5-40D4-BF91-C9BB7273C46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CDD6F5-524E-45D5-A612-27330379004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096072-1914-4E4E-9431-AA79679D513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D5154F-4AAA-4D74-9286-FD85A5C0E7D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D6DD05-82F2-4833-B306-6C3245779DB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02E512-EAAA-4C90-BE09-46D9897ED9F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9F41AD-D48F-48B7-80F1-FEB282AF9AC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3C72DA-D6B4-47E3-A4B8-75050D42C76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0BD379-1B95-4DFA-8958-1773425EA88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567503-2E75-41C5-9DA9-B4F18031BA9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FA4C28-2698-4999-B837-3BB5E1E9690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505262-E525-4014-B7E0-0F2196D2FEE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0983FD-AA0C-4918-B1DA-DE8EE649011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BBBAE0-699D-43BA-89A4-545C31964E9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037615-B53C-4022-8730-E05ACBAB2A7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01502D-D859-4AED-9A36-584EE54763A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EC6005-7057-479C-9E48-1DB4B7C4546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F01192-26F5-4201-B53C-31F2499DC10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D1E5AB-895C-4C05-B586-F736236B653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41D275-55E8-4F30-9C45-955354D36A3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D2DDDF-C966-4B18-95CA-E8DDF126C67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7494CE-577C-4E3E-9402-12538102236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669C2B-BF35-4464-B7E2-236769B682B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2B19C2-8F75-4F5E-A399-C37BFCCE7D4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E2256E-660D-409F-BE95-927803FAB49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8A70A4-0B44-42BB-BE50-551DE33E721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78D799-E96E-4E31-AF6F-E3E579AD592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3AC1FB-1123-4F8E-8ED6-0668AFA7A85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86288D-A8BD-4885-84F9-891EECA4089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C14D5D-027D-4FCB-B8C6-D556F5D100E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EEA646-5A17-4D31-9B19-B454DCA7586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DFF15D-96E1-4C9C-84DE-0B60B3BAFDD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70F64A-E9AA-4AAF-8499-C535154EFA2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5EC6A3-4A1D-49B9-BD9A-B0310A13D3B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C55676-82D3-45BE-9251-50A74096F2D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F9AB98-B39C-4F2E-87A5-F08E9137824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6D970B-B264-47A6-95E7-4A168CDAB26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CF873F-FC47-4560-934E-91F675FA08D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A96BE1-04B9-45D9-B2BB-A6AA9874217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5BEC95-05C6-438B-ADDE-123D7747798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F8AAA7-04BA-4833-8211-46529D3516D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E61B98-6E81-4F0A-942F-2E0E3D4512E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D2A1B1-6801-4461-9CC1-038CA2C580A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968DC5-D10E-4886-A3DA-72D9E75E202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19B759-E6E1-433A-A049-08B1BE040C8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0B28D5-183A-4BC3-A0B7-896548331DB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08DC0E-364B-475E-A0FD-DFB0455C8F4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E5D7E0-256E-4F24-81C7-B40BDC1C969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05CEE3-6A94-4357-A235-97132688B37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49B4F6-CA59-4F6A-AEB7-B49266AD276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67C6E3-6B07-44FC-85BE-4CFDB460670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24A78F-EF8E-4F4B-BFEE-B2ED75FF583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1D6463-E34D-4841-B130-E3D0716A818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4C34CE-0A74-454E-8E7C-40E298F4E24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B9DFE1-2688-40C2-AD89-F26FB575318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288A85-65FA-4D38-9EA0-6142C22E498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823B79-EB97-4675-A2AB-06749D399E8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73FA56-4FF7-4CCA-93DE-E2C1A10CF51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9B4CAF-FF37-4534-8A1F-B83090704FD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5E122D-5495-42AB-8BD7-A0E7E29AD38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66EC98-B094-4E1B-9915-01138369CFF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4E4107-4436-4EF4-8CAE-0D7A2510BB3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8289B8-864F-40D6-8CFF-7B1543C00EC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131DC5-F437-45EA-AAF2-43B72DA59AD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29B756-CDEC-44CD-8F49-FFC446C850B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349F73-75DD-4757-A0D8-07784250D44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C3128E-0F7E-457E-AFFD-9FB71EE0357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D52183-0A58-41EA-88A2-B9EDFF060A6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286EC2-6570-470C-B714-628DD9F259C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EC34FE-2B02-4BDF-9DFF-89657FFB892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0A31C4-4072-487C-9E5D-36825725223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A1BCFF-E615-4099-8022-B28DC872BD0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033661-EABF-4B6E-92D9-7408ED6AA69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A50AAC-1961-4722-AA8B-388D56671B5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CFD35A-B13F-4DAD-A8ED-F1D53D137A7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15D987-B7A4-47AF-AD07-3E8BCE3D599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9C6012-4C37-480B-AC98-F0827869023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2748CF-A23D-433A-AD0F-7810DEE9C76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DF1C67-1E17-4854-960E-4FC4A4CDE4E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67D2DD-1A96-4C26-BB29-F9211F9887F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BE2D23-2DDD-4892-BDB5-26497F78970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CDF0D6-C6EF-4C2D-B768-27011699675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7820E1-C577-4719-8081-2413608ADF6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079BC3-7136-42BD-B568-969D574F6BA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A051FD-7692-4FB4-918D-3DDADC92924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35089D-1536-4E8E-A099-AD274C6C0B8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6FDE77-B501-4297-B9C8-83876B48DAF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87ECA6-8913-4770-94B1-41455330CED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1FB674-1017-4F80-BD10-71CA97888DF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E30CD9-8AD3-41EE-89CD-D4BA8BE25D5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E25962-1850-4FD7-8E4F-F3E649BAB1C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29382E-5F14-4CC0-9933-54D65F488A8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DB5412-721C-4864-A3A0-3F9B6FD606A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3788E1-7A22-492B-BB47-DBF46C74D15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B98314-2657-4E87-9B0A-3DE8EB20D31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7D663C-A4E3-4A75-9A76-0B854743692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557C15-35FF-4DCD-97B1-E9818160A42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1423F1-5EC0-40AC-B401-1FBB52319F8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F5BE05-ECC9-4766-895D-1A4EEE14999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CB07BA-1A2C-43FC-909C-72E07610803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042E20-0CD7-463A-99EE-0A0CA0B80F1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B740E7-2299-4B38-8AB6-337D865B534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64F9F2-7656-4947-B8BB-826C2E95B28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537F7C-E48C-47DC-86CC-D37CE677638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04BCFD-A19E-4393-8752-D73B1AE9F89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B150CF-9F41-4FF3-91FF-F845325E664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B5F2A3-5AB6-4C97-A875-0521BD98BAE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60E93A-51B8-4C75-88FF-9F2EB1B4C05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888010-0152-4168-B5A1-39EA2932919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A717C9-1386-4BB5-997F-37E37E01B56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A8C98B-B410-4161-81AF-48B398B7BDC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21FEB5-922B-419F-9778-44E92FC33F6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4E7766-72EF-48EA-A2C1-4806F95128B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045D95-A08D-4460-8A0C-B009236FB19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4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C0A64C-8EF3-4D45-A7F1-C9ADCC83042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4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85B640-3BD5-4407-824C-26AC9B41E43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4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2AB3C3-5A54-401D-AEB2-28F21E044D5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4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5206CC-8EDB-4615-9CD3-5F0E009EDE2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4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627E7C-7145-4523-9DE0-D6774866C6F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4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C8792E-35E1-43CB-8B17-BF543B1D349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4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244F7C-0DE9-44BC-9B39-BAB9E0684E4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4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24A1CB-1C41-4A89-A746-413962691CD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4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CD46D6-4236-4747-9A65-A1F10A2212E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4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89EB29-D292-411E-B34B-3496ED7E9BB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4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828B74-B370-4B42-B209-F8F741A6880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4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EA179F-F876-4BB5-BC6E-65DE07AA128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4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C2F844-3559-4B00-8230-F6CFC7F2F34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0291F4-8BF7-45BC-B981-E49E8E82F31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A5623B-2D05-478F-BB80-0D476ABFF83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49421F-54D7-44A5-85BF-2FA97DC4C6D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4E1E57-C916-4233-AF30-E5E7A84EDC4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A2DB07-A444-44AA-A04C-F0CF58B3E68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6D1728-3D52-47E9-A485-E8709CEFF3A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65A1B3-0442-4CB7-96C1-044BCA4767C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1F2583-A15D-4BDC-9AED-4924EA98853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E45D7A-EA8B-4B06-BF13-36AA9D13B3B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F0CD85-2CFA-4E19-9E23-20A0E80A24A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728ABF-84C8-4489-B285-FC35DFB8044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1F65DC-E23B-45D0-907E-1BED4FD3848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A787EC-6D10-4701-83AB-12E8D357802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1DB64D-C9AD-418B-AD14-9247D6E3100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171DF2-A430-4204-AC4D-1A01E762659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8D6CAC-215C-4836-8301-8438C998C3A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0E3865-4162-466D-BDB0-FBE5DECA9D6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23143A-5C88-431F-98CE-92F17ACB605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C92892-BB36-4C22-86E9-F3F7BF3A87F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C0208A-336E-4EC4-B5D4-17E9315FF48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D8F854-6D77-45D9-BD46-284636AC576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FF35B4-B861-4CB3-A840-3C82463B206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3F3602-35E3-47D1-8F8F-F04C34D90AC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393B1A-D881-4840-94BB-A3AD6E5AE7F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1FC1EB-893B-44F7-B50F-CD33782D758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9B1D23-E793-4AB7-8808-6BC82B69A4D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E7257A-9303-4756-91A8-DA7C5BC2650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10437C-F428-4502-98AD-F40B9718535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A44E86-D30F-4223-A1DA-88583CF6D85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B5F9F9-3467-47A8-9529-EF2D7906EB5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E9CC27-CACF-498A-9129-6AD85D2E6E6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60FDE5-F436-4470-90EF-7E49E04345A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C05AFB-CD33-4BE9-B2D1-5BE4288287B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CA62F8-5076-4AA7-90BF-E2D49151264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DA49DC-8512-4A0D-A1CD-B94066FED98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DBB522-4D2C-4726-8AE6-44323A80594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3DA32C-F91D-4DA3-881E-F1E48F62A1B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23C49F-6E1D-456D-8886-91C1FABDC29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624827-140B-4008-930F-9E980D7263B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126204-D6D9-4EA1-ACA6-1CCF19D2E4C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93B38E-5138-49B9-BDB0-24B4C2AF17F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01500B-B81B-48D6-89E3-6EB04E526EB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0357F5-09C1-40D7-83B2-A3929DBA17C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6F06E3-0942-426C-A39B-BDA621A7F68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24DB6E-1365-427D-9300-7AED50F7AEC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8596C0-607A-469F-9E71-9DCD9886A74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0CF490-FD7E-4C6D-B501-C9D70E678B7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8102FC-0C70-45F9-AC58-4D094F5468D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9DC909-5324-4C7A-9E27-336C2914283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8C8A64-A7A8-4254-B9D8-B743DFBA633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4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574D73-2625-4E70-9FA3-9CF812CBF238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4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28C2A8-EE81-475B-BDED-A60D98DEC97A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4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F29C4E-9707-45DD-B482-974DA691C16A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4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75FD6A-3C34-472D-A0BD-191FDCEFB099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4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EE818D-AAB7-4D92-8FBB-C46AE0BFA0FB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4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545F99-33B0-4DCA-9344-78A575B6176E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4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F1AA89-8062-4328-9F46-B13E7D58FFCB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4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6CAE5C-DFE6-4539-A7B8-1AF455F2625C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4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C010FD-A0FA-4742-B69C-4B381CD0E7D8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4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703219-D492-463F-8761-39E8EDBE71C5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4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19FFFD-C9E5-4A62-B727-D811B7ECAD2D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4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990C0E-7DEE-4664-8A39-DC4DE66951FC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4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5FADAD-7F1A-4CD9-8E35-6411B6584F81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4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4DC53D-F1B1-49E2-98D7-39023C706BF3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4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7306C1-2461-4E7B-BE8D-88CEB5F90E37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4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EC605B-14B4-448C-AAB8-168732755A41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4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EC731A-51A0-47C6-86C2-057C6135D578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4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B42A70-1A05-4FB8-81EE-78B01CB4BBAD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4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74B4B4-4F46-4CC4-B794-0A0113188064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4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174B5B-9486-4163-8393-27937A9DFC09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4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0F50BB-4E8B-4D17-BC07-302EF480266D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4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2A9F57-0149-4D27-9940-D5C0AA46B46C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4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7172AB-1389-432E-BF10-667AC44B952D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4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217A7D-CE1F-47B0-AC9D-CDD4440ABB60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4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4407DE-D2B4-4DAD-B949-03CC159EAF52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4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8A0773-6868-42A9-9388-A82E11A12561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4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BD32FD-D54F-4F2F-8F17-AD88A774823A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4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5BDF9E-BC0F-4F77-A94B-3DAD6833F88F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4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32148F-E92D-420D-8603-3A31F83A7E34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4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B8D573-AEFC-4602-A63F-3D93DB59FCBA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4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601277-EE85-4DD9-8439-96FBB3BCA5BB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4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F3DD27-4386-48DD-983A-E969D20EDF4E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4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10F60E-9A97-40F2-84BC-1EEC0AA44955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4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5A7811-EE94-46E4-8451-968D934E8BCE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4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3A26B7-99D2-44CB-953B-661A01B0C4D7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4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B16C99-D401-4BC0-BC18-3B818151775D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4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8C28F6-7600-49C1-9A4D-0C50B134DAA6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493F05-F05B-4896-B30C-0CCDFBCD26AE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935E26-7C80-432B-AA9E-30509F7C0F6B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86BA5E-2A2E-479B-A7BA-EDEFEF462747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CBD75F-A2A2-42A4-AB4E-4B3BB970EC3D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DF1CEA-50FD-4A20-91AC-80D97275A01C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AE146A-E5EB-404A-9BBD-0DB8DCFB282E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5CC1A5-358A-499B-96DF-24C425F20BCC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F8A5F5-6D95-4A0A-81B2-1813ABB01BA6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1D4E1D-0CD5-4BF6-B166-B6092DD814A5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8A2137-78BA-4AE2-BFB2-C6A234417239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36C4E8-9357-40BC-B306-32892EEC5677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C02161-21FC-4246-9C0B-8BBD9B8B6BE3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35D6A1-1C62-425D-8FB6-281F230CC39C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3DE9A3-0F66-4FB8-9AB6-E17466A80FD8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381C9F-886D-48A7-BFED-678385C8009D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B33F42-C7FC-467D-8FC1-3F2BDECAAE20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E461B7-6F46-4E56-A224-DC0ADC337D77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044496-698B-4E26-9CAF-B705430F0281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CD573D-2283-4588-9A92-60319C25F06F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D615DE-124A-4FAE-B483-E56FE69D864D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8FE8BE-AA15-4BA1-B292-D757D07C856F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9B6183-6F8D-4B38-B025-CBC6002C6B4E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BCF528-095F-454D-9489-49340A52BBC3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FA78CD-0889-4C1D-9538-475AAEB5FA2F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BC0407-9B31-4A5C-B5AC-062A63F29A37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A599D0-04F4-462F-B733-CE00AE07DC69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A1F13E-FAFE-49BB-9509-EF9C0315EDFB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99E590-F666-4BE2-9A71-25CE58559BD9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9EAA73-E020-49C7-B1FD-97EB6403BB6E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82C9DA-0434-4CDD-BC82-012857A54347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1F88BE-8BEF-466B-8788-46621C73208B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6BCEE2-7837-41BD-A836-22D91BC0254F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AEC8B8-9B2F-434E-A6A0-AE29BE51D288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0C5106-1CB3-4DB9-AE10-93E0C86930E9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994524-BF10-48B7-90C0-C70CF6106121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2FAF40-7946-40DF-B0D5-1132CB3F9DDA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44E5BC-496D-40C9-A86F-2CE9C55F9A97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57681D-30E7-4290-9E22-9983950D7F40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94518A-51A3-4F5F-9303-B1E318A83AF9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80576C-7FA4-4A47-B3DD-6D1E811A50E3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825B77-B7F9-4D40-B5C9-6296F0E02E66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8CBA94-44B5-492C-AD3D-B2A4C40B066D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B5C242-447A-4C41-AC65-94C8C9D85AF9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8FAD38-5692-4BB6-A3A1-C9C75CB6DC68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5E53B4-C8A9-4E1C-BD89-33A884126FA2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C6C171-3175-4874-9FB4-7327C8475BBB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FF62EA-A3BE-46EC-821B-64558A58EB28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13548A-F67F-4B74-A81F-D95AC0B2F2BA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9E5FA3-ED27-4C92-A373-2483BCD6F082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4D61CA-4E12-43EF-8ECD-A2D1308916B0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072721-4BE1-43F2-BF69-0148F500905C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4B4559-9BA4-4F39-A6C2-31FA3B6A8FBF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77BD6B-8A75-41D0-A724-BD892632FD88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FEB07F-147A-441B-A0EF-3E4B5FC58FF7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088FB8-69C6-4C10-8CA1-5B4295F5CCB3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E12923-08DD-4906-A6C1-3778F55A06B7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7197D6-2F94-4E91-867E-36906D344F15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F79E44-6414-4062-9C04-4ABC708AD547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4F3AB9-F25C-43B0-85A9-8538CC5EE8B1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81B8D9-553E-400C-BAB9-266BE795AE9F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5A5B48-5FB4-4D06-BAD7-B56445F0D915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DE7362-C5DF-4048-99ED-F46670139BB6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712A12-C63B-483E-9DEF-0F8B357718EA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BBCCAA-D2C1-42A6-B9B7-657DE3F39F50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A17DE5-D78E-4C55-A51A-7FA81767D101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09C9B3-D6D8-4E05-AB7D-BF786860C893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5188E5-0E2B-4A4A-A9C4-4D390EDF4B09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35B57C-F304-4E3C-99C0-C13FED07D128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9EBC4C-1E34-48C7-B63E-06C4B9C3E118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8F29AD-4DD5-4D36-8868-E8012D2E17BF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B9D9D0-8196-4861-8FEA-775199C58A2C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3BE7CC-4468-46D0-BA09-41D409531073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CD194E-C1BA-4F63-A602-0BCF9AA30AC2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21F409-A664-448D-ACFC-5A82134374A8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1800FA-D5EF-43B5-AF8F-FC982DA1E2DD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3EDAC1-5B5E-4B4C-B3AA-93280EEE425D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DEE0D8-B5AC-4AD7-88F7-67E9CD9AEF85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1C4519-0195-4EDA-8A0F-D6FAC7E94A1A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F212AF-D1E7-4BD5-9E84-D8F6633D1B1E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38BA89-483F-412A-9A7A-818E5DCB9044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BA170A-C54E-4A8C-B07F-A215F3EB564D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5D7FD8-516F-453F-8855-6BEAA832F3A0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CD22AB-3124-4CDA-9B00-9E9E1D70146F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C22123-FAD9-4672-A427-13C5900CE3FE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0E3F6A-76FC-434F-BF3A-8F4C3966D910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F41082-D1E5-400A-87E8-5DADE1AB73DF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3B0601-D1DE-4CB0-8046-164E5E0949DD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24A329-B87E-4DFE-B700-066DBCECC811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36C04A-86B7-41D8-8FCE-2B78725EF436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385C94-5399-47D2-A714-9D7CEB32F307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3AB0F2-8A4C-41B2-B204-578B5013C6AE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16643F-75CB-4732-AB6A-E60F7EA7FFEF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ED8C6E-A49A-4831-AE21-DF71716B52C4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CEB3B1-352B-49A2-BB32-7B32622D8AC4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9B3167-39F1-4C4B-84F1-3A11A70CED76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521064-B82E-4E60-B02C-723DA5ABABFD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A983AE-FCF3-4DB7-B978-223F94D76CCD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A92275-FBEA-4EBE-ADB0-4B3FC9F01954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FDD37E-2F8D-4D4B-B0BF-55327FE19242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5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DE7920-0820-4F84-857D-C7853C994CDC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6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329FFF-17B0-4AE4-ACCE-4B6279C98F92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6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E81488-99D8-428E-AB4E-888F856251A5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6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2F320C-4022-45CB-B8DB-0BC644589066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6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1E977F-76CC-42B8-9B4F-F373F8CBF630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6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B807AD-EEC8-465F-9661-353DC1EF18C9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6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EEF2D1-6F3B-404F-956D-6683F429A7C7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6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12E9C5-8882-4D59-B5D5-1A37F72C2208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6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7BB6EA-BD6F-4BAE-A490-E63811DCA771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6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51CE11-C698-4F87-8085-AF4C1E24E1D1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6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9A35E4-E931-4E63-9A66-8D3AA64417E9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36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6CA818-6453-4A1E-86ED-33534A52C499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36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3DDF2B-9832-4695-AAD9-2CEF8A4CEE4F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36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CFEF0C-AC61-47EC-A8B1-3F58DD7C125B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36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29DE5A-771E-4B24-A2B5-A9C5C23363CA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36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24B68E-A673-4A23-B563-A4534A57926E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36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60A0F3-968B-43EA-8E65-CFD3CEF464F2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36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AF8D0B-CBC4-4A2A-AD0E-087779264DFA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36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4E3844-BBD8-4BAB-BB47-058BC5E8B31C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36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2EC7E9-FD9A-4AAD-9A55-EDB93EB5AE18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36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F72ADC-D650-410D-8F15-4607F3008F58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36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3F9202-F320-44C8-9206-2A158C608C16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36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AAC87A-CD7D-4305-ABE6-E13A9BE22150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36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C83594-371A-4EF3-B23D-CAF2CB438BD3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36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9FD1AE-1A8B-4129-8480-EA3925AC81F7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36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C3CE3A-7C2A-4EF7-AAFA-6FD5499EF753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36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D95B93-E15E-463E-A923-B1D57D1DA2CA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36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E26EE0-9F7F-4C0C-9FA0-35B1B1B0E19E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36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0AD20E-D29B-4C77-A62D-E0A7646A0AC0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36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7E8160-256D-49F8-AB68-91D573F60A69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36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1D8372-BA6C-434A-8363-25B0DCCE6434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36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0E6621-9E87-4B0D-B105-0251D2E0E2D2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36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DBE2E5-5908-41B2-9CCD-A7B53686BD23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36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B81A1C-58BE-4CD0-97B0-5EE28E27CF43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36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B5724C-6503-4071-9B03-0DD3607839BA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36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D15363-E7FB-49F9-9C64-50F47E993E73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36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1F11C5-11E5-4B72-BD2A-E1F029DADD82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36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145187-B204-4104-866D-A1CB3E85CA34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36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CCB7A0-EEFD-4874-9DAF-83B95BA50310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36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70B515-C7A5-4AB5-A65C-3D69E1D828E9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36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B1801A-4556-4749-BD3D-DA06FFC77E42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36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C09C38-534F-42ED-816A-33E4A6EF7069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36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B988FF-E11D-41AD-AE0D-11EEA5819E43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36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0EF495-88E9-44C4-B5DC-7BD477B4E2DE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36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C95EB9-5325-47CF-8201-D473AA7C7715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36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52697D-3886-4FDF-BF61-62F1DF422665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36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3BB366-E527-4846-8615-18314C26B939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36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4A1736-C768-43EE-99A2-8D992EDC0E5A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36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1111A3-0DFC-43D3-9615-81B6BDAA3B70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36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F00352-2002-4C26-AFF2-885AD2137554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36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E06220-EB8E-48D5-B44D-F72F5BA715E7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36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6B68AA-7F6B-47E6-98E8-38ADE482FF35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36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F7655D-3F0D-44DA-AA6D-D1F7BB62EE1E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36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D15B33-FF3D-48E9-B149-DC22389C5846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36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E87542-6D23-4514-8EE1-F78A20DDE3D4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36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09AC53-857B-48E1-8469-9ABE5C9BE7DA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36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A062AD-D32F-4A5C-869F-0F3A12F473F5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36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96EE50-0C42-42D1-AEC4-A61CF4E5F640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36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0D4BFD-67FC-45FA-8BBF-EF017D3C0A91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36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1CDA2D-00B1-4D09-A2DF-513A0E24A731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36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45A120-3121-4F69-A8F2-432D914F8005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36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950FAD-622E-4BA3-9AA3-FA3694AFD61A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6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D57EEC-D585-4180-B50E-9C85F7BF816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6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D9A6C9-1173-49AE-8281-77FF5F0D282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6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C6C341-D097-4277-93BD-FABDEA735EB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6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1FFC37-EC72-453A-9682-71CC84F4ECE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6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0ED54D-E047-4463-91F5-D41F35A391C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6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B17ED7-7B7A-4540-A247-86ED0C9E63E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6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DE9C2F-71E7-4F95-A13F-46B630C3862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6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F66D92-EA94-456B-9059-950B484C38B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6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233143-A635-4799-8CE5-64EB141D8E0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6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C1F25A-21AB-4412-AD49-EA77D77A427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6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1027D7-340D-4626-8E80-CD2D00FBCFA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6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EC5A82-2E83-4F11-B7E9-C7AA7A47D24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6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7094C9-5465-4141-911E-AFB3E806A6A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6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9BDE4F-C7F5-438C-B143-680F2B4C534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6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13CD5C-41B9-46AE-8AB3-BB8723CD25C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6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B97A80-D5E9-4F3A-A20F-817655EA556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6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1EFAE3-E897-472D-890E-AA0E67A941E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6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C75E1C-08DD-450F-A9E1-960F1E90859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6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E2A15F-4CF4-4338-B11C-3078FA78CA3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6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BD7D27-4564-401C-9FC3-3640BAD35B0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6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2D6CEE-E079-48E8-AD1C-E79729FEA38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6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A531AD-2455-4279-A13F-B04AFA3C85D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6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7F7F00-E0E8-46B9-842E-26D76596D43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6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0AF31D-6104-4936-A4CD-528FCE7EB74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6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D4E77B-53C4-4C1F-9503-CEF2BCF3966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6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8D9051-315C-473D-A655-DDC1ED9D129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6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900F59-866C-41F8-81D5-4D35931D6BC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6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C5B490-BD49-4065-8C70-EF1525BA07E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6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4983D0-9D14-4707-A08D-AD61E8F421C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6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D69D9E-10FA-44E2-8919-2E6CF0AC1D6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6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5FC424-6F35-4E8A-B545-3D0E1A14D78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6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8E6698-A786-43AA-BCA5-19BF087245F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6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83F35B-364D-4528-A907-873FE42547C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6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12F34F-E588-4B18-8A7F-B40E02358BD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6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B48E65-BD13-4ADA-9AA7-5CB7D06774B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6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1C9A7F-BB5B-4325-913E-500AF5114EC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6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E60180-E075-4B55-8D87-B24F9D8EDB2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6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F16226-DFF0-424B-892C-67DD7451DD7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6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297CE0-49EA-4908-9F23-C2BA7447347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EBFADD-FEC3-41DF-ACCA-A460C4C05B0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0DF87E-FAAF-4C55-A722-444B38DC405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DEEDB4-4A69-46A9-84E0-0DD49DF6FD5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27F2F6-E9C2-4BDD-B0D9-B3CDCAE94DD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B79B7B-D70C-4E7B-96A7-E4E5960DB0F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FC2B38-73CF-4652-A991-43A8F26F9AD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BE5544-6028-4725-AB74-F275CC99619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47DBB9-7404-40F8-92C3-2C96D18235F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A2402F-E5C7-46DA-8A9D-A8D2DAC3934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E30B2B-1707-4537-ABF4-C55BA122812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8A7503-CE18-4299-8458-5E967FD2F43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B2DB22-666F-4EC7-9F70-13BF3AD58DA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5A097A-47AB-456F-9F24-EAC4472C68E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12C4DF-B620-4078-824B-820CFC9981B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744DC8-5B9B-4F4C-BA51-DFCDF74DC21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1EF7CE-05B8-41ED-9961-621FB03DFCA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1E6BBB-61DF-477F-B4A7-54ED3466E17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8D3A60-4352-4F23-B8A4-E940996A345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C76BA0-7E8E-413B-BAB7-D2BC9E30D26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B26284-445F-4651-98B6-24EF101C1F9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E2EEA8-2257-43E2-8440-72B60590F5C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63FC07-7722-48F6-8E14-E57B5F0E538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96CD4B-2F3A-4C5F-A471-CF4F6D9ABE6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575BC9-EF00-47EE-96C3-4612A9A49F5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1BCEF9-2B47-4BC3-A6A8-165A0B8AC80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1988E7-0C0F-441C-BE7D-138EB589D6D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6A49E8-99A1-43CF-BC81-D0FFACAAFA2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9A0C1E-AB31-4DCB-94DF-1BE5856BEC5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3B5BC1-4BBC-4837-A98B-B601569ABF4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B03763-0485-4D5D-9433-AFA2928E333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ED50F9-9737-4BDD-B833-02189A74520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EA89E4-9448-4C30-9D0D-95407FE7253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67BD3D-50D1-4B0F-8D7E-C71BF4AFD04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8B403E-074B-48A3-877A-EB1C79CECD6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C3141D-CC2D-4C46-A391-86523E0C7C6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7A6AA4-2347-4B86-9369-0E99A8213AF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07320C-D021-4C55-BA41-3D973D4D3D9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6DC656-3575-4594-BFAD-DC5485F4E42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F89DEE-434C-4552-AADD-34FDFD915AD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04EE7D-1AC7-40E7-AC18-2788EF804DD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771EEB-E15F-47D6-ACBF-EA3C4CC408D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9915F6-D617-4812-B437-5476831DB60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5AD1FE-5A57-4A6E-B24B-DEE82ADFF9D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120DAF-E9F2-488F-9BEA-5A63D50E636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532AA4-AD8F-4E5C-89B0-0692C809867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D86BDC-03F1-4DAE-84E3-E2B80DABD4B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18F553-59F8-4181-B06D-86E84475D3A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AB5F1E-6311-4184-A86E-72C6F02B286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D1BE00-7F70-4205-B90E-1281844E2EE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656CF5-0079-4554-99A0-AAD397CD011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680B31-F9CF-49F4-8D46-F39F6FB326E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CCC08D-D5D1-40AF-80F7-0135AD7FBF1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A64BF4-48EC-40F2-A5F8-7701CAC67BE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5EA831-5B42-47C2-893B-FFC2228D5D2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3DE1D3-79BB-4EA5-A5F9-84CDD82067C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4036A4-7F4E-4FBE-BBE1-E16399DBF69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A82F5D-F75F-44D4-BAC1-3242D4730D8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C58BB4-2BB5-4234-B428-4A408F07F45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E2B10D-9059-431B-B232-D917A1CEAA7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9A675F-DCBD-4F42-B208-89709F7B523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1C302B-CF76-4C9E-856A-EDE3FFBDD7F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E69C09-21E3-4D9A-B0CB-F466D1634F0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02D69B-849A-474E-AA2E-9F47BC8297B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46FE6F-80DF-464B-BF59-A56EB7AC2D6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3F378C-5814-4F13-825A-CC49AB669C4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A892A8-7C07-4CEA-9EBB-DCFD4EC55FD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01ED8B-0151-47D9-A455-6E12580057D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5FDA31-12AE-4A7C-BFA2-7B34A882D89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31BAA0-1D02-4167-9F9C-A9760BEF16F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7CE841-9D54-4A06-BF69-39184E59C9A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4AFC4A-8939-4CA5-ACEA-631C36E4C15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472969-F47B-4639-8946-B98C93597BE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5E75FE-4D56-49FC-A43B-FBE66F6000C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58002E-63F4-4771-9547-008A8BCCDB9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4F7BDB-EFE0-4288-95E2-3D7B6614381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BD3374-4B8C-4DAF-AD46-89A98684C18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44ED59-A89C-47EE-9149-B54AA5D47AD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50933F-EDB6-4B6B-8B22-D39BB3DEB9C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E47FDD-8BAE-40F9-9187-55317DB4404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63F36B-62EE-4DAE-B810-D069108D96B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EAB888-3823-4E89-BCC9-E9DBB3D3FBB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9270E1-9377-4F79-91C2-834061283D6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7BDD33-0A44-4B9F-86ED-A8E742B911B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51123A-4F51-4671-94B1-94B5684C7FF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C899A2-D99F-49C1-93FE-8D7DA2037D0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5AB84B-C2B2-4197-8F20-DA0C93A94E6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D82EC9-0868-41FD-A620-8434ED3C518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49AD7B-83EC-44C2-8055-8AEC3A69069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E9883B-B9D2-49D6-8BCB-9550DCBADC9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A90B07-D372-47A1-AA3D-DE9CC004910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3C80FF-C3C9-4AE5-9BEB-487F6CC59BB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ED6DF6-A9BE-4769-B540-0ED009686A9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1C3857-D1CF-4C81-94E0-DA272BF3DD6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C1FFA9-1E5F-4B60-BD35-48BAE12ED1E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5A2791-4985-4148-9602-772CC956115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FBEBC5-AA68-4285-AF0A-67ED015134C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88B344-4904-4550-A967-282207DC2ED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BDE746-C961-4CB1-9722-A87728939E8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31FDFF-8709-42D3-B4EB-76EEBE34F6E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7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A68D4F-6F5F-453C-A536-B00759F908E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8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B7C6EA-F5B7-433C-BEA5-D593838C77F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8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B69AB2-A1B8-4307-82A2-A90D47913C0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8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A0FD7D-2FAE-4CBB-9610-7FA92D1DD03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8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9F461D-8893-4C1B-84A0-7B4F3628F00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8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097D3A-A5E8-48F6-8F43-25EDC4443DE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8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25FD3E-0814-498F-8AE0-6C975D39514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8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B1EAA9-1C9E-4C16-899C-A325E0F077B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8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3B874F-5039-454F-8D02-187B17EB572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8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AF9B5E-E0FF-48A8-A98C-E6A5F7D805E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8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7BB91E-7D1C-433E-9968-A4149114EC6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38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F31921-1333-446B-BB34-698216422B4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38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AB2DCB-01F2-485A-92ED-29D6F30D84C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38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F94C6F-E45B-4647-8CCA-13F42CD671D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38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5B9D39-28E3-4D89-938F-B773C6836D0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38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FEF91F-141C-4107-BF94-A07A0AAF20A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38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1C6ADD-2D54-4210-9F42-C93C16755E4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38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3A1DC0-E115-40B6-BC67-A9F27E84015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38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5CBEAE-6BFF-4C10-844D-6FA5FDB4BC7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38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5C14CE-A5D4-40CA-A471-45A959702DC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38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3D4565-EB9B-46B2-AF8B-3C0795FEE09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38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01E288-0734-4E22-82EF-7FF39E603C3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38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5E7CFD-D867-43F9-9C87-AB22E295159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38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A49857-C317-4DB1-9FDF-EE2CED48C16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38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057343-CE76-4BB6-A4C7-4739E480021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38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034325-FFCE-44E3-9B53-47D314A899E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38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D29D17-416B-40E8-B378-73F1680DAAB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38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4F74DC-E495-40AB-BAA2-AC90FCC7498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38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63D1B3-0D3D-44E0-AF85-83216A6C8DA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38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ABC6CD-9F43-43BC-8FA2-4D200CAF46B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38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725F8C-FFB9-4F95-9422-9A1A7F034CD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38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FE70C8-5A4E-45AE-9702-0BD183740B0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38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CCDB70-0F98-43CD-9924-1BAB9824AB3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38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4BF411-E3FF-439A-BA66-626D16A1E4A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38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F8047E-BE04-4C7E-ACA3-E360EEECBD0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38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6E5C33-0CBE-4ACA-BEC9-615FB94A5C5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38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12035C-5BD6-47DD-9BF4-B48618A2418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38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52AFC5-A011-4B17-8678-D9566118D21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38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3A3B93-D7B2-4D1B-83A5-7C274B351D6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38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8A43B6-5410-4C03-93CA-F275568DA3A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38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CD4CF4-C2A4-4337-A440-6326C04BCD1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38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C1F5BD-3D03-4A83-991C-21DE157FD88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38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B8F61F-2ABC-4DAB-A530-E95F883824A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38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E4E1BD-E552-4BB8-B606-A51A54F09D9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38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890919-BFC2-447A-9AA3-D57F643B933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38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AE09D0-E1A4-4059-AE33-E4DF3B3DE6E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38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3F3A6A-23C4-44B3-AF31-719A1669B93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38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5E4CC9-2562-42B3-8A25-4E6DA9DF4DD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38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4F5786-FF0C-4E1A-A5EF-98C2C815080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38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12D019-E9A9-4E37-B370-D5A76F4EB9C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38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5A934C-ACCD-4A54-A0CA-32416D2A0B4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38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5267EC-8C80-4028-8E11-91E463A3668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38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0EB069-2DF0-4FC5-8B23-B0FBF4D413F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38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2D48BF-3F7C-4223-8F3D-2EA0DEACB8B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38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E39DE5-3BEA-4EC7-A8D4-EA710CD37A5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38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BD665F-33D3-4198-BA3D-067D2088E4E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38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84CC6C-07D8-4FE1-9532-1CF6F27F7E9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38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AE22E6-9C63-4461-B3CC-D522DE95EF7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38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93B8D1-4E67-4ED5-A0F4-65EED778442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38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39F607-6AC9-40DD-9A9B-EB6A40AABE7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38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17BCED-4181-4ABB-A093-DF31F62ED9E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714375" cy="304800"/>
    <xdr:sp macro="" textlink="">
      <xdr:nvSpPr>
        <xdr:cNvPr id="38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B1DECC-AA1E-4D94-852F-1C738A20A042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38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04EB42-AAE0-4841-AF1E-E6D6411B3A25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38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EBEC81-646E-49E3-817A-2F66A78A13CD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38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A6B8F9-718E-4FD7-A73F-CAC094A01F46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38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83E6B1-D826-4ADA-B568-3CFC9D195651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38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1E507A-5AD3-43D5-A661-23ED728CB033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714375" cy="304800"/>
    <xdr:sp macro="" textlink="">
      <xdr:nvSpPr>
        <xdr:cNvPr id="38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24DB58-792B-48ED-B98F-2387E25E72A1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38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3BD411-4EF4-4958-A00D-3FE586F76EEE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38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F5783C-D06C-4112-895B-A320E2A1CF0A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38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991081-4DAA-45AE-B90B-2429473BC29C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38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15D65B-DF0F-4BAD-B617-7C7C45792CF3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38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6DA600-302C-471E-A684-96D1F551FA5E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38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229CC4-C525-4754-BE32-9FABB48FD7E7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38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3E59D2-8C8A-411F-8070-36C34B51A6CD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38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17B582-0D78-4170-9135-32E3A380BB87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38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E216B8-431B-4491-AB5E-0DFED884FC6B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38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EE91B6-BF23-4A1C-95FF-93109E2E6AF4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38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3A72D0-47AF-4EF6-847B-35149468EF8C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38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E347FE-6858-4EB4-B7E3-DF705C8A24AE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38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F3776B-FCB3-4158-95ED-9B0A370311A7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38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3EF1DC-0BA7-4F1C-99A8-46A058AE963E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38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C3DE3E-C21C-49F6-BF19-0C1739A674CF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38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CE803C-31AC-40B1-91AA-CCA2793B64B8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38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750719-D8B9-4507-B2CF-FE5C356571D9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38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BB2664-8C73-41D6-A044-F27F3FF2113E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38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FC8A8D-8D2B-4CD3-B439-59F0F11940BA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38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77D44E-6281-4189-A9CB-018AD5DB8D8A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714375" cy="304800"/>
    <xdr:sp macro="" textlink="">
      <xdr:nvSpPr>
        <xdr:cNvPr id="38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83A57D-4407-4A0D-80C1-7DCE19973984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38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617599-24E3-4062-9AD2-E07CE81B658A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38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982778-1967-4688-8A4F-A02D50AE6E92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38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879507-D606-4C56-94F2-35C8638CEDC9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38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434FD6-6D11-4F77-89CF-76DCB173779B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38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942631-9308-4553-B00A-7B4823C8A236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714375" cy="304800"/>
    <xdr:sp macro="" textlink="">
      <xdr:nvSpPr>
        <xdr:cNvPr id="38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922F1E-6C57-49B4-AB16-E843BBB536AC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38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F0C064-E09C-4D6D-8D45-DA83DCAAFC6A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38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55DDD0-8BBF-4897-A50D-2C7A97A34695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38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D491AA-82F7-4270-B399-87F8F55F09E3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38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480293-02BF-470A-A1B2-F7A281172B71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38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DBC943-73A2-4549-8151-04C49A221867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38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CAC7BF-BA59-4529-8C58-BFF8ABA70EB8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39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A599F4-A06F-451D-980B-FF78831AACE7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39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814039-39B8-462A-8673-69A9B35326B9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39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20A5C4-FCC3-4A3F-9B36-8CC0E30028FA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39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02BEB7-D79E-4564-8D24-26770F8EE482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39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3F2937-5CED-4415-A848-0B4D50E1CB9A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39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E3ED83-C1A4-4A3F-8997-775F79423209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39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E66963-698A-40E4-A1B8-2E8075146B2D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39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7E65FE-6AF6-46BB-81A6-BEBDE3D96FE3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39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A6A8A3-DE4B-49A7-B70F-533359F29559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39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D9BEDF-4DD1-44CD-B9F6-93E6ADE8FA26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39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D53279-743C-49C3-928D-D71C33E03958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39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1006F4-073F-467D-8C89-33E1719422A5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39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949DBF-06E3-47EA-9653-BE2AC1CA0BD3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39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628AE6-0799-438C-8632-C09AC58E81A1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9F6633-A41B-44DE-8CD5-315C21E0AA4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0EF003-72E9-4618-9CC5-BF6B69C44B6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678D10-9193-47AC-9EC2-0FBD2D95684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C70EDC-B6DA-4396-8676-BC807FF7191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6535FF-C067-4325-BCD2-6E85A1059F2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28AE71-20D4-479F-BA94-0936C0AFC90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7162F5-01C8-42B5-9E5B-6E76C2022DA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026262-CCBF-4BFE-8EF2-55780125186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714375" cy="304800"/>
    <xdr:sp macro="" textlink="">
      <xdr:nvSpPr>
        <xdr:cNvPr id="39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279598-97E5-4BC5-9860-6B2611F0969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EC0392-564C-4BFF-A063-5D4E9475CB7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3F5450-A4FB-4B09-BDC8-780E5833BE0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9B4F3D-0C1C-4FAF-A6B9-65949640133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DDA71D-F316-43A1-A900-554CCE00C48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8828CC-CEC3-4956-81E8-E1D174D1E1D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714375" cy="304800"/>
    <xdr:sp macro="" textlink="">
      <xdr:nvSpPr>
        <xdr:cNvPr id="39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071591-FECA-432F-93B2-41E867B5CEC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795902-D43F-45A7-ABA2-19195C28BAB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80367D-C4C5-47E8-BB95-F079077C287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AE30C5-B7F9-4537-B075-E7E1ABC7486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2AD204-1510-490D-ABC3-C176DEE9743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72FBDB-39E3-46B7-A19A-B02EAB179A1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26B9E4-8682-40D0-AEEB-8802EE5B393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6329CD-6AEF-4A62-8295-075E6D8A552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DF46F6-2534-483A-853B-26B6655B05F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76BEF3-018A-43BD-8198-36D4A7304B8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DD75AD-FF91-43AE-92AB-4C9761F626D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78E55E-A5D2-46AF-906B-0D526CB9EB9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8807BB-790A-40C9-8D95-7ABBA9FDE48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76976C-8E75-4380-8551-5A1583FC26C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17DCB7-F15C-4C4F-8C7C-E197884C717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649A93-0B9B-4A7C-BC81-7F7A1BD423C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580AE8-9709-40AE-BA3F-E1861F1C139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A51041-6F0F-4446-B766-5DB308BE0C1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61AD41-AD8F-4997-BAEE-45CE00A98FD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56852F-06A9-4AA3-AEE2-1794B9A6667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E19738-2DDF-47F6-9ED9-678DADBC5B3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598EF2-16B9-4916-9D7A-A613183841C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E598B0-43D1-42CD-9205-044A0786F30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3F7429-738B-4ACE-BEE4-D7BD180C43A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F3C928-0AAD-4949-B267-3E0AF8C9C37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7CF4D8-6628-42D7-B716-93B6A9BCF5F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6DECE3-E016-4D10-9DF7-62AEDC538E6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37EB4E-4255-410B-B422-DC5B007127F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57C942-0105-4E6B-BF05-43E18C6BC17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7010A0-D290-4B89-81F4-3631C786046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2B56D3-C755-4158-86AF-23ABEFD861F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510966-169B-4D70-B8BF-595774C6463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549600-C410-4F1F-8C23-3A95BF5F12D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C16C97-F77A-4531-958A-2E1EBBDEE7E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DAFA8B-4374-45F0-8C2F-1C9A0461E59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A73018-19FA-42D1-A38D-74F76D06013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547016-DB6D-43EF-B85E-70EFC1C6A8A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5BE5EE-243E-489F-9244-57BA32752A8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B9D58E-358B-4510-BA4A-74A1ADE2B01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0EDC23-63C4-4FF6-8BCB-41E0AB9C8EE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0AD134-C967-4397-912A-14C89EB4791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1CEB1F-A176-4C49-B6C1-17D3F0995BD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07C28D-D67E-4FC6-99B9-CEDB6BBCAE0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BFC193-88EF-4270-8FF3-ACDB55F327C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0A75AF-DC67-4225-8BDF-45B76D178D9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809323-30D7-4359-9108-AF993D86C59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4AD3D9-A52F-49A7-8EB2-747B6AA6018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DB3433-EF95-4D16-9136-F86D364DB73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748C7F-FF67-439B-B42C-B539641FBBE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105D44-7F94-4415-B393-EA15326C61C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F84E7A-B052-4061-A47E-E88E5528CAC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2E9A5D-85C8-4FEB-89DA-75BAE1FFACD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BBEEAC-1D6D-454E-BD78-8D8855FC294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626D01-8772-444B-8EE1-27B98FA7FF0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0F5613-DBF5-4EFB-BDA0-3FEBEC89DBF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7E14D2-0A19-499B-93B9-D1AD93200EC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EB25B0-A1D5-4936-95DE-CBF0C0315C6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70C1FE-25C2-45D5-B9E1-23DC5B42CE3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5EDCDE-63B4-4398-AB06-DE6D155DA51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60FE23-4B87-4DDE-BE43-9A666A52B45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874BB3-5552-4839-A333-99BECD434F7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941CC3-4E45-4973-B12A-1B835C89FF7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9A612B-E4E9-4E93-A243-125C111B436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782128-490B-4157-98E9-A3E64A70857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480BEF-9B92-46A7-9ED6-C6872799BE9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B04A2F-50EE-44CD-A512-EB370293916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CFCF89-EE5B-4448-A65D-52CE5599748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DF91A8-DEF0-44F7-8BFE-F48A8138C16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8DBB46-176E-4B7D-9238-FFC8BE56A02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379662-5D96-44A3-BCB9-2E6DC6E0469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9572A8-D55C-4E86-A789-FB99CA0D836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39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009A81-3E70-4BF9-9E07-8EC427B967B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40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9C2AC1-7B88-4D8E-8F43-B80F807DB28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40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88158E-480B-4235-A943-19553F2F731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40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43B658-0892-4478-B3ED-20D337C0EE6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40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E8CF37-3BB3-4707-9B92-75C79F77A26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40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A7CD28-DFF9-49E5-A87C-96F46D2B037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40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B0B5D6-80F1-4AAC-BAE8-520D525DCE5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40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9B9642-F1D5-409B-A9BC-86E67BA865F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40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706B94-EF90-434A-B82C-64D2F39ADED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40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A231A9-7770-4341-9DA6-48FE62FE14B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40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BE80F5-478C-459D-98AA-4FB33F5D848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40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940B5E-910D-4CD9-A28F-39E37C7FBF8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40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171786-D9D5-47D5-88D1-2055464D3B0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40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6CC63D-F409-49BC-8E29-6E0F966BFB7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40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926D73-2F13-4D47-8D1F-E46B69E981A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40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ACFCD5-F23C-4405-BB0C-2B6553FBB2D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40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91C011-BDDA-4465-98F8-9A2B5B8DE7C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40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5A41B1-F068-466B-A4EE-4B18959F6B5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40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0CCC1B-E7D3-499C-BFAD-CA071D78FAC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40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302D45-BA93-44FE-A9F9-831B40AE384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40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400E9B-2C7D-4BB4-947D-564289CE07D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40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51C0BB-D155-4000-B570-2F60E45407D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40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E8E27A-E53C-4AB7-931C-9783E9737D8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40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8CCD89-1683-4073-AEBD-27B06D338AD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40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90FE77-FB1B-4720-91E9-CA4D946A4C5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40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7D8BBF-5F62-4A3F-9731-E417B3929FB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40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8F988A-1B8B-4778-AB01-E440EAEBF51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40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1599D4-A0E7-415A-A559-02DB7538F08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40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BD7D35-2E80-43B0-B949-11F236FDBB8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40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F2F830-7F4E-45A3-89F1-CD833AC93F1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40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19FFAB-BA86-4939-AA85-A28E43CB5D0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40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0B07B6-CB91-4645-BA67-93DC3D71126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40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76F55D-2D21-426B-970A-1F0A26BF574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40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E9AA9D-FE87-4448-A0AA-FC59B977A2F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40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C37649-1A29-414B-B5F8-091094F1235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40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1A206C-6769-4E5D-BABB-6FD069C4FCE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40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4ADB17-5DC3-4931-BDE6-D95C4B805C9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40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ECE102-6507-41E5-B877-4241AE4670A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40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55892E-D45D-4417-B7C9-E117E5CBAA1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40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4A5E38-5F20-4EB6-B662-69631193CF6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40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CD3AD9-1A91-4CFA-8B23-C8FFD296FBB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40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7CC764-1D91-46CD-B5AC-0A463F5EC8E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40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CFB62D-EB86-4F32-9068-B32C9F02DAA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40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761331-782B-4894-82DF-2956CB678D2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40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D57927-B1F2-4EFA-8FC1-76DDA486B49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40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C26DD9-DFEC-4DDC-A538-896A1256CF5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40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C3F891-D3EC-41F9-8CEB-D91BB7D1916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40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D15986-0FEA-46A3-BDA9-D7BE602C34C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40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18417B-FF35-4249-80B3-26D97FD9EE0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40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56B2FE-69EB-4F58-9BBB-D49E2B6D9A2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40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0E7930-6FBE-478B-A856-256A52D05E5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40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E9EC6B-B038-4B86-AF49-0873BDDF9A1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40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9E699F-6AD5-4DBD-8885-E9EDEE63CE0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40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3123C9-35CE-4556-8E5A-AC92D7135D8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40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B4655A-66B0-41E8-BF1C-D04FAD9AF7A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40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57CDEE-0C47-4DC8-A033-BF6FAD21CB6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40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994DB6-34D8-4D4A-ACD9-F58FA1978F6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40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4E2A32-4395-4EEC-80DE-C4495907D6D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40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C341A6-9EEE-45A7-A039-CBFA1BE2882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40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253960-D156-4D5A-9C7A-80E02BF4C86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40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679358-025D-4816-B840-FEE5D7F17AE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40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C2E456-C054-4D75-A476-036103D017C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40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A7141E-5F93-4F9A-860A-9314B14CE64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40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DAE571-D39C-46DA-B1E4-5339F04A8B9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40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B51257-BD30-47C7-BBE7-CFA8BD2FA54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40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906404-747C-4205-B33C-E1474D41815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714375" cy="304800"/>
    <xdr:sp macro="" textlink="">
      <xdr:nvSpPr>
        <xdr:cNvPr id="40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732CB1-AD9D-4131-966F-896890E1AF6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40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A40B5E-F36D-435B-9E8B-0920626CB90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40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5725C9-253F-4130-860E-539FC6184A6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40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248F19-737B-4833-A43B-4D6161C9CF5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40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8DC94E-04C0-4E4A-9728-59C051360D8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40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2C383F-944B-45E1-9013-70B3177121F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714375" cy="304800"/>
    <xdr:sp macro="" textlink="">
      <xdr:nvSpPr>
        <xdr:cNvPr id="40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F07404-2786-489C-BF1F-F5AA2D8961B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40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986B34-2F04-4F65-B512-A09FCDD8BE5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40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9A500C-6307-464E-8640-8FE49BCEAB9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40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33F1E6-FCA6-49EF-9009-EFEB1CC009E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40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D4000C-171F-4E02-A03B-3319046A366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40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3E7637-8D53-449D-8C83-EC5456BF170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40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028C9D-E9BA-4641-9944-FDB9DB33C03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40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CB2CCB-B144-431A-B79B-F68A7A6103B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40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010D7A-2A11-4736-A8DC-D5304850AF1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40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FBCE5C-024E-4C1F-BF9E-B9069D67D8D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40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6CBFE9-6AC3-4E8B-9891-9B38389B9DB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40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C6672C-E380-464E-B68E-7C22F3BB4F0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40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89D613-3998-4230-B527-10A52D2B153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40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17F99D-78D1-406A-A237-5117C558E72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40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43961E-727C-4750-8D82-09260F56FB8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40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BDF7CE-6487-41C3-A8AF-98E2330AA66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40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E8EB00-D9FB-4155-AE48-BE411252F2B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40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742E56-22F7-44D4-BFB3-0FFD5F99FB3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40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D05EDC-D9C4-42A1-A3D6-47A5766693B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40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B0B373-A9C6-4090-BC0A-988E040D3BD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40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7BF408-9F57-424A-A9E5-CD3532E111C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714375" cy="304800"/>
    <xdr:sp macro="" textlink="">
      <xdr:nvSpPr>
        <xdr:cNvPr id="40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1274C3-A58B-44CE-9C44-CDF26780D99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40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32B2D3-3F7F-46A2-B0D2-20A21F1C53C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40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B1ED7F-BF22-40E0-A9B7-453DF76181C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40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079BB6-0E78-4235-9CE6-388D6F7BFF0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40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8EDA74-0A7F-4001-8993-2ECD4F95011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40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746F43-15E5-4A1C-B607-CE2E529B7AC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714375" cy="304800"/>
    <xdr:sp macro="" textlink="">
      <xdr:nvSpPr>
        <xdr:cNvPr id="40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CD2130-986C-4F66-83D7-34D612FAA58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40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E919C0-9CDB-4DD5-BA11-A443A866535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41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DA3321-1751-496E-A955-D69EB9F3B3B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41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7FD820-C849-4AFE-BACB-8F329BD4211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41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F2D9F3-33ED-4D11-AE28-CF577DA371B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41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A419B1-AB9F-4FFA-86C3-97725F9EF6F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41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772F67-7690-40EA-9003-EAA6F737B2C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41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44345C-0BEE-42A0-95F6-EF5ADD692D0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41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8D9C43-CA07-4EE5-A3CA-73D28929282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41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78C763-A0E1-4FC3-BBFA-8F90631089B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41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A833D4-3894-4CC8-82D8-A0BBA32F1C1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41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1E2676-5EE5-4A4E-B7D6-31E3DA0CF83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41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4909B8-DE1C-4CB3-876F-984D729570C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41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622E28-A65E-406B-8B94-D2433059C2D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41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9164ED-5EB1-4B76-8015-7C9D59D3754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41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27D5E5-D0C3-4957-8C3B-931D75E11AD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41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46E2C5-999C-4BAF-8918-839C92FCA21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41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872C59-AD64-4A30-98E7-7562760A4D4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41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5274D7-E1A9-4538-B68A-999C54E9E0D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41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265F44-EA1A-4510-A55D-723C7A186EA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41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60CA47-51B8-4F8F-A113-4638385751A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571F5C-9E00-43AD-8C0C-A7BFF03E559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A3E588-A74A-404C-A1EF-EBD15470B66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8CF394-7F38-4C2B-A477-A95256AE4CE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0BB632-3776-4E82-A3FC-89236F30D16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0C630D-D78F-4505-AAEE-AAFABB54E5B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3E1838-7D84-49B5-B9DC-DE17D901FE1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7F0B27-88A5-423F-A464-49BB75B9B50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25410E-78CC-4A51-9DDD-3221B2A8110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8B48FE-9A1B-488B-94F1-636A3C02016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9D7539-3373-484E-A64C-5AE4DE8B0B7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CABA86-C8F5-427E-B145-BA916C0580F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3D459D-8D4C-4514-A42D-989ADA15630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45DCB0-DD70-46E8-9DB7-268D744AB8E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C985CB-5A94-4693-B756-B8F90E52DD7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E979B8-289D-4583-AD4B-01D564894E5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41A082-B500-434F-BBA6-D1B1AAB57D1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BB927B-97AB-45D1-A1F8-F0BFD741512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256102-A490-49EF-B343-E5093557061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2BE1D4-0CA8-4FFF-AB82-990DA348B93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59579D-A096-49E5-BFA7-073772BBB67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9CADFD-631A-48E1-9039-66BFB81135B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C36F47-CEA1-4D6C-974F-53A81D360E5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C95209-7038-401B-B2FF-27689E483C4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25E905-6124-452D-8A8E-A9DD6ECC0F5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B3A25D-2534-459F-8062-1D7A2056840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B0E93E-0CBA-425E-94EF-495EAB9AC2F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09E2E7-80EC-44BB-B4C4-323FA8ED20E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B3B68C-7DC5-4C89-BC84-678FB0831E0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7F78DF-B8D8-42AA-8273-C0C3A5841C6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195222-FECF-4F80-BE90-78253E57FD7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CF1D4A-6515-4414-B34F-89A030E4E16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335665-9625-4289-B12E-62D32340A03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81B3E6-9B01-4064-8175-BC189A5B73C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96E638-8430-4325-A127-11DBBC48783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672319-B9F5-4C17-A63F-2D55853E487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5353F9-4B7E-408D-86AC-F01A6C26602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6B2D18-3A0C-4DE8-95A9-CD8FFC43102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982105-AFE2-4387-8020-E8575CB28E9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F3CB4A-236C-4336-91EC-835184BDEC9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DC4EE9-B0CE-44F6-B9DA-858DB945EAB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DD98C7-D9BC-4E92-A661-9DF6B78DFE0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410D0D-E5EF-427F-AFCA-68B21A9AAEF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7C5CB5-DDCE-44B3-9DF2-783727FE66C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8AB977-A6F8-4670-AE2C-FF20E110E18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0DFC29-58B3-4726-B033-50B136C0CF6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835800-ACEE-403E-A4A4-F3488200C75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DBA520-1B2D-490C-AEA4-8A52E947F1A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99CD77-FDF5-4A96-A21E-EC6CF4E7E82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58061E-8153-4B6F-942A-52BCE5E90C9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C01A4D-AB72-4C33-A57D-C5B1369CD66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1DE1F8-780E-496E-B642-D417836CA6A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DD9AEA-A43A-45E4-A03D-E722294F4EE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C5CAEF-B8EE-4986-9FCF-D67D6E568BB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71FA6D-4067-4EB2-A3A6-10FECF20CE8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019CA4-0CFF-4B59-A850-6E845542E23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D40BFD-9832-403A-A4B8-61D466BB8D3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2B4244-2662-4F3E-9CEE-7E56328E86E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8655DF-39CE-4451-9D19-2702FFE7AAA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CC6FA8-34CB-472E-847E-F59E5F16FA3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31D999-36BB-4E09-8158-05B339D45AE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784DEE-8BE2-411F-9B0C-3DD90A7A0B7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7B1749-3686-40CC-A110-CA5121FC865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9457DF-0EFB-40E0-BD7B-7A61F01022F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DC81CD-4556-4BF0-9AE5-FB19F5175A9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454835-2083-49E8-99D4-567AC08C70C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484228-0CEC-4C2B-A926-D792AF511DB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B77254-EE79-4D0D-B371-E99CFC12780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9B870F-5FF8-4DAF-915C-17D66340DAE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5EB954-181C-49AC-B04F-FC04554DC4D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AE5735-16B2-4380-B66C-A657FEB32F5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A27C44-E99B-4EFB-A627-F75587690D4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D0EA04-DA4E-423F-A38C-65210AE0C75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E3770B-950D-4F6E-B53E-13D4661FA5D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67FEC2-B662-468B-8C28-2145E529689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7F386D-F765-4CB5-B9F2-9BF063A09EE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11344B-A2DD-42F3-BC28-BDCCB4D16E2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F163B5-4FE7-46FE-AEC6-5756FC03A5B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3AC083-AA01-434B-9253-FF448B32FE0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60D19F-E81A-462B-A56F-21BE9C68F43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B44286-2840-46FB-94A8-40ABAB25AC2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1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AAFB96-CC5E-48E9-B61F-56B23392E02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2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6CFBE6-1A67-4724-8ECE-19242E6B934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2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847D3C-2794-4777-AE93-A17510C8846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2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0CF1EB-0287-4FF2-AB0E-A1565546A73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2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DB305F-3F4A-4BF6-A59A-FB6BF707FB7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2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0BD4AF-456F-4A04-9600-054C1493A32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2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E1EF60-2B80-41D8-82D9-36E0EC1CFC9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2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5A999D-18DB-4AFC-B659-575C12920AD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2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2167D8-48B8-44A3-A17D-7629A121BB1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2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6CA554-9649-438B-BFBB-2E29A2B2126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2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88605C-ED5E-40E1-B66C-CDEF31DCB03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2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AEC971-CF5D-4449-BDDA-C0B98B868D8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2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18F0CE-BD4E-434C-8FF1-40206EE890E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2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9B4FAB-1E13-4529-86BA-0E9DFED6495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2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F6E9EA-9178-47FB-8ADF-CA71BADCB98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2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4FC92E-E05F-4741-9B17-4617B2C401C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2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6B1269-B000-4986-B74C-DE25804A3BD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2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A9F05C-3C1C-49EB-B0CF-E194F7184A9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2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3E0E1B-AB63-4DB1-AD73-236E2BF8598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2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E0BA11-1BC9-4DE0-9D7D-663F12B34E5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2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FE325A-37E6-49E6-A059-BB905264B5F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2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EAA5C1-D201-40FB-8CFF-C4091A81F54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2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F19F1A-E2FC-4EC5-AC7D-8CC36A6BB28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2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0B158A-070A-4010-AD65-A0CF67092C7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2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451274-C0BD-4DE0-B388-6641C284ED2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2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4AB8D3-9F64-48BF-97B5-DE8DC42912E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2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0EA4C8-7C86-43B4-9A29-1E98162DBE9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2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514DA3-DCB6-4738-9CC8-7986FB09B7F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2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7EC454-5693-419E-9B91-C7D81865AFA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2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82A785-C238-4EFE-AEF4-A67EF790539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2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173346-75B9-4894-84B5-07491A99545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2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2EF47E-7032-42FF-B8BB-ABFAE2BC92A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2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23E81A-DDCA-446C-815F-A013B86303D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2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47395C-6EFA-4BCE-A804-288625F5D1B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2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17F9F6-EE90-41D8-926A-7DA87348411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2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8F6B9B-42CE-44AF-A603-0CD680FEBC9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2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3DB87A-C820-41AF-9961-05093E1F53F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2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C7D457-F35C-458E-BDFC-229F832C95C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2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CF0679-7BE9-43D3-AE7F-ED0676FFF58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2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3B983A-0FFC-431C-9979-FD82ECA8495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2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3FCE67-BBED-4600-A709-EFE279FE192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2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EF37B9-A44E-48C4-935C-26A05B9A2EE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2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E65D57-1499-46B5-83BE-0B59C5CE018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2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D32A4E-FF17-4154-9B81-9DCED53FAE7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2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778E8D-5961-4522-BD09-3263C88018E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2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0FE31A-7CF7-4EC0-92DF-550C4A131D4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2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043933-C162-48F8-A95C-80909641D42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2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14B841-220C-4A7C-8688-021CDA1998A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2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BDC11B-56F7-4A54-A499-F422233D3B1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2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4B2F83-3813-47C6-8E79-EAFDF51082C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2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635265-F50E-48A1-BC7B-58794255BA2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2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3E2942-1220-40D6-A33D-79861C817EF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2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0BAE48-8794-4398-B728-BF1A0FAFBAB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2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3C1785-C866-4CF5-A9FD-751E3B7029B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2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B1CD07-EDBD-4777-A664-B33447553C2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2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334E56-8643-4381-ABED-AF1DA43E282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2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5D753D-9686-4A15-B541-86A2BBE47CD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2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10403F-5773-4307-A3CB-10B8FB3D168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2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F26D9A-7C34-4806-B5D4-9F3E805DAD2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2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9DE83A-2AA7-401D-AF84-95F98E92BE4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2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E89C18-E4DD-43A3-B830-9E0405C6B38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2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B0EF71-A4DF-448F-BEAF-C29C27FD559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2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B26C00-5C43-4A43-BBEC-9FB79634196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2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EBEBDB-6A8A-422F-9508-0C830351727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2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1A52DD-1B84-4454-997A-C147A71B78E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2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E7B4AB-3793-4AF1-9B35-A2F967F3DF1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2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5DCD12-174B-490E-8542-30C845179BB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2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DFFA39-4DBC-4257-889B-7EDE3D38889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2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2BA1F6-A582-4C3D-8103-FB562E53180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2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54A613-DC44-47BB-AADA-501A4D17A6A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2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11C5DE-9EC1-44BC-BC5D-163ED24122A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2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584037-8990-4EC5-8AC7-B185D1E57A3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2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B95D36-5911-4E06-A313-693AC4668D8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2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9D7DA6-8AAF-4D73-93B4-FDB546DDEDE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2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256B70-D3D4-4D91-AFC6-16B429264AB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2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C0E926-C62E-4A44-B984-FBA9697A788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2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A3D3F9-CC32-4CB0-AA1B-3F839BB8E8B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2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787DBC-88C5-41BF-A1BA-344A30DD513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2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7750BD-2BEE-4DE6-9EC0-6BF6FABAB68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2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641687-46C6-47F9-AC4D-4D3E4370756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2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218374-C64A-4A2E-AF7C-F7ABAB0316C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2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A3DC14-BEC1-46CD-B989-B9E2541A56B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2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B572D4-E760-48B2-A19E-30978C3E315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2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CD40E3-890D-4FAA-BA9D-D30E9F894D8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2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21DC97-9744-4051-A644-FFCA17B4966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2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8CF563-ABA6-48F1-B349-C5BF52E8DED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2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EAF111-AD5D-458D-A627-7361BDCBCB9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2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18D8FA-B8F5-498D-8E2E-1C6A7E891BC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2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844517-19CB-4578-BC15-839363DE6A1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2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4249D0-C95A-4D10-927F-C12200B5969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2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C18BDB-BA9B-4A83-A4C5-3AB8F7A51A3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2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4549B4-E1C6-4583-BB25-855C2864C4A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2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FC8870-CBDD-44CF-8EAB-A7A4DADF538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2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E5945A-EB7C-4293-A046-5EE35CF9E1D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2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6BBB7B-0B09-4DED-A2A4-10B636F6D58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2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6B5275-E622-4E0D-B7B3-EB296BE5B3E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2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263D36-57C6-4A0E-A571-79C45425AC7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2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78223C-E4B1-40D5-8C15-288311B708A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2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96967F-FACD-466A-AF31-65C74669A40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2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B904DB-E495-4F03-A6A8-D0D6527A345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2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9E6619-B835-4B6F-835E-73C58B723A5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3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F236AF-B952-4AED-8C39-2A1E7BB3A75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3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0ECA3C-EB08-49AD-A79D-2B2F47CE32F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3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6D1366-B3E2-4F3B-93BD-CB9226CB12F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3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98BD4E-C96B-43AC-A1B6-C45A9882E45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3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F0060E-DDB0-43C9-9A02-B92B1C08877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3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F3FFC5-A924-4398-BE04-55EDB63F08B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3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E32527-19E3-4998-B442-15C3BC6D782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3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3D75F5-EEC5-4685-AB9F-649A835E63D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3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1D2FA2-B243-4DEE-9DBA-E483CDA7A8B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3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70B699-5CEB-49DA-8A62-73159B37A71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3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9B4902-7B96-4281-B07D-D5913B51F92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3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F9ADC3-7DD5-4C9B-A456-7308BC4185C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3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123D07-323D-439D-B7EA-71DBBBF8E7A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3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7860B3-0FE8-43B3-A17F-842F0B8BDBD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3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E7B2BC-F1BF-48E2-994C-10BE9D0B48C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3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59EC6F-982A-4F70-A581-47393ABCDFC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3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CD8332-88FE-4F05-A094-5777F2FDB5F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3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D5E43E-2465-4AA5-A8EF-65CF0810C40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714375" cy="304800"/>
    <xdr:sp macro="" textlink="">
      <xdr:nvSpPr>
        <xdr:cNvPr id="43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D20656-0AE6-4E7F-ACB5-3635B8F2E9E6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43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C2FE0B-0098-4BCF-8C7A-8DB0BF11F24F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43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803289-A595-44C2-81DA-955D0952FE88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43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164906-267C-4D6F-AB28-0CD96949CA9E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43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029031-F3CC-403C-9763-EBD6FF59CD6A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43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2EF5B7-308C-4D20-8D0E-9B8C3E9A3114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714375" cy="304800"/>
    <xdr:sp macro="" textlink="">
      <xdr:nvSpPr>
        <xdr:cNvPr id="43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B68749-F22E-4B24-A434-C054BC537679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43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71EDA6-9DBC-4869-BB0E-CFE36E586A04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43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BEFC99-3BC0-4665-89F1-5DECD42C98F1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43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79576E-18A4-45D1-A887-9EEB93DFD204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43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069263-7AFB-4BEA-8BC1-7ABBE212C8E9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43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956322-3B38-438C-AF84-EDE78FE45EE4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43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17240B-56C3-467F-BC23-264F4F142258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43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A1265E-02FD-456E-8626-F290AAAAD0CD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43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76008F-8050-4873-995D-F9AB047AF4CE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43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74031D-FFC9-400D-8C13-B22B8E38F6F3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43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3EADC3-7A32-4CD9-9933-7B50322FAAD9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43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96B051-B54A-4EA6-A89C-4B08E05ED0DE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43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531508-BAB9-4E43-BAE1-F5AD8BA578B9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43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4C4806-5F26-44C0-BFF5-5A602B1CD1A3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43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985A24-559A-4714-A990-9673ACF77C9F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43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844D97-00ED-4059-98D2-E8F549C349D8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43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86760E-039E-4E88-B48E-E60D890B11EA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43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7316B0-819F-4AB5-A1F3-D9FD3F3BD65F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43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FBEA6C-BAEB-465B-B5B8-4428370168E8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43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200B20-31EB-4F99-BFAA-30BABBD7227C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43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22DAC4-9087-46DB-BE6E-58206F6639B9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714375" cy="304800"/>
    <xdr:sp macro="" textlink="">
      <xdr:nvSpPr>
        <xdr:cNvPr id="43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E38532-E501-4892-9A91-58269F174A44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43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97B044-3818-4EAA-9BF7-F508911AFAA5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43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E98EDF-FFBD-4E04-A933-C1F82A377DC4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43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373293-4602-4274-93C4-EB948219BBCA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43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2CAFA0-D0BE-4D50-BF36-B4C18DEA50BC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43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47BF9D-2D4E-4542-95C0-81D6A06B6291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714375" cy="304800"/>
    <xdr:sp macro="" textlink="">
      <xdr:nvSpPr>
        <xdr:cNvPr id="43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FBF1C2-7232-4119-A602-F1A2DEE1DEE1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43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AA1B04-3736-46FB-B296-31B931280ED4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43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06A36E-1D7F-4CCB-82DE-38DE69ED3169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43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E59DED-806E-4D71-961C-57340316751C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43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05DA83-8C9C-43DA-B66F-287CF64442AE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43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E0F9A1-BC80-48F2-BE9A-7C638969D690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43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1C170F-CC7C-44C1-8765-80D3FA12A4ED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43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C182CC-A43D-4135-845D-2EFCC4BDE557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43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CB1370-9B12-473F-A888-CD4CA628FD2B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43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E1F296-D131-46F9-8693-C1CA663705EE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43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ECDA46-10CE-4E97-9A98-863184167C7D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43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A0FF5B-FC87-4675-B7B2-3DCCFFA2FEBF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43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8CCAD1-67B1-49F6-B011-111ED41E2988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43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41B6C7-1D21-42FA-AC2D-A10D481502E2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43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5C30D6-D1F0-4593-BF2F-CA3F241190A2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43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418246-BDC1-49D3-BC52-B543A92A3F1F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43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7AEE94-4366-40C7-A9FA-B0AD0D595D70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43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EE2710-E85E-44E3-8B47-54D50491863D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43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5C3219-539F-4721-A5CE-8C6EF8EE586C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43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DBE309-45F2-4284-B5FA-B4FB0C4F5F24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43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072553-A68F-47F8-A5C6-E52AF44FB679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3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912867-356D-4870-8F9D-2E754A2D0EE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3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F8F454-29BD-45CC-A9FF-936A38D4C27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3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305345-660E-4E2B-91D9-10E5EDD1FC9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3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1D426B-9965-4EFA-B3FC-B9EB861D2B6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3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4EB1BD-3A36-4115-A09F-2E679DF2CA9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3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566AFF-5A40-4048-836A-4EB55D3C7ED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3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FCA1ED-4766-4FE4-AAB1-52E0E2BEE1F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3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28936E-1570-4B19-8024-894132D5CAF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714375" cy="304800"/>
    <xdr:sp macro="" textlink="">
      <xdr:nvSpPr>
        <xdr:cNvPr id="43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B87962-8D98-43D8-BFFE-91959216954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3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C30852-080B-4425-A496-C53A3825849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3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1C1D2D-ADAF-4A65-8D0F-8B2CADEF879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3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C62795-3F45-4888-81AA-86A9AB380A7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3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4595DD-B528-4184-8DA2-EDDE4EA3878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3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F068D2-0E27-4F19-9359-ED0032ED813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714375" cy="304800"/>
    <xdr:sp macro="" textlink="">
      <xdr:nvSpPr>
        <xdr:cNvPr id="43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24D7CB-3B67-4D6F-8C3B-B8661D8935B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3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FEAFA4-AB22-4A5B-ADB1-CD93941D1B7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3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2323C6-E5C6-4355-943D-9712C02D209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3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A34D73-BD23-4B60-ADB8-860C7BF617E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3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CD6934-8FBE-45AA-A19C-6C0D2930CE1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3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577B9D-F571-445A-AAA4-ECD1F09D9B4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3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8AD305-5041-42DE-A7E2-E14F82AE87F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3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87FFBA-0047-4617-B7C5-8858920E909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3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35E17E-6CE2-4A8E-BC08-284C7696C82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3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7DC124-04C1-4EAE-8E3B-F961A79E65D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3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DC539F-B766-4BD7-9B9C-D3D475DAC0C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714375" cy="304800"/>
    <xdr:sp macro="" textlink="">
      <xdr:nvSpPr>
        <xdr:cNvPr id="43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5A564C-FB94-4DEF-87F7-D8972EFC300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3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8B228B-9080-4D1A-9A1C-BCA0B90B8C6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3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420CDF-002E-48DC-8984-02D04484D35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0ECDF3-C553-4740-A5AE-A1F964E44FE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48C6AB-81E1-49F9-A1CA-EB798F48C54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12CA12-DED0-4611-B2C5-5D706397B55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CFB1F3-13C7-43EE-B9F8-11024B8A2C0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6E7BC8-D7BB-4EE1-A9E3-D66E776C147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345A74-21FA-4CC7-8771-E4103088BAE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C6C446-3BF9-4437-B6B8-D4C65CD3BD5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1C970C-ED12-4EB4-BFDF-0B418621FBE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D76C5E-AE21-4108-9038-6E9F676AB98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9372D5-972A-4B64-86D6-E227F28455F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D93B9D-474F-4A43-B02C-D88828D6F25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20C883-294B-4C5D-BAFA-58634970FA3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8332D0-20E1-405B-9A3E-D9D39B0F961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E6D82A-CC1B-4E47-A797-ABD126258A8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C3D7C4-69B6-4DD3-BBA0-B2436FFCB2A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7F7936-CDE9-4C60-B565-4224EF30DA3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714375" cy="304800"/>
    <xdr:sp macro="" textlink="">
      <xdr:nvSpPr>
        <xdr:cNvPr id="44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526EA7-5D79-492B-A9C8-50AC9C33B17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6518C7-E273-4F86-A7DF-1DC9EAA6441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97F289-B41B-4333-8E50-8350A4824AA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6BD557-E629-4D86-8721-8997E4C5D23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04EFE6-8C2F-4371-B94B-1319F1BC82A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0C81F8-6732-41AE-BC3D-8D994C3B10A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714375" cy="304800"/>
    <xdr:sp macro="" textlink="">
      <xdr:nvSpPr>
        <xdr:cNvPr id="44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41D0AE-91B7-4E63-BB62-219577F5895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BD58FF-BD26-40B3-9661-A548DCA2E92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8A73BC-F14A-4774-A2FC-0A6FE356808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2DE2F7-D01C-4861-A5B7-3A2F3055E74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8E56D5-1348-41B4-85E8-1254235B14B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402CFF-1900-4128-8CE6-11E9B3323E7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ABA4CA-D3A3-4566-8DA5-F2D2C155008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10484E-C89B-430C-9D67-6536DB95ED7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2C945C-B370-4071-B207-1647BB69DF6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85F246-8F08-4908-A9EB-40CBD23B1C9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B0E39B-975A-4E07-857A-C4A589EA736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714375" cy="304800"/>
    <xdr:sp macro="" textlink="">
      <xdr:nvSpPr>
        <xdr:cNvPr id="44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9DF204-E5B6-4D5E-AE09-68FECC9C67F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7913AA-1230-471E-ABFF-95569614164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1EBC84-34F7-4BC9-91CE-64FC5FE8AFB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7B715B-A875-44FF-9A02-BD81F1E6284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ADECBA-AE59-4E27-BDDD-23504BD8816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51976D-7244-4027-95D1-5C7B835FD6F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457C8D-4326-402F-B811-0EA3306AA91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30AB89-DD06-44F1-83D9-61C32307259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0065D0-04F0-48A3-B770-483BAB0A920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A8AA19-FB31-46FA-8F64-B7AA9DF6BEE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615A8C-62A1-4020-9B35-AA007F16C07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A6C44F-0836-43CC-BE73-4A4C51EB4B8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5AB494-260C-41C8-89E2-F941C7B77D0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F2D529-B34A-4DAB-8633-08B00C9FC28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B1D7D4-55F2-453A-897E-2AE8A6B2E15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6EF1A5-BA63-4684-929B-5A58FDF5423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74905D-665D-463B-A836-7026EE1F968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108E5B-200B-4F2C-816A-DDD377D5FB9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FF8F3F-53BD-42FF-9932-6013297629F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784EC8-C497-43BA-9882-5CD0271D81B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BDF33E-A557-4877-882C-26CBE610095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BBE2CE-F0D1-4FED-B962-A3A91C9454D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8D7F6A-0E83-4D9E-8FDE-312A710A6E7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C2E841-B96E-4AFC-8F68-17724A823DA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21080B-9C1E-4521-B1A6-2963C873D3A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BDA7A5-E250-47C9-AC84-5728A735213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A3D46C-828A-45F7-8DC3-E0434E6737C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A08B81-F69D-41E3-94FF-12AC5342F9F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418B80-13B8-44DB-B246-38F0B28D6FB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621C93-0952-4DDA-B96F-BD2D8416F08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E1D3B7-2901-475A-A200-1A18916982E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BD1991-5561-400C-8E14-F55C79F48CE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B4E58C-B96D-4417-9C7C-7E084E031C8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D01ED1-0A9D-40C3-A54F-9EFD0F89F7F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0B313A-7C18-4EDA-810E-72A6F17EEB1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B378A8-F509-4A1D-B3E8-F7E13A986E0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0A2AE6-EFF9-4323-A396-7A20290DADD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A5154A-2FE3-4A08-AC1B-47118C669EB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FD60D5-7116-4B32-AFD7-C11D049C42F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B4C2D5-06D2-4FC9-9220-129DFF99E62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F7E9B7-49A8-4387-85DB-FCE8B749FF0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F26E2E-EDBD-466C-8A4E-36F3D576E1B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996E2A-0B30-4C9C-AF6B-63B809BD280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CE2DCD-02F5-46CE-AAFB-322024F6F0A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708813-C9A8-402B-BAEB-569C66D97E7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C39FE8-094F-4EFE-8E78-05B5539E8D6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8537C3-1FA9-4BC1-9087-D4CC337EA94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8BD78F-98AE-4F2E-B937-A585082433F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42E8FB-FF83-4C7A-BB41-67905DE7F0B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4D5423-8140-4FF1-97C6-31CA7C3CC06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6B11ED-5FD5-4006-8CA5-96273EB8C64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FAFD82-79A2-4D45-A9ED-CE8C377EC23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50782A-5612-4B60-BCA7-BD8E02C3753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2F56A7-7B18-4074-BD41-A5A3B6C6862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1852C2-3B82-468E-8137-1186CE1B6A1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D27E1B-C5E1-4493-AABB-29ADBB2EDDA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15CA84-E822-4C59-A959-A82C28362A6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64C94F-9E99-494B-8969-6A09C859988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CDBBDE-7410-4F04-AE34-664C38EA2D8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612276-991D-4836-B985-FE556849BA0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F8B9A8-5659-445F-B7EB-E2860217D56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012B8E-529D-4431-9627-284C211DA6B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E31928-D3F0-4E72-9CDB-F0CBB5AE62F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3F8D0C-0C9B-450C-ADDE-CD75FE1857C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7C82DB-BAAA-416B-9A0E-98B014C4DE2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835990-FA51-4BA1-A124-13BCB80FFA1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4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B04F94-E229-4A83-BEE9-A583CF723C2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5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54F3C6-FEEA-4B00-B866-CF1B55467AE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5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31B66C-09F7-4174-82C8-62D8463A507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5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D0F0C4-0CFB-4F60-A870-BC898CD45B2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5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F92C91-F796-4B94-9657-7EFC41CD288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5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429B76-1423-4AC3-AD0C-1BE34ABF388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5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91A974-5DE7-415E-91FD-22D0EC26C01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5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79FA6B-71B0-4E83-BDDF-E7FB91D33A0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5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F95179-9D98-4886-8DE2-7BAEEE08F21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5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58B254-1DAB-4AF5-8073-FF6FF8F9AAC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5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68C57B-B978-494A-B917-D637586324F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5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08B92B-2569-4FEF-90FB-F9A0D92DEE0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5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8254B1-0765-404A-ABAD-782B0C0613F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5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E72EA6-BB4D-404F-BF67-B2A24A3E06B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5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B80133-BB8B-4746-B4AD-AC1143DAC60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5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787788-F1B9-4011-ACAB-39288D6D9E5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5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C0A885-815C-441F-A18D-DA54EBF9094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5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F83E75-CD12-4821-ACBD-A59780DDE50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5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DA0EAE-66DE-4643-BB34-98353821F37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5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B3EC0B-919B-4DB6-95C3-4ED02BE1AA4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5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269483-04BF-4DD2-A6EA-C08B435D180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5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563220-B59F-4E80-8D3A-5151AA16015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5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C96FCA-FA1D-40D8-8F9A-E0B893385A9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5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7DEE75-80EA-46B7-8517-62AD005347B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5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DDAF96-2225-4D63-B0DA-45C7AB8159A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5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5D8C53-D815-4F11-99D3-7BAA66D76B6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45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E77D4F-BAD5-412D-A36C-C12375251D1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714375" cy="304800"/>
    <xdr:sp macro="" textlink="">
      <xdr:nvSpPr>
        <xdr:cNvPr id="45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118F1D-C9CE-413E-A59A-564ED59B2AA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5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431C88-0376-41F8-AE25-403513B459C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5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81F018-C364-40B1-B05C-77D9E162E9E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5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F1532A-080F-4B22-8905-0EB1D1DA72E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5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46993A-C703-468A-85BA-1C657E48A24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5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768137-38A7-47AC-B89A-9016BD51E5A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714375" cy="304800"/>
    <xdr:sp macro="" textlink="">
      <xdr:nvSpPr>
        <xdr:cNvPr id="45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0DB7BC-5C06-4EC4-A66B-1CE42BEF1D4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5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2F0CCF-6722-496A-AFAB-C1B81A60BD9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5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8B9BE6-2E1C-47A0-AB13-C28D04E33CB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5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369EE5-B534-433B-88D6-CA72D8079B5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5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6048FF-414F-460E-AE42-F3ED627F3D9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5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B726FC-3629-4C54-864C-230ADFBD9CD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5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5A6B03-2857-4617-B9CA-6A9997CC36B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5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54014D-F820-4A59-820C-6647805D720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5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70AA3D-3A7C-4B93-9272-26AA56581E1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5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4DE258-53C1-4740-9B6C-E7616ED6319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5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1CDCD6-2A7A-4CF0-9450-326EAA1730B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5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95055B-C7CF-487D-883E-0911C2F9E3B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5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75A55F-777F-4730-A757-41C0EA5DA57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5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FEECD4-ED90-4F37-8E77-DAF7578B864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5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96CCAE-B309-4031-A80B-C1E96E79ACA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5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4B6119-1379-470D-8CE7-74926C77315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5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13835C-00FF-4F88-BA6F-CC82DE2508D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5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503D04-A37C-45A3-84C8-E93501DC2AC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5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1B7111-E453-4BF8-964C-483607FBF4F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5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28B232-FB83-4390-A0D0-BD9B0E3E64F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5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21F8B7-7D6D-4D6A-9ED6-2441872A13A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714375" cy="304800"/>
    <xdr:sp macro="" textlink="">
      <xdr:nvSpPr>
        <xdr:cNvPr id="45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C44AFE-7195-4E67-BC57-C584C805D67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5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10C96B-C09F-4DA2-91F6-38C55D75387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5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3EB45B-9D55-48E3-B62E-075AB83D65E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5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06EF1C-A9FF-4D16-969E-76210041724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5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458887-C06F-4FD3-8DEC-280EFDF391A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5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4CDBE6-63DB-4E18-86D1-F7F11377884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714375" cy="304800"/>
    <xdr:sp macro="" textlink="">
      <xdr:nvSpPr>
        <xdr:cNvPr id="45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4FE01F-E943-4E6A-9A07-4B0C59449AA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5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05F5FC-F795-4615-815F-6CDE21DE752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5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B7E050-C66F-43E0-9C36-2EF30A2547B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5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BB3D1D-1323-4223-8F9C-9C6E53FCE82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5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334DA2-F2AF-4394-9AAC-48E9C139029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5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B546A0-51B0-46D2-BF01-475DA826D17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5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ED3FEB-E3BE-4944-85EA-9CF24914319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5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69B3F7-2030-476E-9069-CA403F688DD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5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32AADF-C66F-4580-9A12-C9D20544A28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5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B19B47-F110-43CA-8A0B-C35CECDEA42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5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DA63E3-3595-474B-9376-36416558229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5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8D7DDD-7099-4564-ADED-AC639C84535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5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8BDB14-82D9-4628-BF35-085BD2F82AF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5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9C5B2B-A019-4C53-87FB-3CED4711742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5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DE4EB7-7421-4E58-8DC4-C37ECB76BA3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5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D30FDA-138A-42BF-ABA6-CAECAD58253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5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536B8C-B32E-406D-A12E-E1E56F067FE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5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2F1CBF-8F84-4BE0-8C55-5AB4A2E0F2E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5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5A68D4-5D0D-4CF1-A6AA-9781091A0D2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5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68EA65-AC56-494D-A4F0-4416E2CB734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45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F16E78-4EBB-4221-B959-816D388C95D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5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7662FA-0B66-467E-B3EC-48F3874F47F8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5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2A47FC-E2BF-4581-813E-DBDDABF12221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5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B1063B-ABAE-4C42-827A-C4E80822AAE3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5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50DE91-2FE6-482B-A504-2BF9EAE58859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5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8454CC-0E63-4100-ABCB-B20DFBDBAC8D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5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650F99-CF26-4037-82F5-7F9F70D6BCD9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5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86CAD7-DF13-4A9B-938A-A715C9C9A41C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5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CDA719-849C-4991-A064-222C7AF498D2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5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330C07-002F-40ED-B132-22123C89D4A2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5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70E3A9-B91C-4759-BD30-F61C85F133E4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5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0A0059-8D6F-4A52-A99E-54EC05292AD3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5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553EF5-31C2-40A4-92D4-83BB9E738510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5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FDDE9B-038B-464A-B5CD-C988C5896A7E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5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34813D-533E-4403-9EBB-4CBEE47953E7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5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935B3D-C910-42E4-8097-41EA27474C74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5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2115FA-6EF0-456E-950A-6EA2A65E58CD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5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2089B8-DA0A-42B0-A350-04F7839E2717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5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19FDF7-A976-43DA-B902-28C4A7E3AD0E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5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E54D35-C503-4B56-8C96-45B23C4AC518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5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76C572-1266-41D5-B9F9-4EBD5BA31290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8F3B8A-3E1D-44A5-8D81-02B2A8B50C5E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68437B-C2E7-4BE3-8DFC-E01B034BF86F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8945CD-C7E7-42F0-9154-FCED05FB905E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9A3A2F-BEC9-4A89-A79C-2123FC82A3F6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93FFFD-0757-4CDD-B057-5058528C3354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B10460-D8D9-4ED8-BFFD-ED8CF450101F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1F5B94-E3C8-4DA3-A897-3956F4BFA2E1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570F28-62F6-4D14-88C9-1205D0A0CA9E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CE4CDB-66AF-43B3-AB49-F903F1AE9F08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2025A8-3A75-4634-8006-DBDEB68330B8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515A75-85E9-4E82-96B4-01EF5C7854E2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3AEF4E-2C93-4D06-97EC-85791D84FB63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36F9C5-10BA-45F4-B9B9-9355890C9277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0AB44C-1654-4B58-9692-DA3CE66D01BD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588653-E299-4D1B-8823-89ACC75D53DD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DBE8F7-47B4-4E55-BC49-6226D3D490E5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86BB43-376E-41E5-A65E-4309201A312B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6F8A6E-2693-4206-8265-80F3832EFEF9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3F2F4E-795B-42DA-A830-E71C771B50EA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C0CF7A-7B31-419D-8FFE-BCF88B816D10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0506D4-A24A-4BC5-97B0-81372870322A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629ABE-83C1-4027-9518-AA2BBC10F314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E77FD9-88BC-425F-BD59-7A4AA3EAEEE9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081D53-8E8E-47F3-B49A-21AEEC28962B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AEC38B-5D6C-471B-BE0E-E4504ED4571F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A18584-301A-4579-A586-58D95C58A55F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E39AFC-D4FB-4152-BC7E-4CD86CD26D49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249787-0E84-46AB-9AB3-35EE39997DB0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C2BDE5-B71A-4C0C-92E7-D6630133BA39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CB44E4-8C20-4633-B4A9-8C991FE7265E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B06240-D5F8-4AFA-8215-1C4B55D0C150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8B1206-CEE7-41F0-B403-CD2137D79D4F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348501-1BC1-45C8-8FFF-4D8CB8B8EDD6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2AA218-27AA-40B3-A111-48CF31A93AFC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053DB6-EC3C-45D4-8F5C-A8B2835AAD1F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DCBA19-B669-4A45-B2EE-3D7C4EB9EDC6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F64F3E-5A32-4CE7-9B2A-C5B8BFF526B8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04B389-6096-459A-9164-16EC937600A2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690120-8916-4C13-AB61-731E46B59DD9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46CCAB-378F-47FE-AD29-3C200B0CE553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2BFF68-22EB-4A14-AA74-C1A490FCF268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7D44EC-2A66-4DE5-8D4A-AC2CB36DFA7A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3AF8A4-5899-437C-926C-C9431BF38593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917A67-E358-4698-849A-80AD14D1481C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A42C60-E35A-4B81-BD6A-9A16A7F6CB42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A3C4F4-1048-4290-B5CC-E530DAA220ED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7CE5C6-48A1-4035-AC7C-BCBD541D64C7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AABCB5-3249-48C1-B554-FC32289E55E6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78D10D-6B77-434F-A963-89C4A58C88E5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EE23B1-F1A6-43EE-ADEE-9DF45FF57ADB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3B2366-8B06-4A2C-BEE4-46F5EEEB9E3A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92A0FB-4175-4D93-A9AB-64E0A024B873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91FBBF-2462-4F8B-8EFB-E0F67F6F3FC1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AD2527-ACB8-4648-A227-953787335EAB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F61C45-4BD3-4BA2-8C7F-9857504B1514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919D9E-DED8-417F-8A52-6AADDC1D4420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1A9E99-F9DC-4CA3-9E77-5FE6049487AF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2CD3D2-E94B-4621-A6B1-9346CC4216C5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9C1211-8684-4E8D-AE37-DAC7D2FE4185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E20EA1-8123-4F5E-97D1-27F63B1F5F24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843A20-D3BB-4998-A830-4486A6709A3D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64C888-2B3A-4854-8815-CE02FD44A4AB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1A2EF0-368B-4224-8355-F8220C514D08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B88E9C-5003-4371-B013-381FFB7882D3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0E308D-588F-448C-A357-F96432048740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F7DA25-B77E-48A6-AE7F-40A253E6CB2B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1F68CA-C6F4-4185-8314-B8E19141199C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0F93EC-EAC7-4F90-8173-28F4A3D388C7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CCB828-3563-481D-B1B7-173FE78080DB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4AD7C7-69AA-49DF-988F-149A2C5ABED3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8EB68D-5A6D-4E97-91DC-D5EE11E4BE63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9CBA9D-C541-4C9E-8D14-335B39EF3157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755952-97C7-4D51-BC24-296C193C7279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D7D770-0A59-4FCF-8D48-BAD7F04EDC6A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C1C55B-7DAE-4EBF-8738-4E886A127DEB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2E0E53-01CB-4749-A6BC-07B6538B26DD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A26C21-A3D8-47CC-8EB5-EF5AA9E05899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1855CF-34E4-4566-8271-3A91E3429896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DD9E10-127D-4C62-A297-5B3F757090E6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D99C56-E801-41C3-B13B-5B5163563025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7479AD-EBF5-46A8-957B-F1110F5DEF26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0237E3-D356-449D-BCF0-65511E38F4F9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51F68A-5ABE-4073-B16A-11E97628502E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9C48FD-41A1-41BA-BC2E-5D97FB221ABE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6796E0-BBE1-4424-AD44-D51AB73506FA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08F83C-25FB-4405-8853-9050ED3ED2FF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62EF8C-E575-40AC-A936-F5FB6F5C90C4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2F9C43-691A-4033-93CD-28D026879D34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39B876-5993-432F-83BB-6539E7524225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A3C2A3-29EA-44F2-9EB7-478E25D0F74B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F6AB78-28A8-4AC2-8E51-BCCA52AF429D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56F92E-75F5-496F-80DB-98A1EC2E1AFE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A5B62A-E992-456E-BA0D-1188033E5712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1AC26B-0650-429A-9EBA-F28DB007D5E7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E411C8-F352-4B12-A92B-9390E8A2D324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0E2AD8-DE6C-47C8-AFA0-AEEDF7EFB32D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B8A6D5-5512-4D38-B158-C43460EA2834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7BD827-D68B-44C7-AF50-F93B0064087E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C7AC8B-C697-4D59-83F1-F09C83CAC362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6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2DDD79-BF4D-48CC-A155-BC73E5EA33E5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7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24FA85-34D0-420A-9537-8B2AC31CDE68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7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6C1368-A1F0-43A6-9D94-3A332CD61B63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7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B1D54B-3542-4241-A305-0B33164719D2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7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D0A7EA-3762-4ACA-B920-0609AD76B832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7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F25571-0FC6-4345-8626-0C36A9FE8C2B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7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55C788-98BC-42F9-B5C2-AF28D01C7705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7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0723C0-B0C3-4BD1-8C7C-88A4F78F0E7F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7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325564-7192-428F-8279-06A536DCE46C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7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F8AC2B-A014-480B-8611-FA993D953980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7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BD527D-54DC-4D60-AC89-1DD670263047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7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236F37-51F2-4FEF-AEE6-3C390310736B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7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159FFF-3B8F-4254-9506-92463BC6F096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7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C1C7EA-626C-43B7-9CE6-F8371F361C9C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7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8BEB75-6911-4B93-AECF-8186ED525060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7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F14713-58FD-4CCE-A6B6-0F63D5093BAB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7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0724F1-FDFB-42EF-A13E-E4263DCC693F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7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728E7A-0CE5-4B95-BA31-ACDC6EC32A81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7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4E9023-9195-40CC-B45B-ECBFFD0E1CE0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7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285F7C-8052-4079-8195-4C0E919D3CA8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7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F00587-CF2B-432B-893A-59110C196566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7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0220DD-3C53-4ACD-886A-E118F912DA48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7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90ADB5-1B42-415B-81E6-958ACE1D82BD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7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3AE63E-27A1-4B5C-BF75-1E9B276CC3ED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7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B34898-0A53-4493-A848-087F6F96D522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7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DCAA35-19B7-4638-A9A3-1AEA54C275E4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7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4FF857-4CE7-4042-B7F7-DD5D57ED1CAE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7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44B205-ACE2-48C4-966A-6EC27A3351C3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7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AF528A-7DB8-4EBA-A5D2-D8D737F3730B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47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1B8E65-A907-41F6-928E-20762D1F6319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47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66E0FE-53D5-4243-8D38-C149A1DD7ABD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47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26F589-9428-44F1-A7DD-6678FE7B8107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47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5DDD92-EFB7-4766-B475-D899145CF9CA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47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14DE8B-67A3-4462-8154-3B09C7B0DF4E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47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19F0D4-F939-4F86-A294-58F4319D763C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47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FD86C7-7956-4640-8272-80541E1CC25E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47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D90843-1672-42C3-91E7-9007F94999EF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47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11BC62-65FD-411B-821C-1CB373568E26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47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2D94A2-C14A-4D2E-A0EA-5D6477C4A448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47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99F791-EB34-4C5B-BC25-CEC35F8EBB84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47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B00335-0750-48FC-AE76-D991FE167DBA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47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E9F8FB-FCA8-484F-B133-56AD86FB76D1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47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405322-EABF-4AC4-9360-2AF9E994F555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47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E5AB25-7971-42C7-8244-C8718C7B1279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47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5E4EDF-3F92-421F-B70C-B07196779E1B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47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F89CF4-03E3-4AC6-A969-3BEC8219A8DE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47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3DE6A7-7E5E-45A4-8E79-C13A802D4193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47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BFC8CE-22F8-4877-A0D6-AFC58FA61CCF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47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4F251C-8CF6-422C-AF43-63B5E99B5266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47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7FACD3-F34C-4581-9A62-1DB5B68888C7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47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85897F-26D4-4360-BF3B-22BEB8C51FC1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47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D3C3F0-C4FC-4CB6-AFC8-5D0A07AEE133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47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D9E6E3-A4C5-4C33-BD1C-28E64D44BA1A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47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F387C0-A904-4B26-8334-68E83043874D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47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8DE22A-C983-4345-9BEA-4F846464B6EB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47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C211A8-04C5-4B23-89EE-705B7E00997B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47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6D512A-119B-4386-A6D8-62CE7F976354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47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800A62-E55C-472F-9A88-8C1563183777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47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F3355D-CC0A-453B-BD44-D7B0D9D87E24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47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954CCB-E677-4CBD-999B-896FE620B28C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47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4E557B-0824-437A-8750-39926C53E636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47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1C2430-72A4-4672-AD62-9A145A72CC24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47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DB9F12-C42C-4ABA-8AFE-F8B5F8473199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47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78A5E2-5BEF-46B6-AC8B-5E0C9923966E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47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0AEB20-FA10-487F-A512-5FA10717C693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47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54F3AD-6574-4D91-9E7B-2445D4883643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47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45F574-8748-4F06-994B-71AEFC2022D7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47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829D2B-C9F9-481E-913D-8492EB3D2F9A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47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4240A7-FF57-4084-8A7E-375388A370A8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47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EA94A0-6AE8-47BD-B565-350EFF3DB831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47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878734-6595-4DBD-B8E8-B368340494FE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47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1F0B6A-18F8-43DE-97A6-0B8FA680CC3B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47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C829F8-26DC-4F3A-8F68-CAD0F543FB3C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47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2B35B0-6AD4-411B-8799-E3C0E2CE4388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47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C7EB28-DBEC-4B6B-A898-23AC4AB1B0F7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47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9AC08D-0A20-4CEC-B59B-19150C4834F4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47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B4EE4A-7078-48F9-9052-F4E00FAF2417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47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556C35-0BAC-4347-981E-65A68DBEC28B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47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CE4826-BE7C-4C7C-A955-481A4AB3ED2C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47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D99456-448C-4308-8C3C-2CCDDB6CEB95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7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D9DAFB-E698-428F-B6A6-79E627383429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7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87FB34-0576-47AC-8CC0-E16D763F9C1D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7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029BFC-EDD9-44E9-94FC-E541355D92D9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7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66A87C-17B2-461F-8C36-2C465833E93D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7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F10F23-C4FC-4E29-ADF8-BF7CA91F2CB0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7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633DD5-AD40-4FC3-98E9-7AC0D1352753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7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6A8800-DA3A-4D61-8AC9-0C7D3D3506BC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7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CEC31C-7F38-4A7A-A5F3-72D455567FDC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7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38DB69-9318-441C-9C85-5DD17965C021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7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E16070-E8C6-4536-855F-4BC9ED59038B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7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EC9B79-8541-4BA2-B4A9-FD2ABA75E2E5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7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6F3666-7DB3-4B32-8794-A1FBBD30EFF6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7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FB9835-E3E2-46D3-854F-FAE898B8FAEA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7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1EDB0D-03EA-4B82-B392-07C4D2E35AF7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7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230FC3-13C2-477E-893E-8905F1506E44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7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763F92-29AF-4379-9EAF-D3BF1ABDDFDB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7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F72BC2-7DF2-4EAE-8243-80358F4A355F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7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068232-5750-4FF8-9082-D004FB9E0DEF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7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8762A0-45C0-4EC1-8BB4-FFEDE86DC526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7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FAB548-C2C7-420B-98DD-26CBC7340B36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7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9DE3A7-8D3C-4E76-AD00-372FC788192E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29C436-1C68-4D3E-B6A6-9F8FBBA2861B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7D97F6-51AB-4D48-A82B-F52AFFB2F5D4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83682F-A7F9-4555-923D-8FBA4FCF853B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A10D59-31EF-40EA-816E-6629CDC41017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45102D-7481-4E8C-A921-C78837BBD327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4D8F02-D864-4F63-9A00-753D2F48A737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EEB6C3-D8A6-4B81-9709-F8D031CA17F2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7FD04B-EF68-4F2F-A630-3F6CD0D45E16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BD6585-F679-4333-A8D2-67FD4397C192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B335FC-C401-44EF-A040-75DA1E229F0E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6DA208-AABC-41DF-9FFE-5A0202CBA00E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88A116-2681-454D-A919-8C5EA0B23CF1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1D68B6-7149-491C-BC3E-05F84CFDD749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ECB460-3286-444B-AEB0-B3306DA84403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AABB50-C8E9-43C4-8F3B-7FA89FE965AF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E479EE-94A6-41B6-A965-954595CE3802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E4C124-8AD1-4BB4-96D3-E37F95C18130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9DC688-0FB2-4B82-819D-C848ED9F96C2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0D399E-193D-44C7-872B-A46536395EBA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1CD8DA-0A51-4A3C-8D1D-C1DD34B87483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64F1F2-62F7-46CE-9C5B-126D55386F9B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3888DA-728F-47BC-BBAD-18CE27250ED3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564580-4502-4681-9A9A-D34EE8FA6725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4AE6B1-C9BA-4D62-8ED2-08A775FC6567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647DDD-2786-490C-84C5-C384BD8E4BD4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CB164E-BE51-44C1-A9F6-4D8503693EEF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02F2AE-A712-4837-B2C8-54B8248518A4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301A18-93AF-4D88-A277-E1BCC49108F9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FF391F-5108-4F97-A464-9C6FA58731CA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9251A8-764B-406C-ABDF-AE51C18F7D0F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6EDEEF-2AA9-4798-B190-98358BFB67A9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1623E4-AADB-4364-93CA-5162F2510121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777B8E-99A0-4177-A4CF-1369D1918CFF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AA15DB-9D49-4B52-87CD-2C7420506A08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ADE294-423C-4EFE-BD74-E6021DB097D5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2B2061-CE90-4713-9D04-FC3D57FB2D3E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58C3F6-816A-43D5-B64A-A18217D01346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4D74D1-A8A6-4B33-BB6A-7AAD58F4EEF4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6920C8-B2B5-4A15-AFDD-2D0C25E6A467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544971-F350-4D36-BB09-2D0A007F4407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131513-9BAE-434D-8443-0B06F649EC3F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0D979B-78FE-4BC5-932E-B4FCD8B2D80E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C55C26-6450-4D35-A94E-65B1A10F8F13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1508C8-BBA5-4E50-BACA-E91CF7501DE7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AD339F-7BBA-4CC3-975F-F8AC5EB1A5C0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3F5810-EC7C-41FA-8E08-7A65F468E075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011647-1B5C-4BC8-B2BA-C2CD4F387607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63D7DC-737E-46D3-BC8D-CDD696AC77C6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7D1211-B2F8-46B2-AE47-C5D0A7E0AF8D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4849DD-3969-4AD2-9269-FA98A2462965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52DF96-A693-4108-9D55-85C1B4726C18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981BA3-E639-473A-A4A0-112452423C88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50A47A-70B8-43CF-B471-1F6EDDB47BE1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70C166-A978-4A7E-9647-F6BC8F385147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0FE56B-1552-4F08-89C6-8FF595E64988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2D2143-4831-40CB-8383-F09731DB8D8D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06F970-1155-4731-B4C6-D5AAEEAA86F6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EA421B-F3EE-4FDC-9AEC-A32D8EBAFD08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0FD3D0-40BB-4475-ABDB-DB4A857E7341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3E85C6-5377-4B10-BD03-B22CB248F240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96CE4E-0FC3-40C0-8F86-D6952AF623A2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6721CC-2B93-44E0-B0C2-ABD409A06466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7C17E6-3E3D-4DBA-9B1A-961E0A1D82ED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E879D4-4FE0-4E56-9092-7F1F783E3EEC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B20D0B-2B15-4E17-A7CC-0EA85CB0C970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D2725A-FEA1-4708-8637-61D106362713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16533C-1FA3-40FA-A636-CB2B85470926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B49903-6DA8-48B1-AF34-BB6F3AB69B78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F1292E-8FF6-4B25-B79A-A40BDE090B01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D9D0B7-AB26-4597-BE33-C2DB63D325F4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4FB564-97C0-4E42-B454-D761CE957D6F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AAD77B-5B70-4CA1-8066-DCE990D5562A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CEF0AC-D2DF-48A7-9C99-AFEC87581E9A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F2DDAE-A4CA-4CD3-A868-03651B95EBFA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45FEB6-46C1-4253-A464-538A924E6D27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C617C2-589E-4C57-A01A-F486F0C9B76E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CD4BFC-69AE-41BB-9AD2-FA0B2EEBA610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7E4848-16C7-44BA-8A1D-67520E025FC2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66231E-2C06-4D73-9F98-5984E1D70156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348133-AF9A-4931-9AE0-A09281D1012A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6F2487-FC96-49EF-9BF4-E7C3AFBB2DE7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C048B5-8BD2-445F-B4BA-EEC21585A60E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A7F1EA-B540-4489-BD9B-DE8A707146B4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9F52EB-0084-47DC-B079-C9FD723D7A74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DE9538-6582-4D20-A025-33EF987E70EC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B75AEC-C868-403A-A66C-7719C95443B7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FA202D-19AD-4125-B0AB-A96876AEF4A6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33A312-4571-4F3A-92C3-62BDF22BD6DD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7DD566-9516-4763-B476-6DB1C56D89AD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ABFD38-36C1-4360-8B78-A249BA9BE60A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7CB7AA-FD7F-4BA7-A2FD-6C47E17E928C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C28ADF-C5A2-4C34-A2E4-3C87A4627173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1090E1-AD71-445C-AAE7-F6A064750D24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AEC2E3-EB59-4D69-8AF0-AF47237F556A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D37519-1CFB-41AE-A5AC-BBCE69389CF8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EE8E72-B179-45A7-BB87-44595FE08628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3769FB-B000-4632-BA92-3813140A03A0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FDD8AD-49DF-427C-A9F7-B1D2EB994C0F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888D5F-C67C-4ACC-AEB4-4EF61D340976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8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F0055C-3179-4931-B537-76F16CF56DBB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9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445F09-7B13-4871-A05F-3CFF02215BB7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9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72CA3D-B6B6-479B-9299-EBE06D09A0FC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9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3584BA-82CE-4F21-AC45-5BF234B51B54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9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04296C-24E8-4147-A8BA-7E9185C7DFCB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9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9C813C-1751-444C-80CB-C0E67F370269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9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BD2767-C60D-4645-B66D-4B23671F6FBC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9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CE5013-CD3C-4EA9-874D-84ED342D7CF9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9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55FDDA-2193-42D2-A376-C3F392EB5953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9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798D81-0A43-4A27-8344-32664935F009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9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600954-C930-41FC-A656-B25BF0B7D531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9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6FD66F-DE32-42FB-A834-571563B62126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9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662E15-5CA9-4A86-9EA8-561B04FA5D39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9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F57B3D-17B3-481E-B9DE-0F084EAA64F9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9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433B16-099D-4871-9150-3A8FDCE36B31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9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65026C-A1BA-4410-AC5F-53B389DC7AE9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9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5C2157-93DE-4096-92A2-294BA3390D8E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9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67ED88-7FE7-467D-A4A9-E00F1E9792C2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9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6FB42E-69C4-4E00-9969-428A5D4407ED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9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DDE587-2CE3-4A96-B21A-747E2FD9F63D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9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A263C3-E042-46ED-876A-F09294ED1CCB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9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CC9C23-A970-4BC4-96E6-EE18902AFF98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9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DF17DC-3A7A-4CA0-B764-469067628CBB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9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4C1EC7-468C-4129-AAC2-D047859CD36F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9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C6A15C-CA1F-45AC-9817-7839EAC3BF84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9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085D09-AA8C-4173-B645-ECB84758FEE7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9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310772-EA27-434F-9E2A-639900A0EC20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9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76709C-B0BC-4B1C-84E5-4EA39592E352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49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AAA22D-DDB9-4A10-8F17-330745369E7F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49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334C45-D9EB-4F08-A700-5D66F0CE0315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49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F45499-C24C-4B7D-B383-1ED050905F52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49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7543FB-496D-4035-B2C1-52DC1C9F480C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49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32C491-DEC8-4533-940E-56B3954EF61E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49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5D75CA-72C8-44A2-B834-B5265AFCA3C1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49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03825D-7072-434E-849C-4DCBC8D17E11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49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10D36F-53ED-462C-875D-3F53D3CA3E42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49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731C3D-0FEE-433B-AEA5-485610A3783A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49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C5E834-B366-47EA-A1DD-2398207968BB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49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9EB1BD-13DB-4EE0-BE97-BF0130FFFDFE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49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B1E6C7-D673-4C8D-B5EF-5CD31313F1BF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49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55805B-D379-4295-8998-765164D7F76B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49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223BB1-840E-4E47-980A-6C937693F794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49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381199-954A-4FA3-8AE9-5C347F2A8BAC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49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54736F-7A9B-4F51-AE47-6D477A71F851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49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B1216C-7E38-4430-89C2-1E0A424531B0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49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948186-CE50-4AFB-87A0-DBE9F4BCF29E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49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0697CC-FBA6-4502-82F7-08C34C524140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49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21A8D9-7EC2-4E23-8DD1-E3AAFCCEBFC4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49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2036A1-500D-4167-BB44-7656ADA2FFCC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49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D7597A-27A7-44BF-A2A0-1129E5EA7AD1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49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9604B7-2A25-4C5B-9A80-A08AEBA87E4E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49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EE0B22-F2EC-4794-AC67-91AEF8C3B45B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49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69A583-79D0-4A81-9C09-EF17B4B51253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49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C8C327-4C09-4B04-BAA5-374EC196B842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49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A8A656-BA85-46CA-9B96-29464E347E84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49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D6E52E-F654-4F16-A3DE-D44840E8B6F6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49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5D3415-1835-45CF-B786-E88982361836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49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01BBE9-6B95-43E4-8325-CF438ECA20AF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49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72978C-D171-4851-8199-BDE8E53E164F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49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72E608-1B29-4634-8B5B-E1C9F4EA9483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49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6224A2-8359-403E-BD68-53CB25FD47A3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49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8F2874-C381-4650-8FB0-89DB7E9D9FF0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49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E48243-33DB-45EC-9202-13C4191158AC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49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9B4437-57C2-4DC4-92B0-56D957A1B424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49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9E583E-2D63-4849-BA81-9D9DC1E761C1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49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5DE574-AFDC-4C8E-AFEF-9402A23F310F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49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FD368F-FB5E-4BE9-AC04-4D07C1D9EC82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49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812009-5254-4A56-A0FA-502E0CC34E2E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49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C1DE8F-DF39-45CC-B585-315352FC030E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49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F47F9B-ACF6-4989-BDA9-58F67A0EA9C9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49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8BDDAD-8BF9-48AF-A0DD-DF2A5A1AE015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49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E48E2A-62DD-4A5C-85AF-31D54DDD8066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49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A5D695-9004-4D31-BFB1-2EE5F392241B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49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87E26A-ABCE-440B-90EB-2753F64D2A18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49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52B220-F6CD-486F-808E-4073B84C6F97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49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310F6E-187A-416E-8B5A-CD9AE5214704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49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033AA9-50A0-4BA1-9246-E54F98AC67AC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49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B55CFB-6D5F-485F-B562-03F60343E5B7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49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BC58BD-0927-4425-B0CB-AB65FA410E6D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49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F3480A-8155-4167-A964-47474E0F2C2D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49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14F8D8-F653-473A-9F6E-84FF86E9BB4A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49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B409A7-9699-4064-85F2-F54841079496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49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F73293-0797-40FC-8507-93B8BCDCF25E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49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CD6BD8-78B3-4D87-B8A2-903045395799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49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5E66D6-B5E5-4528-AC0B-0ED0FE7FB8A9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49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6018AE-35BC-4C33-9971-5F72D5B955EC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49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89564F-6B4E-4050-8D58-D39CC9B572DE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49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E106FC-5324-42A2-BDA6-70F1FB765745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49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C882B1-E76E-40D8-A6A9-4030427FECB0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49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AC0D24-0833-4E6A-BA50-DAE76AD2E6F5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49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5364C4-1350-4DF6-B030-EB5D8F7031C1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49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0F87AE-0447-4E4E-9CE3-DD9C7D25032E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49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A2B37A-DA32-4E46-B0CA-3305254DC333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49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5BE9BD-9189-46B3-A1CB-C6DCD3051097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49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2F5C70-5ABA-448F-B48B-58AD94A9F7DB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49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1A55FD-B3FF-4055-A02F-4989D8DAC721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49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B8AAF3-25FC-4887-985C-ED52F3163E49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49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F30BE8-3775-4C22-891E-00936169EB2F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49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1BFD4B-1D91-465E-BBDB-A1A188694C10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49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418328-C24B-4F27-A7DC-A0B8174EB1DD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49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F46907-D252-4F34-8AA5-637917141F9F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608381-CC18-483E-A708-B5F941FE7DB3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5FEE54-81FA-4BC9-99E4-2A0439B07073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E16F0A-5386-4F6D-812F-FAB3D6180CEB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F97B3F-7887-4074-9A9B-7B6FE4AA0103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9003EC-E279-43C9-9B9D-709AC64336B4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D4D19C-17AE-4589-AD33-1436ADA8AFB3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3F0AE9-AEFA-498D-849A-DB743AA26160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ED0654-A1B0-4503-83CE-BF6B5172FE0F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D54224-9756-4F73-BFD4-FB6FE6D43A58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BF4A14-76C0-42B4-86A7-4BA5865FEBFB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ACAEF6-6968-444F-89E5-A329CA72B4BF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49057B-6478-49C5-A9CE-221F43C89B41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5B3DB9-A178-4BF1-ABB0-E9F4D9441FB9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7BDA5A-4155-4644-B0BD-E253FC5D5AA3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229FCD-5C38-4C41-9224-8185328EB495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282B3F-FCD5-4569-A9AC-42026431B71B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501B4C-00EF-40D3-A5C6-BB504498B164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4C0642-8A42-494D-9B75-22913574AAD9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A18C70-9FF7-4662-8D20-F4373C5006D5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C5C44D-5844-40AA-B84A-191F5CA44AE5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8CD545-2F45-4E8E-93BB-1352D8902ADE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7FD1C9-B252-49E4-89AC-370710D737FF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CD31D4-889C-4BA1-B1CE-EB7C17B5F039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EFF820-AF25-41B9-8312-560D46178537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936452-25E9-4ACB-A4D8-38EE6820B687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17144E-6785-40CC-974F-C75A80AF134E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6A6FB1-BE09-4168-A5B6-F5B839E50A18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A959A2-AAB3-4CF3-91CA-8EC08F50D52C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1EA103-4FE0-4FB3-9D28-E33C05AE2AC2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EB65EC-12DF-4BB5-83F0-B1AD848947FB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97C3E5-5FAF-4439-B077-4E5341E5457C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7A16E4-C5DE-4981-9AD6-8C6970B29F3D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71CCB0-2F80-421C-BEAA-63AB31894ECF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CAFD28-ABF7-4DA4-ADB8-48C9FD4108F5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2B6AF0-FC58-43AB-9D81-B8B6600B4767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61B25D-5C6D-4255-AD06-BA4E034483B8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4D3EFB-D90A-4D3D-8379-F2671F0CAA5D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5CC6B2-4ECA-4BAD-B678-9A948AE102BC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3FA32A-1DD7-495A-B29A-EDC4BABC9D18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D656DC-F859-4CC2-AFB1-EF0EBBA62E02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359FDB-D569-47C5-8103-91159ED429DD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B9FA00-F1DD-4176-8AE9-4C7162AC65AE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7D15A3-670B-4773-9A50-5EAE90E23FF8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AA985F-095C-4E54-BFB7-E278CB91A878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CB2DA1-AF62-4914-8A67-6C37E8C8D208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52FC2F-2771-4C5F-AD3B-EF4609202ECC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72B933-CE1C-4EAE-92DE-EA2FF373D9A8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15FCB9-5136-4BC5-A601-1BAD425AD9EC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6C2898-43ED-4E55-8FB9-5D9196B00B68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4AF8BC-F74B-4874-987F-A472D538D50D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B80D2A-81AD-4F43-9070-49F2090DB505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80EA19-64DF-4018-B7E8-6AB05D24725C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2B4D73-5D9A-4D03-AE34-CE1867598FE8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EB975A-67C1-4EDD-B3D7-759B6EC7C406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3CFB54-3319-4DBF-9426-B3E4669DA84F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8A3E6B-5FFF-4253-90F7-1D552A5F1DF6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EEAEFD-CBAA-450E-A53B-DEF0E2004A47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3EB82B-98F2-4C1C-8F44-84FFEA817411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D5E3B5-4EFC-40D5-B551-78C4E17D3F26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DF97F5-CD31-4BBD-9EDB-3809F0941E04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0B40D7-355B-4F17-8B76-49B36594E8FA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E80F70-E553-4B5A-987B-BA00CFFEE61A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5D7CDB-9F78-4213-B8CE-11429972A9DD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747134-886F-496D-B407-7E39FA73091A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9065D6-3A28-40B4-BA05-538AE3FF2419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56C1FC-FDCE-4215-8305-A86EA4F55B8C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4E8DF0-63A3-4980-B3D5-3B6DC0BDC062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5DA13D-5CE6-4A0C-9A79-DD299F37170A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27F14C-7E77-4218-AC2A-E7CD541D9C57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204D96-5550-48E4-9619-9EEE164A7339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4BD935-8902-427E-92C7-833F0E814C0C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4FA3E4-BD0C-4C56-9E51-12C10966CD06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A86529-ADAE-42B6-B7C5-97C0D488685F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3A71C8-00A0-4DF9-9A5E-B3A32FBEB2BD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36D6FC-3002-4447-8F6E-B3F0FF3E21E7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CC6F15-4621-45CE-A2A1-7895924C1CA0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BBA881-7930-4898-B558-603228DCE338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C07E56-6ABE-4453-A4EB-1B1E125F9ED3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144232-5E2D-417E-8C48-8A7E13711E07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7973BD-A7E4-4F95-92DE-2B2F007B4836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BF6ED3-728C-432E-B794-9517E20DEAB3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03D29B-AAFD-4CC2-9DD6-8B83547DDDF8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F7ADA3-00F3-4BD9-A9A7-E14B1270A4B1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C24163-CD4B-4479-9D09-5BA00F01B5D7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7C9F5D-1AF9-4526-859E-998AD5373025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4AAFC9-8642-41DE-A90F-BDE4BA5649A9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B5935B-5252-45A1-98FB-AD2B7D88BC95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878B13-93B7-450E-A128-B194E37788AB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A77216-8E28-42B0-A59A-F3CCE9B70B8D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A2B581-6319-4426-AB59-EF34D3E08B2B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8818DE-109D-4B30-A946-1FFC632B8E4E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3903BF-C772-49EA-B4D8-33B99A858553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CF84A3-E3BF-443D-A049-55CBD269AF91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44E310-1589-464F-BE29-9AEEBE5DEF7E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456D52-FA30-477C-858F-1D6B0679E80E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CB7461-55E9-45E3-9600-8FC2813EBB08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DA3B2A-BE19-490D-A067-B4A7CD88E94F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5735A2-E2F6-4455-8E0A-9A76121391C3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A07DEC-4B99-457C-9550-357EF480DFA4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0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BA5415-FF5C-41A6-A19F-E68E7D5D3A30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1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B11874-AF3B-4075-9C11-ED03F787134C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1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FC67C0-D559-4590-8C7E-F4083E057940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1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F14D9F-66AF-4793-AB9B-8704D8361EE4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1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C50600-C0DE-4BB7-9D5E-58892A93C04D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1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501687-8F34-4EB1-A2CE-E8A1B5BC45DD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1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4D735B-9A31-47A5-BC6F-773E263806F4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1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578FA6-8335-4150-ABA8-CF3B4FE510B1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1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E2A371-7570-4ADB-812F-7C0DCE3877ED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1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15FB67-9E4B-4BDA-A11A-F10003018892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1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7F2164-FF2E-4B8D-B8AD-B2195D19DC97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1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640BCA-4DD6-4063-9E19-010CF1E8BCD2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1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1B4987-4463-4AEB-B574-BA80A97DB015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1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844476-D28A-4921-9ACA-F30EF2594C3A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1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E068F2-8E52-44DA-8292-BF2511448D67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1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948E62-4DC5-417B-BF75-267276859480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1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93D467-519F-45FE-AD1F-E6CA0A7A7FB6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1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3C4862-0B2D-417F-A2D0-1F08EF35A9B8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1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DD952F-9DA2-4764-A512-AFBC4A028D32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1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115BC8-C9D6-4954-9DB2-D8E1D72125C2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1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F44710-5E15-463F-A171-2C033B43BA57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1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431F62-30E6-469D-B028-525FA3B46A0F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1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C07C43-8109-4BA7-AB76-D3D53E141223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1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91765C-0E96-4446-82E9-1AF78B2406E7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1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45510D-AA3F-46CE-9789-870288A34819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1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0E9051-F231-45D8-B73C-A37DA4DE7F9E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1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5272DA-DD90-44A2-92E0-7FFB1E6BF14C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51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884901-47C0-4B50-B352-40A03D038A46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51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F5A670-A66B-457B-9820-788749528A26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51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09EC71-C03E-4C21-9AC8-9F22B0680B9D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51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DB93C7-1536-45C3-BC43-3AD4516CF88F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51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C4F914-9518-4F5E-890B-D150B09A145D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51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FD48F2-0BEE-4661-A76F-1976C099C298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51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6FC63D-83E4-443E-AD0D-91ABA427E91B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51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308BC6-D732-4B7D-92F8-58F5130B564E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51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A19846-ACEB-4237-B08E-18ADBDAE0676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51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6FB78C-7E4E-4684-9825-7BDE8ACB7D13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51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0FC49C-0528-48E3-971C-A441F66C6056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51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1A169B-41FD-4D26-8B8B-F2AC1C8FB155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51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302CE1-5CC3-46CB-8747-37C2866AA195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51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CBE919-2C75-40A0-9C84-D0515D76BE80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51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CDFCE2-01B9-4DEF-9F8C-A1EDCD310619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51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2ABBB9-2E56-431B-9296-728EF4D45777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51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F07735-7A3A-4D34-A171-0F32FDC01D52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51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AD47DD-EB16-458A-862A-70751BEABE1D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51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2B7B9C-DBA3-4DAD-91BA-13C953E98E70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51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97F7E3-50CB-4CD4-A803-FD90693D6FC4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51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9D3E7A-3F80-4D79-8F95-7F1AE8D2C7D5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51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C963DD-A1DD-416E-8F83-C3986CDEBB74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51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3B59BB-1267-40A6-B3AD-4C23245F670F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51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DD7482-C1E2-453D-9C4A-622B28D70773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51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EDD1E8-C475-4762-95D0-B4527635A18B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51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86F2B8-D12E-42DC-87E9-88808AD50B7F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51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6341BE-DF00-4B38-88C4-0698A13363CF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51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ECDC1B-331D-4527-BB51-6EF12D7F010B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51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0596F4-36FB-4337-B006-FD746EF70D16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51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ECA45B-3607-48B3-80C7-84490DB1FAD8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51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9556C6-EFA7-4A5A-A060-C63EBAED71E1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51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3F471B-9197-4865-B76B-5760C0823FA2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51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D776AA-F0EE-4948-820C-3CA2DB21FDFC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51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D41156-72CA-478B-81C3-C342883AAD32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51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2C1066-7C08-4AF9-A036-A1342AF18445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51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EB3AC8-8F1C-4AD8-B40A-98F3453CDCD5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51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4EFAC2-884D-42FF-9D19-ABF3B3DDCF1C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51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C05DE9-3B8A-4B9B-88F5-76097D61BCD4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51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ADB6B5-9862-4439-BC82-94141F1A33CC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51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01D3F2-01BD-4842-9861-35163B08A850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51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D721F3-277A-46F4-8AD9-0DAF61E5310C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51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C34E8B-F36B-4238-B210-5BED759853AA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51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C27965-F8CC-45BE-8C78-95A2801C95B9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51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4081B0-5442-4662-BC78-4C7FF644E9F5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51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A9423C-BDC7-4AF7-AAE3-D162B1CBC46E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51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52E5F7-4B65-4268-993F-D3650A0FF5C7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51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40FABC-1CDC-4597-92A9-15E99D87F03D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51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22605A-F4A1-4513-ABD4-94A378D96574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51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2FBB49-AC71-4E34-9801-0E911C002C39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51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EFAB91-0EE0-430C-A4B8-28D57F941185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51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BA9452-8C9B-40E1-999C-AFC537992294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1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38B811-3497-4150-9E70-9407FEA7EE6F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1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0383FB-BB05-4E00-BFE7-C096C0A85DBA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1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AC71FF-B85A-44F7-86CA-5CBE50EEDEDF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1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96DAA0-9B70-4852-98D7-F7FAF17E7006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1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E1F70A-26F0-47CF-AB0C-2E34057398BA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1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AD5411-8848-4DF7-B990-8259D0755676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1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BBD936-224C-48E7-B218-F7905278716B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1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08BFFC-96BB-49E1-9E4C-C854D236DC0B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1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0A5A66-CB7D-4F40-BA71-7D1A21974CAC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1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6770EB-398F-479B-8C96-8C3B6AE89410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1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643830-99D4-4752-87DF-415B34D197B3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1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7E320F-52D6-4A91-BAD7-666073CE5605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1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F44928-4B12-4AA8-9E71-83A0A2689CE0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1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58BBA0-C53D-4B13-91CB-9DCC3B22AE43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1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E8799B-5AB6-4AF6-85F8-DABB5E1CB72F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1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6C1530-3F23-413C-9367-0A2D5331C12C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1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9A14CD-63AC-42C6-8114-383453D7296F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1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FA5EE8-0F79-4455-91AC-158D94B7A328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1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682068-9C41-42E0-A421-4A179D716431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1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848C50-E143-4C65-9299-477CD5A1EFE2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1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6C671B-A913-4FEB-BA5C-5864BF626295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1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715BDC-907F-4B14-87C6-6CDB678A8803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1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716C9E-6294-4D80-9653-8D79282E7142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70070A-1AD8-4269-B75C-D40C23D2BF37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618B99-39BF-4F76-9CE9-93AE35B0CB93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FC49DB-8509-4A0B-8D12-6264272BA1F7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DEB2B0-59B5-456B-9F8A-784F8E4698C6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CA1051-9450-4B40-845D-BE1FDAEDDA20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D04286-8BC8-4044-9483-5F74EB0FDC4D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F37E13-6E43-4695-A5C4-198078EDC613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463282-4114-48FF-98F7-111EFFC40E94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6BE3CE-B6B2-49E2-804D-B1CD86682ECC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B75FE0-A91E-4539-916C-759BEE642581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3666FD-46EC-450D-A3A5-D68E81653217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2AD355-DBD4-455C-9C2A-21CF33CC5FD7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71CB8F-72EB-4F9F-A753-4A82ABF95BD7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34CC0D-970D-42F4-8425-BAD45F4E59F0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0B5B1B-94A4-4B07-A354-50F773FB3204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47F8F1-70A6-4FD2-B94A-5A1244DD8CE0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48FF69-A5CB-4573-A3DD-D94763C8CADA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3E7692-8CD7-4BAE-AA02-DD73FAE0B247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B33758-4BBB-4987-AF00-21636A6F5AFB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55BE0B-9172-4A76-9014-1E2167630465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1C31EF-5E16-4B9B-B839-D598650C7912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A0EE6E-CEC5-433A-A921-364D1D569E3F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AC0065-C5AC-4AB7-8D08-5B7E9D3383CB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4D1C4C-08CA-42DD-BC02-641BF282A527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79892D-7742-4D10-8A06-14479A131C18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2E46E2-21BE-40FD-9A8A-07C4F124A35A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9CAE67-CEE1-4FC1-86D3-9B290E7EA336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47B3E8-81CC-49AC-982E-B5422EBECCE1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B24EC2-EAFB-4EEB-9F9D-4973ABF6E074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C78AA9-BBE8-4364-8F3C-6B46A5310BC5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7093B8-1358-403C-87DF-4056573250D3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BD42C2-4FC9-4CEE-BD93-5171548987DB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21AEEB-4AFA-473C-ADC6-E90C0D8D2007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9E8F77-591D-41F6-8352-7717E9DCAC99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4C358C-A516-4131-B7C1-6CE51971D286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A07FBA-8110-4F3C-A2A1-1D5A60CBFAEE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8BCF8A-141F-4BD8-9068-4DBF4F0F60FF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EA99F3-EBD9-4ACF-9EF6-3555A77A085C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92D975-5C9D-44A5-9F9A-B99401AF7213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DED0A6-DCEF-4FB2-B215-5278CB02B737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7F1BAE-8C15-4DDD-90F5-A28697E5902C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4597C5-0EB1-487C-9A84-65740A82DA7A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5B189D-66AD-4614-B594-7DB93397A477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DA8D11-2532-45B0-B340-B2A3E4D74C3C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E4B26D-020C-4869-A2A0-F0DB7659714B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9FC174-568E-4D3D-876A-CEAB659C8A8E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9DFE43-9E14-4690-8C9F-0B72A279946C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DADD22-770C-4164-A033-0E3F8616ECB2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46D193-3EA9-4933-8EE0-CE5E303D91D6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D41574-FA18-4BC7-8152-CACB712ADB26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972F96-F537-46C7-8BC6-BB45F049C454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286AD6-6B56-4AA1-A92B-31FF223F517B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4BB002-11F2-4B19-94C9-900EBE4F6615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005AF6-DF96-49E6-ACD7-AD57CA233524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974722-9F11-44C6-AF37-2C85F968A91D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E368EA-8117-43DB-98EB-293D491BC93A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D462EA-71A1-4918-A856-DF47D1A6BEBB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40AB4D-E0C7-443D-81B1-C0750DF8EEFA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8348E0-4C21-412C-991E-6BE09FFB9408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8D4D25-A06E-458F-83D5-1597F5C97D61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BA6CAB-5A49-4D8E-A003-BBA7C3146546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594169-F9DA-44B8-BFE7-9F1D6E9D5C9E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4718CC-ED21-43FE-B7D6-EA28BCBE439B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9D4686-7E57-4018-8854-B8AF174491EF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E9AF29-A4A1-4F71-96FC-81367AAA60E3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8BF4CE-8A9F-4033-8DC6-94C0BD20384B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FC153B-502C-475B-99F5-FB921448AC17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C1B301-058C-46CE-8CF6-1D2D7A358B1A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FB5EE2-D442-4B61-819D-084FB6530E4F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FAED96-7453-4C2D-A8A4-AAFD66BADD55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FB3CE8-BC3D-4BE5-857D-D76331DBFF0C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530F7E-C106-4E6A-9D5C-F7676A5E58D2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912949-CC20-497A-9D52-A9C9BC2079F6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51F02A-EBA8-4157-A151-227AFE461458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5A49EE-E8DB-4E76-B83E-C23DA4FD9789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13CF04-86FD-465F-9EE8-13D2019BAE78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3D21CC-8D0F-4291-84E9-9B615D71839E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9DEB96-EA30-4A51-809A-2DCEDCD99B91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A23B94-904E-404F-BE71-9519C4AF4AE6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703F17-2107-4707-856C-532A88AF18C8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4B01E6-3FA3-44C7-B397-71BDA5C1B373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80032C-6C31-4623-B2BC-762FB442F5A3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3D71FE-3328-41E5-B480-010D4F3D272C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8C7FC0-908E-493A-ACEC-E7562CBCCDBC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5DBAFE-F68D-4EC7-92EE-50C0AD9C641C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9894D7-553E-48E6-8082-8D8BB4EF6738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AB03D5-C169-449C-A2B9-CDE79C0ED3F4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D41496-74BE-43BB-9590-D095961878BB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7A7C2E-B5B2-45E8-AE69-CD141941BEA8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3D875E-DA06-4F87-98E3-5D3FDEC3B377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6482F0-0876-4BE8-BC9C-D0F74DB5F3E1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E2F1B6-F08F-4D3F-B095-2FF3305CF6DC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AFD4CE-1DE4-4DDF-921E-456E71B55C38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C30FE0-87D4-411F-8830-37256B071879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87F989-64E3-4F2D-A20A-F3B5DAAC7711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C823F5-318C-41F4-A479-6ECC45178A1E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26C48B-BF25-4EEF-84B2-0C705CA0FF1A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76280F-973D-4611-AB1F-766BC4C9B3D9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F7F259-0217-4E5C-BE17-169CE68AE5F2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2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4DB679-F28C-42D1-834A-855D9F347BA4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3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2DE1CB-A20B-4610-8738-0ACBE2315F0D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3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E3D478-9ADF-41F3-848F-E6AB90FED669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3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E19195-30D3-4831-B77B-8AAA8774CD77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3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6B8CE3-51D4-4636-8F4B-09B126F87C90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3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C9A918-230F-46E5-AB0A-A7075A3FDA9C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3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37A352-01D9-4FFC-8C68-3A6B8EA7A765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3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A8F3C5-41A4-4A82-95F1-CF677A961D04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3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0AD731-695A-404E-B11D-935758617FDA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3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C6E211-02E2-4DD9-9BB4-DE686BF1262F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3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195517-1724-4E80-916A-53CCFCD71CB1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3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F5C862-FCF3-4353-B42F-AE91F4A58082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3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18D25F-6662-4797-AD97-4D2EF2C05F7A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3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6EB1E7-FBAE-41D7-8EC0-B900002F9358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3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CFD12A-2713-4451-BFE8-FF1806DDBBB1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3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A25F41-A500-4175-999C-5224F050CADA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3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52CD47-D447-4E23-A3D6-7250482D7B13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3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BFF9BA-2610-4041-9203-5141E99CD412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3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DF1185-BD41-400B-815B-CC201B5E9CD9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3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1F27E6-E023-4AE5-9797-0A2826DAFC0B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3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FC650F-30B2-41C3-BF57-69D0B87EC938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3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4AEE3C-FC06-4B21-B927-A4581D4DBCD4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3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6EF98B-C777-4BAD-ACB0-F95CFC9846F4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3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EFEE6B-AEE1-4599-9EC2-1F7FEA557452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3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C3E33A-1C8C-4A08-A081-71D1EF9EA1AE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53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56227D-D68C-424D-99D4-7DD2E1C81E60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145948</xdr:colOff>
      <xdr:row>6</xdr:row>
      <xdr:rowOff>99860</xdr:rowOff>
    </xdr:from>
    <xdr:ext cx="304800" cy="304800"/>
    <xdr:sp macro="" textlink="">
      <xdr:nvSpPr>
        <xdr:cNvPr id="53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E409AA-4044-442B-9DA6-762C0A0222B8}"/>
            </a:ext>
          </a:extLst>
        </xdr:cNvPr>
        <xdr:cNvSpPr>
          <a:spLocks noChangeAspect="1" noChangeArrowheads="1"/>
        </xdr:cNvSpPr>
      </xdr:nvSpPr>
      <xdr:spPr bwMode="auto">
        <a:xfrm>
          <a:off x="13176148" y="137621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53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7F1823-9C5D-42A9-99F7-8034D27D0DBD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53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61D4B1-D780-482D-9D0D-0945FE48BB31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53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B62FC2-28AE-4384-8C1D-A5427EA6DF8B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53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A86EFE-F61E-4E8A-9345-C5C1ACBDD1C3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53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EC0E21-371D-4928-B4CD-CA92900897F2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53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146CE9-CDBA-4B68-BD59-04747BC265F4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53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888B94-53B7-492B-A0D2-C5CBCDA81875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53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FB3B55-2457-471B-9120-B17C89E80ACF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53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02AABF-4DD6-4ADD-B7B0-AC9DEA78B446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53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22B1FC-667E-49B4-BE30-67E933145540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53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53958B-3ADD-4F1C-9A31-0FCD630633F1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53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734B23-94E4-4853-A88E-FE25A605DFB3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53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1B5009-63F6-47EF-9039-418890C65200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53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44B32D-14D0-4555-AAA3-8C4090562BC0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53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34507A-6223-4494-AC78-14A407A78A38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53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A611BD-FC16-499B-A29D-FFDD7491F553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53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ECCA5E-FAFA-473F-B539-F2E43EDD0920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53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F69374-785C-4597-BEEC-092EF5510EB2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53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79C8CC-C4FC-4F61-B4F0-10C678395E97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53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049F91-C892-46DA-8BD4-9055811D5F2C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53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85F409-D731-4729-9C5F-199E89E5481C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53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1634FC-8CBE-45BA-A017-6CC0B0AE584B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53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A56828-77D8-4016-9093-CFDD4494452D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53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CCDA89-21C4-424F-AB41-225390CCE585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53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6A1EB0-D0BE-4F66-8B01-1B00E1C1181D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53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C20A16-8FED-4748-8170-18C5C23233BE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53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AE2646-C43C-4D0E-B69B-E6FB7575D805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53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C2668A-83B3-434A-91C0-CCA36E2523A1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53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62D241-8B57-4EE1-8DC5-DA6998E78758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53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4A9295-7B7B-40E4-9584-C76B44D19F3C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53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B1CDC4-8264-461F-92C0-028FE4FCAB2E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53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7A98E8-D325-4CA9-A687-6E460AFE60B3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53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2BD190-482A-418C-BB6B-EBBEC29AD1CA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53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3920C8-6D61-44A7-BA78-BC9B83F978A2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53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BEF929-EEC6-4028-99F8-B60A4A43FC55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53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C4F702-80DF-4B5F-A35E-502CFE844570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53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32C8FF-6BA9-4B16-A06C-A34AF15B5965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53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9E359E-13EB-4F1A-BAD9-B46DD27EB6D3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53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1CF77C-01F4-4B2D-8B79-B8F25DF895E6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53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D0D70B-CFAC-4F38-898B-D3503D82A9F4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53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B5BA79-6F41-4540-B1B3-C8FF33173307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53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C7A5A6-37D4-4C38-BAF4-CAB5E9D696A9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53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DA5B39-D700-49F4-8536-838C074ECCC7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53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8F282E-C308-406C-BB43-3DCD2E15C6D4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53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91F150-437E-4C30-8529-EBD9AF481C19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53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288BA8-D02A-42DE-B6B8-DB9A5A88EF74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53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0ADB47-AFA3-44B6-B488-6395C285ECEA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53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188D15-A288-4463-9CFB-17C49AC73A46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53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330127-7F14-4C19-9141-E153ED97BF8A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714375" cy="304800"/>
    <xdr:sp macro="" textlink="">
      <xdr:nvSpPr>
        <xdr:cNvPr id="53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F7B938-18F9-4231-8E50-922E33D7E0A4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3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B240FD-A30E-4F2E-89B6-A511A0A431D1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3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914DAA-5B6F-430E-9957-E54B29CAF0F8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3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654EA1-1F09-41B1-8192-8A7C73133076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3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D1FFF0-2B83-400F-8A0D-054FB2B69482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3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0FFE47-E9A8-4F43-86F5-14FF4107E167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714375" cy="304800"/>
    <xdr:sp macro="" textlink="">
      <xdr:nvSpPr>
        <xdr:cNvPr id="53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002071-A1D4-49AC-A155-9CC9E2AE5122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3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64DD4D-9DE2-4DF8-A03E-246915BC2ED7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3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4425FE-9856-4585-BE79-30B0CA992C28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3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7E9C37-B817-42B5-A950-CB97C2E9FE99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3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318F4F-8ECA-4036-A02D-2007DC88913A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3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EEDE70-5548-4202-934A-A4981EE6723E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3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8FF455-BDB6-439B-BECD-04EB3DDC754F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3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AD476B-0C5B-4471-A670-B8485E95C163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3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09C8E2-DE1F-4ECA-8DA3-BA22CEB4D865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3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C79BE6-D3B8-4513-B9AD-7D2B825939D7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3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91A4BB-421A-419E-B8D9-37364A863CD1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3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CFAD52-3D46-4374-8B76-AC50EAD460D4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3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E9AC56-59A6-437E-A00E-A6F774AD14EA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3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E1ECAD-845E-4F8A-B29D-328FB3E1ADF0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3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6287A9-7B15-48B3-AA9B-C0DA1FCBC56E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3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16FB2D-FB59-40BB-9060-F8FF30D7F9AF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3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B190F0-2501-46AB-8B73-CAD83A987464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3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2C00B4-093F-48AA-B592-536CA1FD7947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3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5D1C57-9B06-4739-B6B5-A9DBAE6B3C21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4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95D912-1A66-4EA4-B764-4F27A8637DE0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4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FFF454-381F-4D8B-B7E2-FF7B6D5CEF7F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714375" cy="304800"/>
    <xdr:sp macro="" textlink="">
      <xdr:nvSpPr>
        <xdr:cNvPr id="54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01644C-B5C8-40E6-AD2D-9ECDD453E80F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4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263F76-58D2-45D3-BD70-028840E7FF22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4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3A2CC3-9A37-4A89-AAA5-616B2E7F1C68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4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BB1038-B296-4536-8B78-9D928DC8397C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4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AEFC83-F837-4744-8F47-2A41579FC7E4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4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881B4F-12FE-44CA-9B60-81D50324A824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714375" cy="304800"/>
    <xdr:sp macro="" textlink="">
      <xdr:nvSpPr>
        <xdr:cNvPr id="54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083CD4-0960-44E9-84CC-067ED6947C82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4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57AAF7-A0BD-4F12-8F34-A4BA3812CD56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4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3D92B6-CEF1-4B27-9CA6-E6A00FFACF3C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4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7D1644-9C2E-46E8-835C-E8E52C7CDF9E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4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B50AAB-7BF7-43EA-AC01-DE6EA56D6618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4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B9D82A-4DF0-4A81-B650-FAF30D256063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4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17952A-5657-4675-808E-456992F785E4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4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BA66DE-9380-4214-81F0-F0AB1545B248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4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A46E17-754F-4B92-98E0-842321BC1366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4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9B2308-4910-4B72-8C3B-C6568F193EA1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4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917C93-5E61-49EF-AD6F-E29E83A67148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4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46ED82-54E9-4B1F-B877-4FD36184CD80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4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8BFA55-C35D-46DC-A015-5F74E81ED1DE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4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BE729F-D258-4FDD-BA9D-05BD1B42D904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4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6009E3-813E-46D2-9EE9-D3DE1EFD526F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4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BC0B10-2087-4169-9C37-A8832FAD8264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4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0C3FBC-B638-4470-B89D-940F5FDBC1AD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4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8F74A8-4C1B-433C-B2A7-A39DE0A7398E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4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61693E-61C4-4300-8959-C8D8B3A4074F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4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652C7F-4A2D-4FAD-A728-63D8EA53AFDC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54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AF5BEE-1CA1-4E78-9C39-7B65D2398A64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4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9B523E-8F69-460A-8AA8-602F5EFC1C73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4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2E7D77-5E88-4487-BC9C-C275BA1DFA0C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4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A814DD-2AFC-4CFA-A9A9-0631812A5B2D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4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A50CF3-B8C0-4CAD-9EFE-40757EABC050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4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9AE456-6BAE-421C-8F4E-D8184DAB05B0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4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208F5F-6DA3-4414-8B6A-29A4D0D7119E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4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6468E0-2CFE-41E1-A801-CC328928443B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4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8079A2-7F63-483B-87DD-70685A50235D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714375" cy="304800"/>
    <xdr:sp macro="" textlink="">
      <xdr:nvSpPr>
        <xdr:cNvPr id="54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836B2D-98F0-4522-893E-6B47AFA849E7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4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2C6E8D-0FE8-4AF6-BE25-1487A0819B49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4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24DF5B-2380-4BA6-A4B4-EC6F734F3585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4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AC3505-F4F9-4239-B53B-337F308215B1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4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5A14BF-401F-4DD4-A521-3643CDFC5487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4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2F56B2-B7F3-4F4E-8A9D-6653668261E5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714375" cy="304800"/>
    <xdr:sp macro="" textlink="">
      <xdr:nvSpPr>
        <xdr:cNvPr id="54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FCC5EC-F0A7-4984-BBFA-E321535CBE48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4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515244-D3D3-41A4-8D37-B8213226CAFA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4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7A764F-FB70-4F3B-AC1A-B852D1CAA128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4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31D200-B337-4D6F-B7DB-5C30C7E519D6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4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9AC11B-1589-47DE-BED5-2C117249A780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4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AC81D3-F1ED-46C8-B757-0CE366BE9C8E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4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EBB4CA-7AC8-4D93-995A-BEE0DA825D20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4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9AF53A-62AC-46DC-9733-93D67233F783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4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1469F7-9C91-4D93-B8B6-A6F3A5499A71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4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741E78-BA09-49BC-995B-1A4EF734C77F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4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7F1379-1A59-49FC-9D3F-B12E54760DFE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714375" cy="304800"/>
    <xdr:sp macro="" textlink="">
      <xdr:nvSpPr>
        <xdr:cNvPr id="54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A06A33-126C-4C26-ADC1-D8BD0FE4F2C1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4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7061B5-7B30-4E2B-8025-46E40DD75A9C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4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AC84C5-FA4A-4B9D-9F96-F4233A3C688D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4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867DBB-2538-44F3-A1B4-E75EA755BE16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4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C09C16-4791-47B9-9BA5-A9320D29869F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4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C0DFE5-C640-4AEA-8A64-DB39BF690E56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4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789642-DB11-489E-A805-174C5A8A7701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4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1769D3-C6C6-44BA-BCD8-CF4D0AB6DA7F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4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FF605C-B487-4D86-827E-8C081BA3F5D2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4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91D39B-C5DC-4AFE-A013-60D379D62838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4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407F6B-453B-45BB-82C2-77BC52E764AC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4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50C43E-4522-4653-A25B-F160DBAF47AD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4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BDD21E-D9CE-4868-BC4A-9B5FA6162B18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4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6CB644-05B2-4C5C-84F0-B93540DBCAB1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4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20A7D5-4D69-4BC3-B7B1-F381A0A1C035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4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EDB21F-22D5-4893-BD18-CBAF0EE4C494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4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8ABCCA-F6C9-4293-96F6-4AA124E53FD6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4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BEF048-0F09-43D5-A105-FDB400A21D84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4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A75535-D356-4E3D-B782-0E686C17E109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714375" cy="304800"/>
    <xdr:sp macro="" textlink="">
      <xdr:nvSpPr>
        <xdr:cNvPr id="54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341F7B-DDE4-4B31-BB0B-41A379BDA2CA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4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39B02E-1570-4D3F-895F-E4D22625ED4F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4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903638-9433-4D38-9C40-69738D8A1B5B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4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272964-06AD-4C1C-B324-501DA2564027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4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6DD2CC-F3F6-43DE-9BE0-95194DE6D89B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4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DB1C0B-15D0-4F9A-9C9A-CCDED5025DEE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714375" cy="304800"/>
    <xdr:sp macro="" textlink="">
      <xdr:nvSpPr>
        <xdr:cNvPr id="54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8DD60C-D7B2-424F-B255-F3CF1D94D136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4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DD3507-C4FB-4D53-A1A1-86993EF2DFF4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4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2305E7-B91A-4C08-AA45-9CF0B5C3EB90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4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3EBD24-8D48-4FEF-A81F-305F16AB2F02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4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805274-36D0-4255-A054-0C177E667CF7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4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2B4B5E-3473-4B87-954E-9F28626E2291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4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ED11A8-8E63-4BA8-A230-B8B116129177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4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7C213A-A283-45EF-8934-E7129F136C77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4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A6497F-BAC5-45A4-9247-6CFCA21E8FF6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4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7E1BDD-5564-4BC6-BF8F-EE77E217C269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4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9E2FD5-8AE6-4EBB-8FBF-9188480499DA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714375" cy="304800"/>
    <xdr:sp macro="" textlink="">
      <xdr:nvSpPr>
        <xdr:cNvPr id="54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9D6DC3-834F-456A-8D5B-516F5E5357EB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4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2541F3-0624-4949-B969-3910492B57A8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4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5CDE73-2740-4B78-9647-72B5EC135540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4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667F25-E7C4-4BE9-8112-D66552E5C48E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4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A56306-7FF4-48C3-8C4D-857721F01705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4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028268-AB3B-4425-9735-AE08284BA722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4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E8D23F-0931-498E-9878-8221BC7B3429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4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3AC879-202C-4BD2-AE64-B4C9C046ACB9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4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61727B-5058-4FEB-AE49-B2A99A179CA8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4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01F6D9-C601-4EFD-B380-787D506D1E28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0E06B4-2471-43E3-BC48-C49C7966D08E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DE8548-884E-4E8B-959A-28514A33AA55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92DC3B-8561-4780-A615-4F3AB24B6102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0F1B34-F7EB-42FA-8C47-A831F2B57018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5471F8-DBAB-4E23-90FF-9B1B5ED71C62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9ECD90-5115-4630-A5A9-03678BC461F9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7550D6-F9C6-435E-B20D-C9E9E0517E32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76A948-186B-4BC6-87A6-C4393B67FC28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15E8D9-ED20-4F86-B45A-0B75C0ABAD5E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39A246-6BFB-4B3E-91F0-0FB69CA64C2B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6B62EA-12A8-4315-8CAF-9C24D7112445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830F51-F645-4F4D-9740-FE87B8A0D3E0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C6FE6C-768C-4E3E-A24D-551BC4140690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C1E926-E1B2-4619-8CCF-0D364C6B237D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687BE9-E07A-4522-8447-94CD255E5FED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0DF620-8C23-46FD-966E-F1283E30A804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626453-F5F4-46B3-B67F-D287DBFE7E92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BF9EDC-3DC1-4C74-B771-D03566D43A93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268831-3C76-4E58-81E6-94D5CADC30B8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67C6FE-78E8-4492-B0C5-CF4ECE4609CD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5070EC-6EDE-4084-8193-4DBBA2CF8C43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26E486-6FD7-4067-9271-4C868065323F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7089E3-FB14-45E0-A7F6-796DA233931A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11D7E3-1FCE-44C6-805E-15189BD74E27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201F6D-1E47-408E-8DAD-EA9C7645AAF3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5498F5-F9A1-4EE7-B48D-666FBCF6B6A5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73DE25-E942-4B11-A5F8-285E3815A68F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2D76C0-53F9-458E-8D12-84869FBED794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E26811-A465-4BBF-8135-90F3EC365E85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724C73-323C-4AB7-9509-7939B64B7AAE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AD1F6C-B3B0-4EAA-8A34-A87AE707F383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FE4233-5E16-47A6-9999-141086EBE8EF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94DA38-2DE3-46F7-B511-17A545750786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FA8436-B3B2-4CF8-B256-FC9E1AC50A2E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FC30B3-BCA5-43BB-809E-D7F8740E1ED3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852982-5BAE-4635-8F56-FEBC6A725902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8E91C6-740F-4273-B2C4-5B1DD64FEA4C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8F1978-CC6B-444F-98E0-D15074C30E1A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1B41C2-2587-4516-B840-DC148EC7AF0F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5367EF-83A7-482E-BB7C-3C8C2B4E7742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C67E05-053C-4B43-941C-0FF11C9C7BD2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E825B1-421A-4FD6-8E98-FAD334C8041B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4F69F5-20F6-481F-A7D4-E53009FE1312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62CCB1-E919-4243-A8F6-FA06B819E204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A26A18-3600-404F-9D34-98E9B749BCBC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F86B98-A658-495D-8D98-101CC29E0695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E96563-37C6-4040-B0DC-73CB8E0D17B0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B89204-284A-4236-B688-1F7545A4B323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137DB2-5910-4EE3-83A7-005830F4C61A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A457D1-9BFA-4924-B2C1-2B0803C27037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10A3FF-0836-4F96-AB6B-6C21A937706C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FD6002-DB0C-4A55-9EA6-DAE5E7366AB0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894733-49FC-45FB-A4B2-0C0BB01271B3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8ADDC0-18B6-41F0-B3F0-4C63F69DD4E2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97885B-F5EF-4816-9BCB-1215D78A1BA2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AD642F-3706-4AF4-8625-AEE7E5339C99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DABF9D-84F9-4ACD-8347-C34E5C96A1A3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8DDF35-86D2-42A2-9F96-A106FB26725B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485B46-6DA5-446E-AE80-8FF4E413642F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1F7E45-1846-4058-AE4D-41E551EC9031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983779-3A6B-4FEC-A94C-8B8C633F4910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520596-C9C9-4D7E-9C6E-26CFE31A2DF1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AB45BC-411A-463F-AC7A-40488FF2BC68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0E48C4-F0B6-45AE-97F4-7039BAABFC0A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B36B90-CB7C-49D2-868A-85782E6376DA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395CA7-E535-4584-A6D5-05B418875C5A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AD6F37-E305-4BE3-A42E-3B4BDEA18056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3DE6B0-9FF7-40F4-9A06-DF53842C3A65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28CCB1-A913-472C-B941-1CC4DDFB2F40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6CB256-C7A8-4234-A5FE-29FB24CCB5B4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7F0179-A5B3-4B6E-B809-DBC5A859A9D7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BE1B7D-0A8C-4D7A-9546-DCE01E147AEE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438C87-2E8B-42E1-B1B7-417B6ADFF288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F010D5-6827-4246-82B2-4FE284240D0C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302641-932F-4326-BC7B-7E06FF9A820C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C7C11C-3E77-4404-948F-51A3677B028A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AC2C46-F158-469C-944E-084DF38529B7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67C8E4-3673-471E-A6FD-56C5370BD04A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AD397E-BD88-4084-B9D8-8F02C0431688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2E3730-2B66-40DA-994C-B1D637C01220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D84E1A-CB98-400C-9C4B-7763BAFF20C3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B6F26C-572B-451E-9BDE-0C9E66FF547D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8454B2-C350-4501-A669-4419F1C5D637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55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C717C9-9692-4A12-A948-C6FBFF0162FF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714375" cy="304800"/>
    <xdr:sp macro="" textlink="">
      <xdr:nvSpPr>
        <xdr:cNvPr id="55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0826FB-262F-485A-A2B7-942CF5D000A7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55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941EB0-DF86-4AFB-81A2-6854A24A2F0C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55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45AE8D-587E-4181-87F7-D1F5B786D968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55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E4F011-C7EE-4911-BD74-E8606A5BE971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55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C37F98-9AEA-44A6-AE4A-5C51566D2C17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55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CF9330-C142-4D92-B946-0738EBDC7DCF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714375" cy="304800"/>
    <xdr:sp macro="" textlink="">
      <xdr:nvSpPr>
        <xdr:cNvPr id="55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64FC02-B0FC-4B2D-B19D-85A5D144EE1C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55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00B03E-46C9-4E63-B579-2D8218B78D66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55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F256A3-7B27-45A3-AD7A-031E0EE0D5A4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55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83B70B-06F3-4C09-BC38-E2EDDDD736FD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55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101576-F070-4F12-A67C-059B361C307D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55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A88F7F-C3B8-4DC3-AE16-93C9EF76A837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55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B495B7-8A77-4182-A0CD-A4D5E9D6259E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55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D1CFD2-1A1D-46F9-8BC6-5551ECE35BA4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55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430663-E9DA-4C23-B777-90F08A5FE3BD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55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87A6DA-86AE-415D-8762-4F1731774E2A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56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5EC8AC-2EBA-4588-9B32-5CB6E140686E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56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97AA86-21B1-409D-9C73-3D67142E8D43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56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D0A522-7686-42B3-9FED-11B1F59E5FA9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56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65EAE8-1EEB-4CB6-9BAF-6A9303F81018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56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2C776B-1A20-4FD5-A417-9396962C5493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56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20A2F2-DC21-4067-B3CA-6B22A0B9291A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56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92459A-DCE4-4BDF-93BC-3BD618BBFD64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56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2E7F3A-BF55-4C17-8E02-6F37F9A4835C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56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84D852-CA62-4BC8-9581-88149AC533A9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56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79A8EC-AC86-4BAC-91B6-E1752A838905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56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E3E545-E603-4010-A393-22B33A77C9F6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714375" cy="304800"/>
    <xdr:sp macro="" textlink="">
      <xdr:nvSpPr>
        <xdr:cNvPr id="56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200996-F9D2-4222-B347-1ADE28BF00AB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56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3FC524-A659-4AB2-A9F5-CE2D8C7CDF00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56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ACCA46-7108-496E-993E-DA2D0F9B7E2B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56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D51A36-9A87-4990-876D-4EC966763C81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56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359CD1-80EF-4C74-BFA1-705B0226FF7C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56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C2C9E2-EF3F-4C3A-BF71-90C457463AC1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714375" cy="304800"/>
    <xdr:sp macro="" textlink="">
      <xdr:nvSpPr>
        <xdr:cNvPr id="56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C79B6A-7409-4C7F-A516-93A7FD54B48C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56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D1ABF5-89B4-4529-BAFE-224A64B82DD9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56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0AA823-8E87-47C5-A145-1637050CB97E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56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B16D2A-2EEF-4C5F-911E-0B0167101621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56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599277-A553-4C9E-A258-6A84EC4150C5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56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75C1D5-1B1E-431B-AF8A-C643A6A90264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56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94605E-DFCB-46BD-BB91-FDD9F39F2292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56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B4B21B-6C7C-4B6F-9C7A-3334BF3620A2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56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298E18-F5CC-44B4-9922-52501FCB7DF0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56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697074-1D15-4E03-8240-EFDFE1FBA1AB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56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9D3DC8-E0FD-4710-AB7A-4633209DCFC4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56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2C2D77-3C01-48FC-AF7C-E09A75BAEC0D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56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DB9099-0818-4E43-B05A-E33C6FAFE26C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56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B88839-03C4-443A-8F7C-6822F8CDD0F9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56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B73F13-E308-4B69-8E61-7F7AA3436AFD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56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130DA0-E0EA-43AB-8C2B-26C83CF4CE64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56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E3BE8B-1193-4C2E-B439-2387515F5FAA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56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EA160E-8B68-400D-9370-F37D0B8198B5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56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2D7841-89BE-47E3-8789-565F76585D15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56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17F195-A1A3-4668-B9A2-00CE8DE2BF8C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56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EE6862-2FEA-4238-A26A-C57CE88B500A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56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3D9056-2B93-42A1-8639-1D10B96992B6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56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BD0091-8970-4760-BBF6-84DAD354ABDE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56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95F32B-2FF6-4919-8F5D-DB0DED445076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56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F944ED-BF42-48BF-8702-2040B8325D9C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56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01BDEF-4339-4F5B-97CD-66A19DE39AAB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56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EAEB22-C178-4C66-A5B7-89F53A1E209D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56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AC16F9-F48B-4AD2-B876-2DC26A7406D3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56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FC49B9-8F6F-49CD-8981-CBAA3A969499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56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D19B74-FE84-43E0-8065-07BD0BE0AD0F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56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8F104F-2EBD-46EA-8D24-C744AB787FB0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56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335753-24E8-4E7F-9F4C-6547CBE3270A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56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80B729-DDB4-4A29-B3E9-E0DB7C75F045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56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2C968B-8243-49A7-9CDA-91097BCADC38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56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41E1DA-D77F-45D0-A5BA-9A3B34F03EEB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56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E8F3AB-CE66-4DD6-AB91-56C7AF96CFFA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56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D97B3B-4A5A-4030-AEEE-C9BBBFA7675E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56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4CDB22-2A2C-455D-9A1E-97AAD087DD4F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56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1A1D9E-20D2-469F-AC7D-8374501E0D9D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56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9FA7E8-186A-4C4F-9791-59FBD9D307FD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56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D92890-3B80-4758-A1AD-1302DBFC36CA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56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3CB9A8-0C0D-4049-BBB5-AB66B64AD042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56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8C1F2A-5484-40A4-A24E-7F893B586F83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56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C855E3-69E2-471E-AFE5-BD363BB276A3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56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7AFE00-2A40-496E-A73E-76E819F49EC0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56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5E6634-78AD-493B-AEA1-BBF5F8DDCCB8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56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8E20DC-AD0F-4C50-9419-DE42F9A395A3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56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CF0182-2F11-46B7-A254-CAD20936C86A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56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F15463-7E9E-42C0-B616-3F45B0B5C0E6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56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5A7D58-25F0-413E-9320-A58D5C899C7E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56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6F1065-8F57-4021-8304-4187541AF40C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56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FBF2A9-098D-4A37-9D69-D8CF06BFE186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56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322E08-5FBE-4286-AAAF-44CE2C20B326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56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F3829F-2965-407C-A435-39FB58B561C3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56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29E96B-50E3-4FF6-8559-931A5A7B1994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56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02B646-32AB-471D-BE1A-8491229DDDF7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56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2B1E69-BBD7-468E-9998-F5DDA101A8D5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56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A44CD3-E5D1-4986-AD1B-9BA2E2FCFF2F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56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819C7F-940E-486F-9B09-E8197163B049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56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967D45-322E-495E-AC50-C3B3A4B7E515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56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291BB1-2820-4393-B2CA-1B8F186D925F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56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2C4545-E181-4363-BA6F-D25C64489BFC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56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7923BB-8506-44C3-BB5E-0A9938A37D71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56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9A3AD0-A8C2-41D6-8DB7-1677339B916F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56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CC0186-5E82-47AA-99C6-30FA68496DC8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56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0AD776-90E0-40D0-9277-744AE8347D23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56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DFA533-2BE8-43F4-9CA4-D93326D64B83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56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F95922-2E3C-4D0F-B7F3-5A6D30B89DCC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56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2E9368-A533-42F3-A42E-152E0EBF023C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56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C9E88D-7EC5-4EF0-A4A6-D3CAC63D1284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56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CA54BD-B8C5-4477-B22E-FCFA9CBA7594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56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EEF491-B970-4A7F-9BD0-0268383C410C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56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8869EA-DD2C-44FB-9634-B728CA328EA4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56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85E4DB-55D8-47FC-A100-361A8A6FB04E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56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05661E-5EAD-4F8D-A296-EB4AFC64D910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56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1E5CF7-1A3A-42BC-BAFB-EB89792C3856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56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A073E8-5DE0-459A-B00A-95D0C1F48311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5</xdr:row>
      <xdr:rowOff>0</xdr:rowOff>
    </xdr:from>
    <xdr:ext cx="304800" cy="304800"/>
    <xdr:sp macro="" textlink="">
      <xdr:nvSpPr>
        <xdr:cNvPr id="56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E735A7-1BB9-4B58-BB21-9D68946E6A8A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5</xdr:row>
      <xdr:rowOff>0</xdr:rowOff>
    </xdr:from>
    <xdr:ext cx="304800" cy="304800"/>
    <xdr:sp macro="" textlink="">
      <xdr:nvSpPr>
        <xdr:cNvPr id="56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B493B4-D3A1-49F7-9254-ACC71835F0CA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5</xdr:row>
      <xdr:rowOff>0</xdr:rowOff>
    </xdr:from>
    <xdr:ext cx="304800" cy="304800"/>
    <xdr:sp macro="" textlink="">
      <xdr:nvSpPr>
        <xdr:cNvPr id="56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1DB65B-794B-4B23-998C-2D98C9918E5B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5</xdr:row>
      <xdr:rowOff>0</xdr:rowOff>
    </xdr:from>
    <xdr:ext cx="304800" cy="304800"/>
    <xdr:sp macro="" textlink="">
      <xdr:nvSpPr>
        <xdr:cNvPr id="56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331BA4-3AF6-432F-BCFA-2054B7484E1A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5</xdr:row>
      <xdr:rowOff>0</xdr:rowOff>
    </xdr:from>
    <xdr:ext cx="304800" cy="304800"/>
    <xdr:sp macro="" textlink="">
      <xdr:nvSpPr>
        <xdr:cNvPr id="56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9575B4-AEC2-4911-907A-0690DC5CE95E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5</xdr:row>
      <xdr:rowOff>0</xdr:rowOff>
    </xdr:from>
    <xdr:ext cx="304800" cy="304800"/>
    <xdr:sp macro="" textlink="">
      <xdr:nvSpPr>
        <xdr:cNvPr id="56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5240E7-75F7-4CFE-B546-0131DB17566F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5</xdr:row>
      <xdr:rowOff>0</xdr:rowOff>
    </xdr:from>
    <xdr:ext cx="304800" cy="304800"/>
    <xdr:sp macro="" textlink="">
      <xdr:nvSpPr>
        <xdr:cNvPr id="57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BB51CB-A2E5-4E14-9DC9-DB4E9C5E3C23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5</xdr:row>
      <xdr:rowOff>0</xdr:rowOff>
    </xdr:from>
    <xdr:ext cx="304800" cy="304800"/>
    <xdr:sp macro="" textlink="">
      <xdr:nvSpPr>
        <xdr:cNvPr id="57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D59971-CA33-40A6-96F1-55F71E2B35A2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714375" cy="304800"/>
    <xdr:sp macro="" textlink="">
      <xdr:nvSpPr>
        <xdr:cNvPr id="57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A2A4D3-3B52-4011-AE6B-767B611AAC96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57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01298C-2C4F-4E8C-B9C0-3E53A3CF7A28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57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953858-A4E0-41DF-A027-F6F4F8755F65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57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AF5C5A-4824-41EA-A99D-2C135314D896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57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76B01E-B4A4-487E-BC49-9E2601623C0B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57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87B7A5-F4BD-4AE3-89DB-5A6E429DC197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714375" cy="304800"/>
    <xdr:sp macro="" textlink="">
      <xdr:nvSpPr>
        <xdr:cNvPr id="57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7076AA-6FB4-4D07-A2C1-D91F77B6B1E8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57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CA3700-C154-4999-AAF5-CB7C3E2F0A26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57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D61C75-823C-4B38-927B-42753F360B02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57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7E06E2-B4BF-444C-874F-3F09C9568A3A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57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97EF10-3769-44CA-AC27-922C193FA276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57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DB3810-E9F3-4CC9-B74F-72108066DC2F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57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AFF95E-F423-4361-8B61-54CED6A46E0B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57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950420-5D04-41AB-B72B-D5DA2693D3D5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57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3D0B02-C4A3-48C2-A48A-84D05369AAB6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57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B485C5-567D-41D3-801C-AC6A362CDC6D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57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63D925-F8E4-4361-A30D-E1769A03FF2F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57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B5379D-FD2E-4EB2-8C4E-6A4CCB8D3586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57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F594D2-4D44-45C6-A4F3-3808DAAE6AB0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57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940B56-B47F-4C1E-AD54-C161E724C92B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57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08E3A5-5DD9-44D6-A0E7-524AFF183B84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57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E78682-E681-46EA-AF38-E742A7ADC95E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57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BB7A84-7D4D-4773-8D4C-D1D6A483AE3F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57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8646F2-96A2-4896-9BAD-C6D7DF18E9F0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57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17C7D1-2629-4CD3-A58D-2904507F14BD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57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38F1D4-C640-4289-A66B-87B29DE77CE2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57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5B6871-393F-4053-948E-E0546CEF49FD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714375" cy="304800"/>
    <xdr:sp macro="" textlink="">
      <xdr:nvSpPr>
        <xdr:cNvPr id="57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3A27FB-9998-4392-9852-D2C573F29AF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57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D72F32-BF17-4770-AED9-32809A85F52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57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97C28D-DE18-4CD4-8912-60D5AAA560F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57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2E27FD-0A29-4BD7-A2E3-99B593818E0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57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790B09-9FEC-42CA-A623-5B1DAE438D8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57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0D3D5D-1A1C-491E-8455-9582ED9118D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714375" cy="304800"/>
    <xdr:sp macro="" textlink="">
      <xdr:nvSpPr>
        <xdr:cNvPr id="57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B3162C-7844-4DF9-83AB-BE32EADF3E5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57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77B3B1-AC54-47E0-8498-C6A3D947B18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57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1B21FB-9FE3-4704-9DEF-58482D738AE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57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C895A3-49E7-4648-8376-8945E794238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57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C743A6-E801-4DD4-AB2E-1E59841D06B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57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2EBEA7-59CE-4E2E-9DD3-879CDEA0159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57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AAC52C-33D0-4E37-9D13-5B7E2F66218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57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B97D71-3106-4EB0-9FE8-F561034F350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57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AC7549-862D-480A-BE39-5FF1F554B81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57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00A159-6B35-4271-9E14-5309051A797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57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E04790-041D-4944-A6C5-A641D9211F6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714375" cy="304800"/>
    <xdr:sp macro="" textlink="">
      <xdr:nvSpPr>
        <xdr:cNvPr id="57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BE3576-DAF3-4DA8-ABE2-4206BBC1BD9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57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61A650-7DE1-4A64-A61B-10EA4D35DD4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57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05A937-8227-4B95-87B0-013AEA2FCF7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57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3F6A01-A936-4EB9-9D97-6B78BE3683C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57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F5A499-9354-4688-9EE4-3EB406610F1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57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54FD38-4DA5-42F1-B8F8-0C676DF9A05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57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DFA884-EF2B-4586-B68F-6A780DC162D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57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67CBBF-3ADE-407F-A837-208997A0934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57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BBC348-79AE-402C-9D75-5F23B20A8A8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57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334B1E-D552-4B75-B6FC-31BE0E9E73B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57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65A348-A257-4AA4-8292-4B7CB09FBD8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5</xdr:row>
      <xdr:rowOff>0</xdr:rowOff>
    </xdr:from>
    <xdr:ext cx="304800" cy="304800"/>
    <xdr:sp macro="" textlink="">
      <xdr:nvSpPr>
        <xdr:cNvPr id="57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3EF665-4D13-4D78-B419-BABAF772E788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5</xdr:row>
      <xdr:rowOff>0</xdr:rowOff>
    </xdr:from>
    <xdr:ext cx="304800" cy="304800"/>
    <xdr:sp macro="" textlink="">
      <xdr:nvSpPr>
        <xdr:cNvPr id="57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5389A8-D1C9-4574-B7C5-E0CFF0FF969C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5</xdr:row>
      <xdr:rowOff>0</xdr:rowOff>
    </xdr:from>
    <xdr:ext cx="304800" cy="304800"/>
    <xdr:sp macro="" textlink="">
      <xdr:nvSpPr>
        <xdr:cNvPr id="57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F86F29-8CF1-4390-BCA6-F99BB6FECD2C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5</xdr:row>
      <xdr:rowOff>0</xdr:rowOff>
    </xdr:from>
    <xdr:ext cx="304800" cy="304800"/>
    <xdr:sp macro="" textlink="">
      <xdr:nvSpPr>
        <xdr:cNvPr id="57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3561D0-3ADA-462F-AEDD-A250EC806587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5</xdr:row>
      <xdr:rowOff>0</xdr:rowOff>
    </xdr:from>
    <xdr:ext cx="304800" cy="304800"/>
    <xdr:sp macro="" textlink="">
      <xdr:nvSpPr>
        <xdr:cNvPr id="57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21100A-D7F9-4770-8D9B-526AD71B8EAC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5</xdr:row>
      <xdr:rowOff>0</xdr:rowOff>
    </xdr:from>
    <xdr:ext cx="304800" cy="304800"/>
    <xdr:sp macro="" textlink="">
      <xdr:nvSpPr>
        <xdr:cNvPr id="57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6D2DFA-ABC9-47BA-8A3E-0DEBB9D60072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5</xdr:row>
      <xdr:rowOff>0</xdr:rowOff>
    </xdr:from>
    <xdr:ext cx="304800" cy="304800"/>
    <xdr:sp macro="" textlink="">
      <xdr:nvSpPr>
        <xdr:cNvPr id="57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B3B40D-1A27-4A9A-9241-9BEB12A5E386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5</xdr:row>
      <xdr:rowOff>0</xdr:rowOff>
    </xdr:from>
    <xdr:ext cx="304800" cy="304800"/>
    <xdr:sp macro="" textlink="">
      <xdr:nvSpPr>
        <xdr:cNvPr id="57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BB9215-396F-4191-AFF6-A93613793525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714375" cy="304800"/>
    <xdr:sp macro="" textlink="">
      <xdr:nvSpPr>
        <xdr:cNvPr id="57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F4DFED-3D64-4824-B293-A68BDE008385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57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A806DF-B3B7-4345-B652-77C7F636A1E9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57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901075-D463-445E-874B-224C3C8A30D0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57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12DAC2-5FFC-4D16-8491-2C0109F68255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57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38DD47-6750-4513-BBEE-BF155CA3D9BF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57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4BE7CC-8D3A-4AC7-808B-3705C52C67A4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714375" cy="304800"/>
    <xdr:sp macro="" textlink="">
      <xdr:nvSpPr>
        <xdr:cNvPr id="57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FCB85D-7FC8-49C6-8970-21E5462B703C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57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B4A9E3-D42C-4B79-A5E0-EAD651625FDD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57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89B594-0E1B-40CB-AE8E-3A0C9839BB36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57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26C4DC-6317-4D10-AC99-EC6FAFB1C88B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57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633CD7-8733-4F77-914A-AD40B76B3BE2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57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E15BF3-4635-4C4C-BAF0-9B1A496CC8E6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57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23E83D-0100-4E8C-A740-CA527BC65FFB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57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AECA2B-EE0C-434F-BB31-FCC43CAA02B7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57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988A08-81D3-4960-AFB8-825CAA66BA90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57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0CC3B2-5A79-43E7-9979-30CF90A9F653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57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343030-C999-4E60-B7B3-0AF34D9B74C3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57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6AF5C9-9B16-44D4-8085-968C57C90CBB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57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875AD2-F1F6-454B-A054-55D4CF479CF7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57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394EE9-7ACC-485B-8578-CDB17974393F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57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5C44E3-45BD-4808-81DC-7F2AF0F894B9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57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104BD0-7497-438B-8BED-6F7DF36CB5CA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57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349665-96EE-4A51-8F1A-C559D8627A97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57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0868CD-67A5-4184-BE39-2C34049765D9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57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97AB13-496D-4930-8163-C624556F3B6C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57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633A8C-1910-4F23-8E63-8F480C2D634C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32</xdr:col>
      <xdr:colOff>0</xdr:colOff>
      <xdr:row>5</xdr:row>
      <xdr:rowOff>0</xdr:rowOff>
    </xdr:from>
    <xdr:ext cx="304800" cy="304800"/>
    <xdr:sp macro="" textlink="">
      <xdr:nvSpPr>
        <xdr:cNvPr id="57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E50275-0076-433F-975E-3BB89736007B}"/>
            </a:ext>
          </a:extLst>
        </xdr:cNvPr>
        <xdr:cNvSpPr>
          <a:spLocks noChangeAspect="1" noChangeArrowheads="1"/>
        </xdr:cNvSpPr>
      </xdr:nvSpPr>
      <xdr:spPr bwMode="auto">
        <a:xfrm>
          <a:off x="155924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714375" cy="304800"/>
    <xdr:sp macro="" textlink="">
      <xdr:nvSpPr>
        <xdr:cNvPr id="57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1B8CA9-DF94-4715-8DB1-96CB63EBBC8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57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8AD005-E2A4-4EBE-8B1F-9AF2088324C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57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60FB37-3091-49FD-9B41-4A48743576C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57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112943-1580-4DAB-A601-CA0FFB61A82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57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3832AC-C665-46AB-AE5B-91CF097642B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57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9916BB-655B-4792-8B25-EF11A4FD986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714375" cy="304800"/>
    <xdr:sp macro="" textlink="">
      <xdr:nvSpPr>
        <xdr:cNvPr id="57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849613-F4CC-4728-98E9-D6BAC12BB68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57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736BF5-9EE1-461D-B8B2-6798BB52836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58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1CF1BF-A723-4233-8017-6DF9ED0B660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58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98EABC-70AD-4573-B05B-912C509C16B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58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C8A122-3647-4E4D-BC63-0BD613DED6B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58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3DBE41-E58C-4C4B-A480-0A19B2840CB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58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9F1765-C6CD-4DFB-83F7-9E82E3F7339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58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A433AD-A860-4256-B607-6CA5FF668C9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58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CBA9CD-E5F0-4245-99C0-436CE99E895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58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BE8704-86F5-4403-907F-6D59BB9AB5E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58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BBE86E-B7A1-46F4-978D-3F421CC9B34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714375" cy="304800"/>
    <xdr:sp macro="" textlink="">
      <xdr:nvSpPr>
        <xdr:cNvPr id="58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B4335B-2472-406B-9967-ADBB5A3768C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58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A19D28-54BB-4618-BEA9-4357276240E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58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9E025E-EEC8-4A37-804D-3B7F9F547D4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58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182125-1DAA-4876-B617-6EFCAC2982D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58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1B3DF4-8BEE-40CC-8C52-63F19BBB6FF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58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AE9EC1-FC3E-47B5-B06F-5FCBF0D1203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58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C6F8FB-93E2-4038-A984-6F03675BC4A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58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F7C634-1DCC-4C2A-87DF-1EDEE6CBABF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58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EF8CEB-9D3B-4F63-803C-4C63246F2C2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5</xdr:row>
      <xdr:rowOff>0</xdr:rowOff>
    </xdr:from>
    <xdr:ext cx="304800" cy="304800"/>
    <xdr:sp macro="" textlink="">
      <xdr:nvSpPr>
        <xdr:cNvPr id="58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D284E7-7D72-4911-87B5-8E022DA8C24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8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CCC242-1778-483E-A465-8B8483FB07D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8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1802A7-2FF1-44B8-A06E-2952466315E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8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59E835-3B63-4B3C-8E18-6284865227A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8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928338-708A-45AE-A491-0A7F5F978FF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8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9ABB27-F12B-4430-9C67-B65F0DE779D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8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2478F6-038B-4612-AD64-AF0635EC444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8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B2BB87-D0D9-4C7C-A67F-14196DCEE07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8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B7C313-435F-4E18-8576-582F26BEED9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8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5B6BF2-3D1F-40AF-8FBE-BE394CA384B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8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D163CD-143D-4074-9BB3-8F05663300E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8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253B79-3817-473E-867D-1B625395856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8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D8CE87-8D22-4D47-BBB7-2E917823F2C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8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ABFDE7-10FC-4AE1-BEAD-241817D74C0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8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0D143C-4BE1-46F9-B7D0-3FC41282B5D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8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48B851-FADD-4A98-A0FF-8FD5F27F4BB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8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9A2B01-9257-4087-93A5-AFB0D0BE99F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8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B4D46C-3CA8-4830-B4BC-9556C42038C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8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7ABDC4-5332-4016-9E82-164E0DDE43A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8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2C289F-86BE-45E4-A4F4-64F6EF156B9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8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4CBF87-BE9C-4F5B-A515-058FF01D59A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8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FF4AA8-F408-4C12-BAA7-4B3F13E50F0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8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238D52-6888-4F56-BFE2-D11613A479F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8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ECBEFB-0900-4D27-A059-A9F9F1B2E7C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8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510B68-263A-4497-8E04-8ADE2BEF692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8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355644-2204-4D0E-91AB-954A3AD35F2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8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F5AA4E-5B4F-49A3-890F-CAF70FD186F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8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F948FF-A85D-4C82-98C0-CCD09740111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8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28F945-A145-418F-B408-EC6B81B9254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8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D70ED3-38F3-4C14-887C-9130AA23610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8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53BFD9-BEB7-4CF7-8247-379EF72C9BD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8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27F425-9BDE-4DE5-85C6-6EA0B379ADB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8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E1D59B-2D88-4451-844F-A1FCBB51695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8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1CF4C5-003C-44FB-A094-BEDB3470FB7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8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0C7B19-1525-4028-8D8A-4590AA931B4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8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568202-2562-47D6-88CB-8931C63EB0B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8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249517-BA67-4323-96CE-0E5E3045FB1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8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A68460-B216-4C68-A745-3D0F6B14A7E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8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74AAE5-1CC9-48FA-BE28-0367469C4CD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8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759592-FAC0-4165-8F15-BEB44B33331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8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415B5D-FEE7-4407-93F4-46F417C760E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8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823D42-F35B-4308-A57A-2658E59BC28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8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E37C9B-DC70-4FC6-AE06-CD71C1E16E2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8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326CC9-3DA7-4BA4-AB26-6624015922B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8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D636FC-297A-47A7-845A-E04E5A98071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8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F0D004-E051-4061-9F67-7106EBFA21F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8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3BF6E2-02C0-47D7-B4F8-FE41ED5C3A0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8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661A53-87A6-4E3D-AAE1-2855303DD8E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8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672577-A87B-4696-8820-C6FF104768D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8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C00201-3650-4E44-831D-5478EC48122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0</xdr:col>
      <xdr:colOff>28575</xdr:colOff>
      <xdr:row>0</xdr:row>
      <xdr:rowOff>28575</xdr:rowOff>
    </xdr:from>
    <xdr:to>
      <xdr:col>11</xdr:col>
      <xdr:colOff>125279</xdr:colOff>
      <xdr:row>3</xdr:row>
      <xdr:rowOff>133790</xdr:rowOff>
    </xdr:to>
    <xdr:pic>
      <xdr:nvPicPr>
        <xdr:cNvPr id="5868" name="Imagem 5867">
          <a:extLst>
            <a:ext uri="{FF2B5EF4-FFF2-40B4-BE49-F238E27FC236}">
              <a16:creationId xmlns:a16="http://schemas.microsoft.com/office/drawing/2014/main" id="{9C646F8F-5850-4DDB-BED3-D177BCD7A5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" y="28575"/>
          <a:ext cx="7392854" cy="676715"/>
        </a:xfrm>
        <a:prstGeom prst="rect">
          <a:avLst/>
        </a:prstGeom>
      </xdr:spPr>
    </xdr:pic>
    <xdr:clientData/>
  </xdr:two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58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BA3277-B03E-43CA-8F56-2852A1723385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58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F59781-56A1-49B2-98EE-A9B94BEA4A79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58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1D3FBB-F9CF-41E6-AC46-082DDB47D7E5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58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128DD9-EA6F-4DE3-A12F-26C62B7C8518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58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0FC2F5-72D3-462C-B06F-99A9E28F7EBF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58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21A874-454E-47CB-BD9D-FF83CC432C76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58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843347-9ECC-40C7-B42F-368FD3102570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58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F5AC48-9412-43DD-8192-DD7F6AEC340F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58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7DEA46-3A4D-49F2-AD97-D6E2F3EABA39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58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A1A709-0FB8-42D4-BD6A-FC5D0FD80D42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58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225058-FAAD-4D89-B784-F667D16E2BE1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58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F9452E-E7C2-4CD7-9DEF-850F0E0860D0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58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C63C6E-EEEA-414E-8D7B-693F815559D1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58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0D555B-E761-4B0B-9C57-20DB2BBD1DFB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58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36FA6D-4436-42DC-8CD3-E85446C1F828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58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66BBDC-3392-4311-A5B2-6C5A864FB5B4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58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E00C63-EC64-4BD2-9020-1ADCEDC9FE70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58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EF0721-CA3D-459E-A482-16E429F935C5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58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1476F3-E549-4E45-A7DF-5621FBDB7D7B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58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3C1C39-CE7A-40ED-A80D-C1E130D55D3C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58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FE27E7-CD90-44B4-998F-BE075B7070AA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58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0237D6-3478-44C9-AA32-E098522F3C4B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58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E1ACD0-A777-4D7D-AFB9-411D241C723C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58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9D2D02-CCF7-40C2-84AA-209C4C62BF26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58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5FAA50-4993-454C-9831-069E7809E301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58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4F1731-DBD1-48DD-A592-74BC2F609EF9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58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0713E7-CB6B-45F9-893F-384D8FCBCB27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58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8845D0-AEF9-47D8-9006-C746268B021D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58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96021A-DF5F-4DFB-B5A7-E1D3047CB75B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58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105B6D-F5BB-4CD1-8054-477031B0F92B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58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4A0DA3-A087-4062-99A5-10CB66FEEB13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59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1EE44B-25CE-4EAA-AB54-18E6B279C8C9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59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01FBE5-CAF2-454C-A0D8-C9BF497E23CE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59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AB5599-1F32-432D-BA60-47A571D539FA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59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5F8EFB-CD0F-45DC-869F-9E37CDC69EBE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59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CAA319-C42F-49F1-9746-3842F8463A3F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59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3865CD-8542-44DF-9ADC-DB62DE0947D1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59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0B41F0-8818-4231-8F18-9970F86BBCAE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59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81EDFE-1EFD-4485-8757-8ED0336E2D1D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59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2E4C21-D0AD-45A6-9490-FEE7FC28A92D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59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AEB9C1-EA88-4EC8-8394-7E678AC09B42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59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417CE1-B560-4CA0-B27C-96B30A98D254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59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30DB80-A55E-4EAD-B19C-BC2343DBA7DA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59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1FA59E-F576-43D4-B852-1CFA4C2DA06D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59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EE490E-B369-4183-A0AE-401C50DD66D4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59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32065F-8F24-479D-BB93-65C538E75190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59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96037F-28B8-478D-844B-935B95051D2E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59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4CD435-DA6F-4A40-A523-BAF5775EC097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59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34E7B8-ADC8-4094-9B3B-AD994BB52400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59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CA6394-5193-4775-B8AD-6737E70888F8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59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95FCAF-39F0-41B3-8F56-578A302AA1B1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59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EFDACD-AF85-4455-AACD-642C466AA02E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59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2D204B-DEB5-4E05-9132-AEF30C2DE892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59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8E5D91-CFEC-4EC2-A5C2-324B1212AF01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59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4F45DD-458E-4961-AE0E-32B60CFFFE19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59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51F507-F587-439D-B5A1-439517FD5167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9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99CA9E-FA2B-469B-AE74-68E4FDC00BE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9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C8C881-0B78-42C9-AA83-D519A3C55A6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9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E0485D-EC57-4E13-8151-2798416C541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9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D1E6DA-9569-43F2-95E2-CCE234D9EAD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9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462F65-92BD-4232-BA67-B070CB2861D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9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27C4D9-2AE8-44AC-ABF2-475EA45F176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9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2D6E09-9442-4E42-A92A-C61109C4256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9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C103B3-5A6F-4C75-9914-D46E1B95105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9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C172EE-5528-42CD-ACAE-8A8562C2932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9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E0DE31-5E32-4D06-A6A6-283A2BEB586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9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D56256-BEF7-4BC2-AE96-AE1D63E54A6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9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C3D97A-E5FB-4A6E-80E1-DC0E396CF9F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9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643646-2B0A-4EFA-A7EC-97C481092F2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9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AE1ECF-636D-4CCA-9C89-A58DC783C39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9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4EBF13-A548-43D7-967C-5F87F76ACA6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9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33FEFA-D2B3-41E0-A62E-85C8E44EA3A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9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C2F87C-FA9B-4DB2-97B4-1BDDFA2076D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9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038DF8-40B1-4916-8FD0-E52B6E88044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9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E08514-4BB3-4EE5-A65A-300C68898FE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9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402609-2D92-4A1C-B006-D1FFBE788C9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9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311059-0E50-42DC-B99B-F5373AF73EF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9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8DE0C2-4054-4003-959A-A12007601AD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9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08771D-02D6-49DB-B9BF-C2933F6CAF9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9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760ABA-BF61-44B2-A242-779F22131BF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9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6D79CB-524B-4701-8B6B-4B8FB46B086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9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AF0C4C-8B83-4D5C-8843-28B60368EE0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9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90429E-6C37-4FDF-A08A-6C6AC421367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9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64DFDF-60B1-41FF-8C36-3742E010A91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9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837A8B-0130-47EA-B8C9-C8156437A7B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9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61CA34-E2F2-4F9F-884B-C816761E57E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9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B6F3BC-0830-4473-B5A9-9391DDB1665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9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420EDD-7F65-47E5-B024-0F81799444E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9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8AD56F-1CB1-4F39-BDA5-F3D6A3F3292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9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D94A89-6B48-4867-BF19-827EF402B16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9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7FF129-7041-4A22-93D9-8A8041145A6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9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DBC9DE-6F12-448E-9965-82A177E06C0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9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A57F56-0280-428C-A022-AED72038DC9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9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AF4E7E-549C-4892-A341-DEDCCD5F55F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9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795A03-7300-4435-9555-76C06627A4F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9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F08096-96F2-41BA-BD7A-7BADABCC599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9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2515AB-BB77-4507-A7A5-FE9317B7DC2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9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BFE8E9-F5C6-4F23-B382-54976BCA4D1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9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A219D1-8AA6-48F2-A4BF-0DB13F60DAC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9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EA0505-68C9-44C4-A461-50F84C57575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9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80D950-5748-458F-9555-4BAE4943A37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9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9153E8-2558-4202-BF9D-05AE39507D1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9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D1CC42-0EB7-4ADA-82E0-4AE60B8A08F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9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5BA4CC-1356-452A-8578-B8CC7034A0C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9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751676-1523-45D0-B866-90636D14E03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9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7BF72B-2690-4CA4-94C7-DF6A7765739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9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5C3F9C-FC6F-4806-8CB7-44A35C2A1B5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9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550F75-832C-4ADA-BB61-6CCE04F27FE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9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CA2D22-7EBB-4870-866D-411BD6DE527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9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8F1EFF-0126-448A-A37D-25FF8FA1964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9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E2637C-283E-465C-BADB-9803DB19245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9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9201D0-F642-40BB-8703-F5274374A7C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9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B6D784-38DF-4753-93A5-7E9EAAF98C6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9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AF808A-0F25-4001-9EF5-B4DEA09351B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9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C41824-817E-45EE-84F6-02494FB022E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9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286A48-741C-4EDB-BC83-DD3E7A63B35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9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DCC124-305F-47FB-8458-59EEC115234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9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9A9828-AD7D-4793-AC47-71E1DC4B21E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9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3B20F9-1FA5-4800-9E7F-21622685706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9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35AF46-56AE-45F6-9448-87EF142AF04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9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84511E-099E-4EF1-BF73-CBF9DFEA366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9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A17D39-3019-4D65-A1A8-0915EFC96DC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9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DC17F9-B65C-4AD2-9711-18CB5D7F6AB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9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438944-3942-45C1-9785-C61B5C046CF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9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122F83-85B8-4217-B26C-C0A238FD295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9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E48606-E398-4819-94CF-8DA8691C062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9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609AE0-9BB2-424E-BAAF-9A950EEB402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9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2133E6-199B-47D0-98CF-B71DB6A8947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9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1D7A70-125F-46B9-B3E1-8F0CFD28B29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9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08FCC8-F7C6-4A81-BDC7-0EDCB3C829E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59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562E30-F818-44D0-B136-8E74B27FF31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60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6FE610-2006-408F-9C34-D6DB42B5F0C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60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71B106-06CD-4A3C-9CEA-E4B4E0D0BBE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60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20AA53-0C6B-4060-B9FF-E1557D922AA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60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CD861D-3CDE-46B0-B014-302A194982A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60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E2F6E7-0947-4481-AAA9-354DCB166EF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60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61D51A-AB0D-4152-80C2-7359FDB8A24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60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70F45C-1236-499D-87AD-E1632A16B9A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60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4745AB-E21B-4AAA-8BAD-50783C52C3E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60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EBD89F-C8F7-4A3F-BBA9-F4024E89E25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60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25D7A1-EC55-4D47-9B63-7A7506023AF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60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FE0CF9-C892-4BB8-9278-40047EBB33A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60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E8F435-5390-4AA6-9452-AEE1F505268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60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D07029-8EAA-44EE-BC17-60A05815ACA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60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92EF9B-5B26-47AE-BAC3-3EA2C73D043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60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F6D1E4-5E7E-4107-8CAF-3E7BF8B8F15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60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D2E120-0A20-4F2F-B7E0-9569A4AD0A2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60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717503-2DEA-4F70-815F-3A6790C2414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60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668EDC-1EE1-4CAA-99F4-25D7B9EB318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60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7F196C-BCAA-4AC8-9546-59BDC027954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60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0AC40A-4433-4274-8929-C42124B4798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60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196EAD-1933-47A2-85DF-4EC69A5FD97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60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932952-7516-4120-8346-14B51600D7E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6</xdr:row>
      <xdr:rowOff>0</xdr:rowOff>
    </xdr:from>
    <xdr:ext cx="304800" cy="304800"/>
    <xdr:sp macro="" textlink="">
      <xdr:nvSpPr>
        <xdr:cNvPr id="60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8BC3A2-5EA7-4441-87FB-563489C924E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1276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60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7E3DA5-7273-4FC0-8C46-654F6981E7F2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60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B76670-8106-4A64-B839-AA53DCCE4029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60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36C3A0-7C7B-40EA-B6FA-8A13455582B0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60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DA844F-8821-4D7A-BBB6-8E95DBDCFB6E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60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D5C23E-A5E3-474D-B411-C8EEAA504625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60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C1AB02-30F2-48CE-A6F5-BB2B39B30D49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60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531D14-AD77-476E-9F89-C83FA80A04F1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60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CCF1DF-5630-449A-B932-BAB6C5C1FDED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60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9EF97C-BF50-467D-8BF0-588CCF090601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60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BDBC9B-3D42-44AA-B0D7-FF4F316CE5BF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60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5B3A3C-D764-4DF6-9B51-E86DF2DAF8D2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60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892008-4163-483B-A119-37C84B47B18C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60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627B9D-6550-4E36-BECF-E9255CEF4532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60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56D19F-F897-42A2-84F5-789E6A29839B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60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F08B61-A92E-4167-9925-697685728760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60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83A99E-C69F-48CD-8538-62441A7140BD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60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776151-94D9-4882-8E14-AFE6D0E0B6F3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60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F7EBC4-7DAF-45C5-AEC4-CD33A0665CEB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60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C140A8-5D8B-47A1-B407-C6BD55CD5B10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60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D265DA-8C79-4C66-9C69-59D7CEEF29B1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60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A7321E-8545-46B5-BE83-DB7FD295145F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60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DBBC01-B92D-4CC2-9AC1-93CFF2CA3F81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20</xdr:row>
      <xdr:rowOff>0</xdr:rowOff>
    </xdr:from>
    <xdr:ext cx="304800" cy="304800"/>
    <xdr:sp macro="" textlink="">
      <xdr:nvSpPr>
        <xdr:cNvPr id="60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77996D-57DE-4445-9656-408F35712F65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395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60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340548-315B-4D68-BF9E-68593C0784DD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60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DD67AF-18D9-4A51-B86D-550663847F2C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60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7992CC-2743-4858-8D9B-8CA29EE7386F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60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DEA1DB-C1D2-468F-A8A4-23E06D12799D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60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E21011-2EB1-4BBF-A38A-278451A5023B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60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D8C546-753A-4B24-9A6A-6CD90BFF83AE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60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C086CA-E314-4657-8B0F-2BAE66D7A4DE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60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B2DBEF-B744-4078-9DAD-981FAE80C344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60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521E53-50D0-46B9-85B4-6862E98665E3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60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97BB8E-43DC-468C-A52D-87C93F9B3C51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60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75DE62-51A9-4FBE-8531-D657BA81FF17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60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BB200A-9752-4670-A0EF-83164E5671D2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60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B90448-72D9-432B-A069-3982D78E17EA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60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E1D84A-00F0-4D03-ACA6-5B617D2F4B94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60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E42481-7B0F-414B-BA1F-FC425999C0C4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60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198847-0DEA-4EF5-87C4-15BCE48B9BE3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60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F34171-50E4-4524-97CB-2D6CA4CD1AFC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60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560ACF-D727-4215-ABD0-85E19C7D1256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60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9C8A41-724D-43E8-BF1D-8685AA947BA6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60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3CD82D-AA74-4272-B61A-23B698889914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60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E54D65-3F93-4039-B754-027DFBCF2E3B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60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FC4F71-A6B1-4376-9757-9AAC11C39906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60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122CFE-0EFE-4824-B672-C21E9CDAD413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60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1B6BEB-21DB-44C0-BB64-A02DC57BEBA3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60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32E6BA-3355-40DE-A883-E98BA2176D13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60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FDA94A-6027-492E-ABE7-600C559432DC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60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AD98D6-BE78-4D30-83A6-4A9303B23263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35</xdr:col>
      <xdr:colOff>0</xdr:colOff>
      <xdr:row>28</xdr:row>
      <xdr:rowOff>0</xdr:rowOff>
    </xdr:from>
    <xdr:ext cx="304800" cy="304800"/>
    <xdr:sp macro="" textlink="">
      <xdr:nvSpPr>
        <xdr:cNvPr id="60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33F857-EA4F-4C72-866B-FAD9F8F1421C}"/>
            </a:ext>
          </a:extLst>
        </xdr:cNvPr>
        <xdr:cNvSpPr>
          <a:spLocks noChangeAspect="1" noChangeArrowheads="1"/>
        </xdr:cNvSpPr>
      </xdr:nvSpPr>
      <xdr:spPr bwMode="auto">
        <a:xfrm>
          <a:off x="17449800" y="547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0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E4C841-90D9-4426-ADDA-F9BBE967716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0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C69897-0BE4-497E-9C41-F16EA344333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0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04ECC6-D010-419D-A05B-F94B46DE98D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0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81489D-63EF-457C-8CB3-7D2585F9805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0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B65617-E7A6-48B5-9D5E-3791FA73A79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0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765C9A-CF8B-4819-A6F3-C490B72EE99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0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C786C3-7784-4F1E-BC9E-8E4C7A621B7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0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6D9961-9258-4056-A93D-439881C1579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0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E1D016-67A2-462D-8ADC-00BEB0CD555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0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DAE568-83DF-4D4F-9238-1C5563E5920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0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7C5FDD-B584-4A91-B6AF-AC293743FC4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0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69B9FA-B66E-450A-8C17-EB73629461B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0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EC5820-E8B6-41E3-9BFF-0D839DBCD88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0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3CB55E-57C1-4CF4-B13D-323BA427122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0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B1AA0B-17CA-411A-A340-68D194591F7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0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756A8B-6C1E-475D-9613-07455E4D533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0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914BC0-3DEC-4D6A-A0D3-99D45A7584D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0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B9DE0D-2DB9-4492-83CD-04E4410B822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0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1187DC-AB62-4240-B345-709BC1D22E7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0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DA1B23-CF9A-48F1-A4A0-3AED90CF11A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0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BC534E-AF9E-4A9F-9E0E-6A295D68CBC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0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F9B855-13F6-4010-BB07-0B8D8014DF9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0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14A94E-CF3C-4328-B87C-1916DF5F329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0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0743FF-E506-4B6E-84EA-C7952E230EA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0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C657A6-06EC-4B5C-98B3-ADCBAC490BB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0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A538D8-DD70-4162-9543-077ABA23445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84E399-9E20-47C5-8991-9990AE3B245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797677-F16C-44F6-B907-F51E9AF00EE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A5B6CA-5699-4DCC-ABE6-15F8D3A2915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FA5E3A-C35D-4E66-B76B-4E77E24FADF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B95433-EEF9-495F-B508-B30ADBF6676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3D812C-2044-46F9-B678-95C0E22183B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2F48E9-666D-48AF-BF7A-C1D1366D475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755A81-CFA6-480C-96DA-6A997D934C7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9C34F6-113B-42A0-BB3B-48318A22EA3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9D9EF1-295E-4687-BB0C-DAF66FA309E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1FB430-1DE9-43D0-85E3-CED2A8F8AC5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838A44-BB6D-4F6B-B6CB-A1A161A60E3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C66D61-628B-43BF-8FEC-3659BD51FF5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8C6657-6007-48BA-90E4-30C78158242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842807-BAE9-4550-A47C-3E15E92647A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C6D219-437F-4182-B1C7-26746EDC2EC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4ECF2B-E2C9-4180-B946-FD46EF2EF12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4AB31E-7314-44F5-A119-C0DAFBDFFD3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B4F3BC-BCD7-47CE-AB01-71CA5E91F57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8BA841-1A85-4623-B456-36517FB4C4D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6FAC1B-0047-4E68-A220-D7E590EB7DC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DD4302-7479-489D-97C1-0C4F45C2BB6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B8F5E5-C74F-45A1-B640-E50CF085CAC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8666E4-B384-484E-873A-2199CEC6003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A9869E-3945-42A4-8AAE-A5DA3C56D4D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EE6A51-765D-4B90-882C-287853ECCB7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DD2772-5E37-45CE-BBC8-134CC3E0FF9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BC3F4E-AFA2-49DE-AF9C-77BDBE657B7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3FDBCD-2EB3-41B7-9A5F-AB10EDAE51F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A182DF-A6AA-46E7-867B-2EA4D9D5083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A47463-A8FF-4EAE-AE48-731CCB8E149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0B1E7D-3DAC-4CA0-A566-711F2A90A91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FC107A-09F1-4CA1-BE00-FFFA473293A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24649D-98E3-4A57-8BC6-1AA4F6B7368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0FCC48-644F-4F7D-844C-1FDCDD8C222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B17CDE-FD7F-4AA8-9C28-F6B9154D1CD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C20C0B-1A7B-4CB2-BD2C-25E273C5FFF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632D28-C18A-4BE0-93F8-7CE3D434CDB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89308D-78C2-4A9A-8831-AE463E30F1C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0DEA85-A587-40BD-A26D-9B52E550733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4B2583-3DB9-43F3-9B65-4F95CA174F6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ECEDE9-5B91-4531-B582-667011EF8E3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A3067D-C9CE-4240-83C6-C91481C0F35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27A3D9-AE42-4F9E-9886-07E977C6807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3D2AC3-3C1F-4469-A156-EB193BBE0B6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86CA49-F523-4423-866B-0036E3CA109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D4FEF0-12A7-42D7-8162-32108E06F7D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D60887-A878-4A36-9D2D-8D4B0C0BA1F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82BC6A-4CBF-4D51-84A2-62C39670AFD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0BBC86-39A1-4EE5-82BE-00EEE3F29B6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66A90B-9947-47BB-BE7A-AB2C2683C1E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0C0296-B4E4-4A39-825F-59C378960B1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475092-6757-47BA-ACC0-4257463D7F8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BEE171-516D-4432-B3D2-69608591C87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331477-9AC3-42F6-82BC-74081F5B894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497198-DCA5-4D05-A098-6D704A222A5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1AF1E7-19AE-428A-A96A-8498A6CA912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A697B1-630E-4F6E-8D34-94B455877FA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B782C7-F99B-464D-BD19-83DFD522158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BD5619-9D50-4126-B054-4F5A2B6499E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FD94B2-C45F-49A8-AC0D-251916DA4C6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2F2C22-1B55-4933-AAA3-3ABD1A0D04B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657A5B-40CC-473D-9F48-012BCA0AF2C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549CA6-6C3E-4302-AE77-DFF0F5C70CC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901130-8BD1-44BE-B6E4-694857F14EC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D62816-F199-4A3E-A79B-58A7ACE9EB2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A71C20-52BB-471A-A4CB-33965632509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41FC93-B26A-4D1F-8D2D-2C44FA4324B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076010-14C1-4910-BC75-0E73A4A4FDF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9163C6-F541-477C-92A0-57AB13005F7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C74F26-F234-4EF8-BB74-40D5073C0C1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4DEAF2-79A5-4F47-978E-21CFE880D18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B35728-6231-4E61-BD1A-E81326E214F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D961FE-12BB-4479-99AD-BD90804E7C0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F2FCE3-D84D-4432-8688-51A5C2A5BEE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A5B06A-75A3-4A09-B316-1E3C8FBA8CA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EB2C1D-48D9-4B64-93B8-C2C0E3E4D44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4CB728-F63C-426B-B455-69BDAFBF600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0932D4-5532-47BD-A8C7-D29C2A4EE5B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18906D-1240-417F-A72B-E0573F1E93B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A17846-1145-4259-9635-5833041FB56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36CA3A-2CF4-4622-8764-293EBE9B031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D55D3A-9187-4164-B43E-A09506DD6E2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2AECBC-F193-44A8-9E56-C47B8419A5F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38D6BB-DC27-4246-9E09-F6F4AE01692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657614-1B1A-4E3D-9BAA-79BED8CF27F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D84BDA-36B4-45D6-8469-20A6069012F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CE2FC3-5B57-4B01-AB7E-FDC2FFD8921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3069AA-7BB3-4EAF-B738-F438468A917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8B5C47-E95D-45D1-AED7-EB71495B573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39880B-3216-48B6-9736-E917C2BE64C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3985D3-E175-4325-9A94-4EA11AC3FD1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E54877-EAA8-4CCE-82FD-E06B07860C3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EB8A89-B10E-48A5-BBCF-96FCA5C3348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8A307F-C6F1-47F1-9C9C-D8C9FB301D0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DF3B13-E9DC-403A-AA6E-8288156A487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914B4C-9CA2-4002-9ADC-37B21BAAEED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F7616F-594A-458A-8661-AEA83B5ACDA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93C1E5-66DE-4EBF-A019-DADFB95635B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1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3BF748-A7EA-48EF-916A-E0F751048DB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03BB71-121E-4C7A-872D-0CB6C9D1A3E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06E61B-0CF1-43BC-B54E-15E9CB80CA6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8DB175-5D04-47E8-904E-9DBAD57974A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5B3888-9B88-431D-89D1-7175242EA22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226357-72C0-4D7D-AB99-31354ABBEE7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6D2AFE-D79F-4C2E-932F-9C81B7AAA04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A2BE4C-26DF-4BE6-B231-959EAE2F20E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C0FC53-34AF-46E1-A541-9C576DBC5AB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AFB5AA-D736-4649-A25C-ECBA90886E1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CDC58E-4A49-4702-B97D-FA4291873B0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3A3EFD-BE02-4A7A-9DA0-4389A3EAB8A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CB8D0B-7403-466E-8672-1FE7A29AB70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8B9E5B-EF04-4BBF-B0FF-11521B17B51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780F9B-7A4E-4E84-ACFB-1D5A444C363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4FF735-2905-4514-A501-DD94F121C87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A5D434-4C6E-400C-B6D5-6D69DA89DFA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6D0299-CBA0-4986-9A08-FFDB7482449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4DC78F-71F6-472A-A8D5-CE4E13C0F15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E175A5-8354-4BD7-BFB8-C2DBF04AE72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6A9407-D2D0-4EE7-9260-D85361D9673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DD21CB-3270-49D7-8709-60CF28B5739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49DD47-7F40-435B-B716-527E202E6BC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7BCFB1-D5CB-40EA-8BBD-B2AC402D2E9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40107E-FFA7-4954-8E87-BE425E28007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53621D-843E-40D7-80F9-D16F2D1891B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C23418-4805-4FD9-9B6A-899F46B0A09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C4B9B0-14AA-40C4-8AFB-23DFCB9A9B3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BADB72-D040-4E49-868D-15AFF162B5B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A733BA-6085-4949-A4B6-1287E3082A1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F83439-33F4-4B34-812D-645D3641840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C7E2F4-9C47-4E99-8439-26E14D1D3A3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27A7AD-11FD-4814-938D-DDEED767ED3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096867-FB81-45BA-80C6-227E8678029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52A002-4729-429A-9F5A-ADFE20151A9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3B1162-BDD4-4D6A-ADB8-CD25DAE1C50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38F0D1-98DF-452B-BB94-2CEC76FE0F1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B210BD-7AC0-4A77-9FFC-A881BD14E4B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F36FAB-CA88-4BDF-BBE2-139E9ED2DF3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5B3C28-9C11-404F-B7E0-0C63CAF686B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87F9C3-852E-4D67-8968-95184377920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B67B64-CB32-4A00-B888-3E53A1AAE16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4D7555-2A7A-4139-9476-C03FDCA4E78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DBC37F-133C-45A3-A722-C493A66E88B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8474F7-6D07-4B5A-A3A7-AF560493D32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2CB333-1A83-4BB5-AB1F-2330465EE3C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0C83D8-EAB2-417C-8ABF-3E698341EF2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034762-47DB-4990-9885-AE0B08E057F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4B3563-0D7D-435D-AA48-B6B392E5D93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CBD447-5180-4908-9E76-D643C87B175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3737A1-9F07-42EE-89E0-03FE2B3355E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165605-74B6-447B-8869-07619BA4112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B208B9-8388-4DAE-B4AA-5F31B6C4C5E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2BC52A-C45E-4EDA-A6D0-1EAFDB4CBF2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A0ADEB-B3A9-44E9-ACC9-2085B583B78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4B8CE2-3C90-4D20-B502-A81E4C4AEF9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95409D-FC82-45A3-B329-FD66C7AF2F6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A21BCF-F8EE-418E-9AEA-E529D2F966C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03CD77-FA8F-4536-AE3F-F96562FAF2C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F05C5B-9132-4D30-9297-C17004693B1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5A9B5E-12B5-4BC8-AEB3-8C67814EC3A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12C460-AF72-4545-B743-410EEE1C87A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0280A9-C4FF-449A-AE3B-6C6B9672875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1007CA-4FF5-4940-BFB8-1914321665A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A377E5-5CB2-41BC-A9BA-66297E61DBE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0818E8-7A03-4D88-B64B-F3A2BF17EE8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9644C1-4163-430F-A014-341FC6C45AF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9DC8C7-BC6B-49D1-B842-5E5D81959A0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ED2CF0-EDFC-4FDD-8A30-BAE33BB83A5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8B3966-2E88-4981-8C5B-70C8A66F91D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9CBBD7-7488-4E22-9673-9AA7E9915D3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E7B9C5-769F-4294-813C-D3485BE2D3A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BD3386-8B91-4435-8D0E-FC3C32F6102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25C572-6D5E-439E-A6EA-4D4043C195F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B43881-89A5-4E95-AF14-EC35A706055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AE9DE3-B726-4620-8E24-231650BE6D5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BA1298-D65F-4A2D-96A6-8BF93C1F81D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48CF83-AF0A-4990-BAC0-FA4E3605BA6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DEE2D0-7FF9-473D-A346-ABAD158F824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7B3960-B0A7-4C4E-A5A7-A8021E790DB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69B9AD-6744-4E9B-B92D-D2DA76A910E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BAF79B-4CA8-454D-B3F9-C6D06E33798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12979A-970E-4538-8B61-63F2CA8B18D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B50C18-331C-4799-8DDF-EA36F79B438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29F05E-4AAE-4242-A39F-D06BE32BBDB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D1D80A-AA86-4DF5-8012-EC15F1FEE38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6AC2A3-27A7-46AB-A251-A56256A6F78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C23D9F-831A-4D6C-BBF4-FCDA998A1EE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B7C62B-35FA-406F-8D75-456A3D8CA4B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46ED5C-11ED-413A-9E72-155A9ADDEE2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D83242-EE7F-4B94-A7E0-2452E1B68FA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BC5492-1BC2-4785-ACBC-608DDB33C68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EF105C-A75D-4975-A09C-4572BC79259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3B5547-38F5-4231-AD3F-16AD4149443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E2D55A-35AB-4B76-ADCE-A9C0F08FCB1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F82EEC-C939-41FD-97F7-56321FA17C0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C30EF0-D68A-42AF-95C6-4B9F584E851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BAA35D-F558-4C2C-ADE8-62634C572BA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EF8F99-3A79-456B-81A9-375F69A181A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B58198-9DBA-40CE-8E9A-07FDFE759CB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2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0AD431-2FB2-4AE2-851E-442F37A6CF7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3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36F409-36FF-432F-87D7-29D4583491E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3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BFEF6A-35E6-4B03-9293-234D1D63817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3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86759F-A27E-4CA1-91C4-D2CAE796ADF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3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43972C-38D5-48E8-AB7D-99093C358D4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3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20BD9F-FE69-4EC5-AA44-76F1129BC63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3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33AE94-3076-4542-84AE-2CE4407E98A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3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64B99F-0189-4A2D-9DE8-9D8081B51D6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3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18F0EC-3FDD-47A1-B233-9E88EC95836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3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43DE18-CB8A-41C3-9044-37FAF96B262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3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619677-1EC0-424F-979E-BDF082EE00B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3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F46682-5C5B-4F6A-BA89-0CC227B198F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3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88E689-CD57-4959-8A0E-F40B22284B2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3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FCE9D2-3AC6-4349-9662-9EDE7938C31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3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16ABDB-BEEC-4B58-9C23-5813138734D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3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78DF1E-0876-4705-A2CF-167EC343896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3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0F63F3-16C8-4E3D-8EB2-A99CBCB4D65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3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9D28F5-CD53-4BF1-A3FF-A27E9C56423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3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B4695D-B2B4-4FD4-9874-9F9A9F3F585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3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66E6D1-7B7A-4EA1-9D3E-8B113D1F703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3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D393B7-AC9B-4640-8206-AAA15A4F88E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3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46372B-005E-4FB4-8ED7-AE033858C46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3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D548BB-9FDA-4DDA-B35F-8BA1CF32247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3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8AFF07-C0E0-4652-BCE6-E64A4BE95DF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3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CE789E-BA2C-4302-A4C3-86AAAFC2DE9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3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547022-E1D8-4213-9B71-06731024498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3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7991AE-45CA-4355-A797-57413484B7E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3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BA09D1-392B-4B41-A0FD-477FA2D3745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3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3A0972-3C79-4EF0-9C52-F4B0FF4A1EE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3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260B56-5045-48B6-A570-0FBBEDEFDAE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3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6EEBE3-7EC3-47D4-91A5-B84655D1AFF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3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6787B4-EE45-461F-A671-1E969204A87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3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48C141-6D6D-4D15-B053-7113530AF37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3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299F2B-B540-4443-AF14-F6A59C348C4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3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129514-09ED-4B2F-9C00-4A0A5064892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3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1A22AE-CC97-4672-A83C-8D2C0D5F02E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3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FAB2C8-3365-4D23-9F28-008471C43E4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3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6D4F1D-6AB9-4DDB-ADF4-0A0A00CBF0F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3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A2A094-41B0-4108-BCAB-CCB30B29970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3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C78290-A883-4E6C-9AB6-552357AE050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3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6D2F3C-E2E1-4209-966E-76EA6D2EBC6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3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E399B3-31C0-479A-A549-FF4BD822BDE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3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A0E152-5248-46F7-9851-947806C03A8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3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34406F-A549-403D-A1AB-7E834056375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3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AF82BF-0130-4745-B1DE-B45A7995817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3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C655A5-14FD-4642-B07D-F3FD21CE77A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3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EED638-3E90-4577-AF5C-87A05F65325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3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083852-AF63-422F-A893-F1AE6E87013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3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04342C-A166-48F3-A6A1-37C54EAC2ED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3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126349-B347-40F6-9F2F-3F33A382D80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3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25AF64-0A64-4D56-BF4E-9FD00B40DD7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3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685958-C185-400D-BB17-9C9C8354129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3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D85332-EDF6-4ACE-9AEC-26AA086BCD4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3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164C56-8E5E-41BF-A998-319BF235DAA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3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F1648A-1392-49B9-BE6F-95904E3E5AC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3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D061C2-9F95-48B9-A50B-13C36D94CDB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3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B591E2-871C-465A-B4C9-E34B2E545C2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3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A4590C-43E5-4FCD-8E03-F2B60434E02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3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093783-6F40-4E71-9310-EC986365D00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3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9B2473-226C-45C2-8FFE-01A572C7CDB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3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0FD3EC-A29C-422F-B06B-A59780C4099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3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D03E93-25B2-43EA-98FC-9CBC6EF51EA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3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073218-7642-441B-AAB8-119AE197CFB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3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6F9297-6429-4FE3-A337-0C78D835956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3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0E5A22-73DB-4EE3-9A27-000837F0CFC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3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79F82F-E057-4772-BFE7-7D6D2AD96FE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3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3DCD5C-51DC-4738-B06F-EFD220E88C7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3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53CA5C-6060-4FE3-ABAB-FF0599692DB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105</xdr:row>
      <xdr:rowOff>0</xdr:rowOff>
    </xdr:from>
    <xdr:ext cx="304800" cy="304800"/>
    <xdr:sp macro="" textlink="">
      <xdr:nvSpPr>
        <xdr:cNvPr id="63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E911C8-DAC6-4948-9068-F239DE26B93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154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3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7A06BD-58DB-47DA-B5FC-5C9499377F2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3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C9D71A-C0E9-40D9-AC19-8C3491A5E6C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3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A615B5-C079-4C23-8F3E-12D5AFA9BFB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3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70E864-C351-44BF-92B0-65CA776922A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3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D74EA7-9F3B-420C-84F6-D8F57B94081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3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94BE9B-CC6A-4D88-A0F6-BD9B2DA7C38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3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019945-C13E-4491-BB43-6468E4C2040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3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FCC196-43CD-4F60-9D7D-E706B266D0B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3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4B60F8-797F-4319-A4D0-8CFF74B7E16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3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7E7FD1-A4AF-4BD3-ABF7-7365FE06F66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3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851863-0DCB-4FA5-B4A5-884642436A1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3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405D8C-7AA3-4587-9FC9-FFD60639341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3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A7D4F8-8DAE-46FB-9A6D-34AB25A07A7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3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74C8EF-A063-4894-93D6-EFD08D68BDF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3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CACDFF-2ADA-4023-A42A-1E2C3C80EA8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3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D4D2A8-D05E-4C90-9E5E-76ED381242B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3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93C0BB-1FF7-4255-A546-8FD17F08E18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3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87CA16-C023-4673-90A7-96F5C00BA29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3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DDB273-0207-4227-9C35-B42BAFC734C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3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798496-2732-403E-873B-1A4A6A3E526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3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4C00A9-B704-47CF-B90F-3E3D4BD7D9D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3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945E36-293F-4B82-BF30-B2BA8008E88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3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E949A1-373F-4B19-BB1E-26FA927C9AE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3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34C234-229E-4FBB-842A-6F136D04508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3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68E92C-950C-48F3-B5BA-C018E42D3E8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3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195DE3-1A22-4238-8996-0E5CCAA5801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3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4A6B61-8134-48D9-97C5-1F632ACC63B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3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0EB437-5E63-4714-8686-1923D0EDCAF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3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1842E9-3F4C-4D69-BA24-76B71FF63A3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3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EF09B7-85B6-42F1-8810-F8D1BFA72F3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3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1623E6-F596-4A25-B7D8-0E9D9CA65D6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3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ADE70C-DE9C-42C1-BC7F-477515EB8E7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4E5CC7-95E2-4387-8C67-0552DDA9B0E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A56291-4457-4099-85C6-B81E8073AB9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99E141-1005-4691-B907-B4F687240F8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2CE395-AF19-42BE-BCDF-EBAABFE79C3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AC2DC4-56FA-4FC5-A099-7AF7CC95230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A4EF74-CA18-4F2B-B5F7-251DC949A24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987BDF-474A-494F-872C-22B1921C27C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CD1C97-B292-4D4E-823D-8F79C3B6A24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10B922-057D-4718-88B7-29228D9E92B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A26BBE-5202-42BC-A889-06228B6779F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41D71C-30EE-427B-9F34-904076015BB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1570B9-5DFE-4D9B-8ED8-EAF205E76A4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D16ADE-56CC-4902-9494-D66D2E4A10F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929114-798F-4C29-AE6E-A93ABF2E931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2BA36A-BBAF-4CEF-B9C5-DA158E6CFFC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110B9E-57F4-4351-9E94-4999C411BBA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AC1B95-BEE8-4716-BA08-DBA0FAD9C1A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EAD275-5C0A-4C75-AE9A-75C9A9C2860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93FBD9-63BB-492B-A5A4-F17BDA10FFE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5D7584-43C8-42D6-B535-3B709DB2995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108692-1E86-4018-A8FA-5C31477C970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ABA083-2D27-4553-9F1A-5CB1B24AB54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CCDC22-1070-4553-99B6-E56F326ED89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3A5A9E-C5F6-4773-980E-7270347D034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EB1AE8-8688-42C2-A36F-2D18B784D8F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1B914D-9E5B-48F4-A6B7-E7B61D4D0B4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5C7B6A-7835-4F46-89CD-C21679E0A48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89C3F4-1E3C-46DE-B7BE-17F11F44B7E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2380DF-3E06-46B7-B879-75B945EAD67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43DE73-8D16-4175-A768-60215C5DD74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9BAC0F-F1CF-4B06-A0F7-AA83434262B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D185B8-6C9E-4ADA-B2B1-A248CFC9A88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A2D4D5-9007-49DE-B6BF-47B5618D343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CB8394-40AE-4C0A-BA9A-065038ECA67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B534BD-DF6D-4DFA-9015-FAB3C8DCEF0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4DA5CE-3579-4941-8A32-3F500BE8690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F4E258-C8B2-4B0A-9640-9E322C611DC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86ECAC-A2B5-4D76-892B-041BD8F7E8F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6BA83A-C918-4693-BA03-B93236D0763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2A42D3-0DDB-44B4-8884-0E0103783F8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D82188-74DF-40CB-AA35-A27CA9DF322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4E0AEC-51CD-4775-8F1F-AAE81A3C5A1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21C0D9-87B6-4A46-A158-2470BD52FF1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C07E4F-EB75-48E2-B516-F0B821886AE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231483-0ACD-458A-B393-FA8A60A8061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8868BE-3C5F-4996-9385-252F095525B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96DE42-A7AB-4921-8969-6008F1409E0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086FDE-D4C1-4A3D-9FFD-E9AEB59E4AD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F51146-9A13-4E7C-8E4E-378915A3CC9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4DA3EE-FB74-4249-9CD7-8EE2A1295C4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340327-1305-4DC8-826A-6C3CA38ECDC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894260-FE4E-44AF-8DB1-A70AEFB7AA8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C82557-55DB-4D8F-B1EC-D7C3B731FBD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C9977F-3074-458D-9F17-17358C8565F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CD4F7D-E7C4-4DCC-B1E1-96AAE0F4A2B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FEF566-BC99-4E9C-A2F9-56D052E75AB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31E4B9-51C4-4C61-8B60-0A1E2A1D654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C10BDC-A2F4-4924-BC9C-FD905B1C954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AA2A84-54D8-4E84-B6DD-55E5A1991A6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65C3BD-75FB-495F-B88C-CECE80A0C1C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DD3542-7DC4-4A93-A2F5-58331D3323F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140DC1-2C68-467E-8F94-9B759F4856E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6BF1AC-5F41-42F6-B0CA-DAA13CD79A3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75770E-E94E-485A-9298-B9B23B47042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894A0F-30BD-476C-9BFF-5ABA6939046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FE3A72-A55E-4646-AB58-462128DDA75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576C95-F023-4F12-AF9D-C3164076321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EB9CA5-6E96-49FC-8878-77AA65C02A3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613F72-FDDD-4115-B78B-D6E552C33B2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8EBCAE-C2F5-4124-84BA-FE8D0DED038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DB45F2-B6B6-471C-8F78-14201AFDD06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FE1E71-5A86-47D9-A3ED-00D5243467C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FBA751-A8B4-4429-92CF-3AFE649490E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161130-C340-4382-93E4-ABED82C4ED3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9FC545-0B47-43E7-80D2-45E481FCBB4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466499-A71A-474D-AAEC-40EDFE6735A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C90652-D7EB-42D3-B4C4-7567EBD51B0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8CA4C7-30A2-4738-867A-6A472C33792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28A09A-6692-45D0-99B6-60B24CA5E1D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D8C354-50C2-49AF-BA28-F78A38EB6AD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5E57EA-4980-4BB3-ABD7-E09B8A9E087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549502-77AB-41DB-BE8E-8FD71DD18E9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F4BA25-F544-4892-82A7-62171C8FB13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F96A64-51A9-4B89-9187-C8182BEBFB5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463C39-0AE6-4FFA-8509-AE3344D2099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CD5523-F960-475C-BE23-E723F45FB7B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D4A058-97F5-488B-8492-F2F2A5304F8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7C2FBD-BF9D-4EE6-B3A1-7F203FAF98C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392539-18B6-48B1-9B61-12123549C86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51AC69-F99A-41CF-BA17-EBF4D8D147A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58E8D5-57F9-49E9-8EDE-B213B0EF073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0FB021-5279-4091-89BA-8351637EC99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4EFFAC-08F7-4CCE-9955-9A16F79B0E6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21114D-D2F8-4534-840E-EC2C8923D68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23D3E0-F93B-4868-9B1C-FE205747141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CEEEA6-A348-4B4C-B6D6-2D73D4B6610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879FB4-16B3-4115-BC29-DC541B26FEF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4A62FF-3ECA-4C0E-8250-19CE096C669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1418A1-C4E3-42C6-8C5B-830AB4C3332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4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6AD617-FC8F-4E90-A39E-7A90BB030CF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36F025-F449-4FBA-BC11-F004239AB44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922504-96C9-44A2-BBF6-3545ECBB45B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F64C6E-BE18-4A7A-A6BB-4CDA7A842F3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741AE1-B24A-4B3D-A590-A26EDD0F854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9B9F18-4078-4349-A91D-C22AACF8BBD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B9042C-0724-41DD-9F82-FFDA7478E8F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BE2BDC-4D54-4872-A81F-2E7D488175E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DFBD41-6140-4862-8FFC-62C81BDEA59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C76CD1-9004-4560-A106-57C54FCDFD6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E28C62-7D20-455B-BF76-A543A617BAF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3FF0AD-FCC0-4A02-822A-EEC2E9E1CAD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13F322-D29E-4157-9B73-AF1A66FD9BE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452FAF-F068-4CDB-94B5-709A86F74B2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1E873D-0239-49DD-A6C4-6FB23F41D4A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4015C9-4CD6-4F47-98BF-112BBFF5840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0382CF-3E6F-49AD-B049-CE177F658B3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B38518-2E9B-4B25-BDB4-F0AF35D1EB0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B952EF-2AFA-451E-8C29-EBB61D7FE53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B3D51C-338C-4B24-8160-A9835ABCDE1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4E90DE-72E3-41CD-B6F1-59CB9E0B6DC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390478-C538-46FD-828A-95D661ED81C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F65273-1DB6-4D8A-A54B-9C86E91C52D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2F193F-B8EA-4336-B5D4-2C2301A3AC8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3524AE-AD03-45EB-BF63-ED59B60DD42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8EFFA8-E9F6-4B67-9E9E-28790C50982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372B1E-848D-482B-B80B-22AA8642261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7CC165-12D9-4721-ADF0-6E427A0F9DD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800C61-FB57-4B2F-84C0-C6E67BB8610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578EBB-FA22-449D-8D70-4FDC2FFDAB8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C1B73C-B1DE-4A99-A938-3CD3E76A54A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71CAD6-DFD6-4AF7-A43A-3135AEE940A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E14D17-DC38-496E-AE07-0E079E3331D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C2E7BB-9122-44BE-BD23-6B294FDA229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393D16-DEF9-4F5E-BCD0-5EB2AEC2053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9C80FB-A453-46A5-B80B-3AAC4E16CA7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CE1D6F-0FCA-42EE-822B-06BD535D095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E7E85F-B9DB-4C42-A08B-7F3A9A012F1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1E73AA-388E-4CA8-95D1-2708C87DC88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D4A772-987E-41E8-A482-0AB2C079DEB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BD087D-0506-4682-92BB-8E691D7F13B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3ED657-E361-400F-8A5F-549B26A92C9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616060-DC05-4EF2-AE63-27456BB3601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3252AE-1DC7-4084-BC94-8575E902297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DB87B8-4ED2-442B-9BC2-EB70875079F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99429F-CF95-45FE-96BB-638CA4338A1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6DB597-7663-48C5-807F-C378126B42E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AE2042-7C76-439E-8CA3-5A1A51BDF91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DF8965-8EB5-411A-88A1-92B549AC9FE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34F6F0-CB14-4E31-B0A7-F510DF38ADD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736F77-BD46-472F-AB6F-5E0CBBE375E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EB463B-85E7-42E9-BDFD-0F502A306FC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F0CD10-38AF-4657-A541-6C702210AC5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79AC94-F146-4661-8487-23FE2D4C098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6BABF9-5A4C-491A-9E82-BA42B0050B9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ABC78B-138E-4F27-A04C-F5EE3C25EF3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84A38E-FE14-4F51-8A29-84C32E49E9B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0026B3-2D8F-4B02-8962-23E58484F55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84DF81-1602-4816-95C8-EC8B4E5077C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2E3920-C625-4C3A-A272-5B1B6480635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FB864B-5E21-4EFA-A1AE-521A3F60B36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2AD009-569D-4635-83BD-2051BB8299B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E491EC-3D62-4DEC-9577-1647AA30266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28DAF6-3117-468A-BB31-81CB7A7B43D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733C5E-896A-489C-9011-85462F799FA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00CBDA-2CB3-4041-A751-CCB1EBED75B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4DA4B5-B668-4628-B53C-3C6ECB2DAB6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28BEE3-886A-4564-8383-09D5B63780A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01EF4F-A4E2-4114-AFD2-DDB3E1A7EF2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61F72E-056A-43BB-9E25-7DEA61FD917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B777E3-F05C-4A8E-8024-A94A17B3E55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0BC680-03C0-49C5-8BC1-5966F0D738E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2DC459-68AC-4FF5-9BCC-7ED3DF219AD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08E73E-BDBE-461C-B51E-B496540E073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A06FCD-0769-4EEC-8457-A27F74254D6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7CFB7F-E30D-4FE6-AA2A-CEBD1A2898D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ECB6B0-A96A-4217-85DF-F735A87F31F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4140D4-873D-4FD1-8187-089B7DFE802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86E378-6CEC-4D4F-93A1-443399688C4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F01897-AF6B-4926-825B-BCFBCE4C680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567D51-1E0E-4A2A-A2F0-457EBE9DF27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995645-F249-4FB3-8AFB-00C6660B612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729D5A-04A3-4AB1-A561-0272FD52D68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648A41-CDFF-4356-89F8-4727F9040ED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381330-C48E-45B5-BF1D-62F93C951CD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93F885-D922-4F28-AA4A-E411DA3BE1C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DC4EB8-5356-4A66-8DCA-5268D1EAE43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A05A72-E95D-42C7-BF65-4C72EB56B5E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6B7C0B-6B8C-40F2-A7E2-6D3D3681303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6CAD94-BF3B-44F0-A604-97A50BBBBE8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001C84-ADB1-47A9-AA3A-CF09475A7BA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0A4A56-10D7-4091-9BC8-F4FA579A523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5243CC-DB3A-4C5D-8E90-87A3032A426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4F69E8-5377-440C-98BA-407ABD8844C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01D961-E016-4881-BFFD-493055BB29D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F7317F-574F-4A6C-AB21-C150F078F81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7ADB33-5255-4AD8-A65F-4E0B5504E4E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FE97C0-17EF-46E2-B224-E2A4E7F8C98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6E5E39-4B81-412D-B8A2-2B9C075CF4F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3F248A-6260-4445-BEE4-A75F4B3694C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5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F19532-9B07-450D-A8AF-3B3DF02C98D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F25158-DAA4-4FA2-8643-102CA0C9ED4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E5B58E-5B08-4A7F-8132-F9ECE69FB86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178E4F-107F-46CB-902E-D8772A82AFA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8DB4E2-FDB2-4181-B26E-7E0130C6357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A0289C-BCFF-47F4-BE62-6BD388D44AD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8063B4-269E-4EDC-AB89-1292D537E45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E17995-A6AD-4306-AAE8-182E3D21823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9A6306-23AA-4E3D-A97D-C79B0946F63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DC4DD5-6FF4-4E1F-8A55-FBCE65C3E15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013661-A05C-45E8-BB6E-761C1D91A9F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0F74EE-96E7-4094-BCCC-C5DFD8AF89E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44C78D-6507-4E84-8039-F1F75134E04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FAFDFE-7E15-4520-8810-014887DC0AF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F57E1B-E132-4537-AB26-779DE6DD8EB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C82678-AC95-4D3E-A932-FE7D406521E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57EEED-5345-4515-810B-278BD94CD8D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48B8F8-8F78-42CE-A78E-C74DA9673FC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D69E6C-A816-4077-A0AF-A14F83373E2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69A8FA-8EEB-47A1-A766-973B9CC7CF8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64D2FB-63C2-434C-A405-22B1DAFA5B3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983339-57E2-466A-9DCC-37C2F51EE82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A3B34E-E139-405F-8302-A88300B1E3B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BFC526-9C01-4088-8931-FD6182EEBFA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E26BA3-B3AE-4C48-873B-A029EA5E1A0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CC8D0E-2F6C-47C9-A527-23926540131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5D0956-A3DD-4C32-93B4-60EA0BF7746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4B0185-8D9F-4C07-ABE5-F0ADD55A0A0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4B4B43-A0F5-46F2-9703-2FFF585479B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4E5C72-F223-4B38-BF92-BC82BD9CAC5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422AD8-E8DF-46D5-AED3-74C59B65E1F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171ADF-09DE-443D-B161-BACE7B9908C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EBC141-9622-45AD-92B5-F2ED6DEEBD0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D5440F-1BEF-46E3-93B8-DD4969D09EA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DF615F-4BFC-44DA-856C-FD76E0DB386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C604A1-3D7D-49EB-BE18-F4E024C925E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896029-3472-4CD2-AA5C-0AF636E9791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B7FEDC-567E-496C-9A7F-1ED3CEBFD2F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FFE833-CA9D-4D47-9187-B8D43DCA4E8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B46F33-BA04-4BEF-8842-CB4A387DDB5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847D70-974B-4744-A5C7-CE4A92C6D23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C8822B-B38C-4B72-9F11-2B440F67BAB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0D2218-F411-44B2-BF65-CA825053DFF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EF2611-44C1-4F02-B851-0509D65F461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6B6667-B950-43B8-9101-C604AC99E6C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357EFC-82AF-4C1C-9B5F-A1E430B766D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38E2CC-EC22-415F-933E-84C4DAC5487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221B71-19F2-4906-BA2B-1B46E5DAA9B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3546C6-C528-465C-A1C1-0F3D891AAB5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49F03C-8048-4D89-9745-1D5F9AF10E1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311A87-D935-4882-A4B4-B35F9BCC7F8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6C5891-8E31-4286-924F-5F8F13E5599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5F89E1-D58F-4125-ADE4-DCE82E59086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A5FAF1-1F8B-462B-A371-7DBF119345E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C30DD3-9CDE-4ECE-8F3C-4751FF67C55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435398-673F-4732-8873-F5928D15CA8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39C1D4-53A5-4055-8D69-E566341681A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2D8CDF-D71F-48B7-808C-BF34422B67D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DEBB36-5615-4B1D-B9A3-4A7E16588F1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DD998D-6D80-488E-929B-FAE8D6A2141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5109DC-5817-4E4E-BC73-D7394126A75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4989F9-7568-499C-886A-877437BAFF2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5DA891-9236-4C8C-A4E1-C4C952B8ED0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FB61DC-001A-4CDE-BEAD-61757B9405D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EF65F2-CC54-43BE-B825-19712BFBD7F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C64382-B101-4E38-8EB6-C058A43B6C9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ACBBB0-0185-4111-9E5E-73B4C0F41F5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E17CF4-C09D-472E-ABDF-263266F491D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8D762F-CAD5-4FF0-AB30-C9E0814D642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D8E359-C179-40DC-9083-6E2420C4B83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EE8C57-741F-4479-ABB5-A0FFCF0EE84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83230C-03E4-4AA0-B35B-9AEA937141D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547519-8A8E-4717-88B3-CA4AEFD7AFB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55A8D2-48B6-46AC-B0A2-EFF820DB33D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D0322F-904F-4F32-9979-A72AA4681E7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8723B3-ADDA-43A0-9FC0-8296F6642DD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98693C-481E-4183-B4B4-E8FD4F07D36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7287DF-DB99-4FB9-8918-263D21B9E37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A6047D-3630-4426-A953-B89C01D6E52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23AA19-AE44-4928-8CC8-27B3398A0CE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51CB98-6547-48A5-BF1C-85FAD8C589C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983A1A-D0B9-4FFF-8059-DE2ED4BE6F7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43086C-03AB-4B62-99A4-9B459C70570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13B5E8-F85C-48BE-B036-E946E27E0AA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FCB673-904A-48DD-AA23-FB8EFDE7062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5A62ED-E39F-46E3-B0A6-8931AF406AC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CEBDD5-107E-4BFE-BD8B-59AA5AB1AF0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21F68E-3513-44F4-A70F-55DA9679956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E49BC3-E294-4900-93FB-54A41DECF7F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506907-2C44-4D64-B497-5F9F29ECE1A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16DC27-BE04-48BE-8AC9-DF28C4A29C8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C1B0EC-0B70-4FC3-955D-BD21AEAC3CC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291A79-1775-43D9-832E-CD8562AAD83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EFC22E-290D-4C93-BA57-BB8F6994DEE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779BA7-391D-440B-997D-D786313A020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6B6306-8905-423C-A00F-EAE280882BC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F2EA87-E12B-414D-8303-37A5264F02F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719CFF-19E4-4B19-80EA-ADC271EFC60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112187-B242-4ED4-9913-1E3E4550A42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EDB823-0A95-4786-AF49-A563924B953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6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40DAD1-F41E-40E8-9A77-8CC5F6EE930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51A330-99AA-461B-B489-07267FB7824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7CAA78-2F9F-4427-A3DD-5728F141832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E391BC-8A09-4DF8-A390-AD1E4B8B159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3C7AB6-658A-4733-AAAB-5A54E354401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DCB060-9E96-4041-BD7D-DC58D63E5DA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AD8206-63D9-4067-811F-9D48E77AD21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A21C03-BB5B-4BD0-9474-931FD6D5DC7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31F24F-FDF1-44EB-935F-4DF44AE2760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2316B8-6D3B-4C54-9ECB-27D3670CC61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42D0A8-A0EB-4734-9487-932B671437A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DF9003-7649-4F0B-B774-171C3AB5187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27D124-CA35-4777-8E75-A13C2201BAA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DCFB95-13AF-472D-86D1-63B000B0EEA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0052EA-3D04-4E01-B0BD-055B905B560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6DE35F-063B-4FA1-AA9C-106EC57BC8D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71E12E-A2C6-482B-B238-998EFC6B0EE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44CA64-D79A-41F8-A67D-298DDF59DB6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6FECD6-79D6-4817-85E6-352A4426D3E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2F6A53-CE6A-49E7-971E-54CC8F6578E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C2B854-54B4-4041-8627-E16F3842473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5BA914-B6AD-48C4-AE1D-F7114C9F767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113115-DD10-4A0F-A354-37A67AE43C5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580569-2669-424B-AEB2-5B54F87CEF6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66F07A-9280-459A-9347-AE3FFE6DED1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297ACC-1FA2-4DFE-836B-55B84A10535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F0E03C-EB99-4CA6-8738-CB23A1B92A0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E6A830-5A05-4ED4-9C47-9D50DC10462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388C4A-8581-4F30-B5A0-63FA7ECF0D9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EE0BDD-EDBC-49EE-BC8F-460F07171CE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08C3CD-6230-4F80-A0D0-5F039177EED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ECBEBC-612D-4EAB-8ACB-4F13F9260B1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A0C8C6-5A2F-47B0-BAF2-4D1330F574C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2BF4F7-9B6B-49E3-A4A2-7DD90A9D82C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7B1D95-F5B7-459F-9065-31C354A7DED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F3E399-7120-4AFA-95FF-56F1307A4AA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5F63D1-3B67-4236-BC7A-2FC1F46D319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52C37C-645D-40D6-A397-7073F91662F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99E7A3-E41A-4017-BCE9-25B27FFBE98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E37D08-F092-47C2-B091-0EE512CD384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8B7358-B093-4860-8117-DCD8DCFE7FD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516B73-296A-49C9-9971-FBD7B227917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7BFF45-80F4-4C67-9953-D97E3C36C8A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F9695C-FDE8-4B5A-8DA9-394BB0FD7A0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9D5C1B-8FF1-4E19-9325-3C29166B31A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ED6D6E-6240-498A-A4BC-6D4C47C377A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607D80-204F-4005-BACC-3E6644F1B77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711B2D-3560-4CC7-B4C9-E5C68F6C54E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6D9CA8-F01C-4984-96A0-776D9994FC3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955C3A-2548-46DE-8173-3F4DA165DA3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207933-2F33-404C-87B2-FB08D35CEB4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B3502C-C3FD-4F52-A2BA-BEEA0CA5476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8E824E-1B42-4C63-BF0D-414D09A2561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360153-85AF-4B6C-B61D-7EBC13C998E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375A7C-A09F-45DD-BE68-16122E21CBF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30F791-7317-4021-B553-3F61B3B04BC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D3B3AA-8876-49BC-A9CC-013CB4A2C5A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937313-17E4-46A3-82E7-83F59084CCE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F2B48F-DD5D-4301-AAB9-6A065C73540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DEA18D-6514-4AAE-A797-CC207EA7AE1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D8801A-EA0B-4BA9-ADCD-7FCA371877F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EF534B-23C3-41B8-A5A5-F5E018794AA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24BCD8-E5F7-4A4C-B638-C4AD05173EE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2FB398-F41A-48BF-A6C0-D3BF1E9AA18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838CFD-8191-4B29-9019-E8C41F65DA0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465466-8BBF-4A46-9F92-CB7D5E231DD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51BE06-133E-465F-B113-F14B93B1E4B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56F2F2-8CD0-41AA-B4E1-0AD71CA4A49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D0FBE8-5D12-485B-AB50-0B63255F61D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DE44FC-2648-4EC7-9A79-94FDD98AC90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A90FEA-3AF7-4402-ABB6-4DC7228C813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1A6B61-42BC-4BC2-B8A2-1B38742EFBB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B2A1BA-5A6D-4F7A-99A4-E9F96DFA89D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01C20A-2559-4F94-8B82-5BD5EB42A41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2F166C-5D08-4B7F-B0B0-3C675DBB404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4FD432-DFE9-4BA6-BA06-2EEF83F8F17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040C80-693F-4228-9D02-3AA8612E859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D6D3E3-0497-445B-BC26-510A84FC9D0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BE3F01-39FF-4214-BDCB-93B6B51BCA4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B62D29-6527-41D1-8CE7-7D8E5B4BC4B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84947B-D45A-4201-A9DD-14EAEE492A3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CD916C-E74F-43DF-B0CC-A229BAC83D1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FC664E-C919-4313-ABA3-99ACF4C24BB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FDCD57-BCC4-441F-8FFA-466E2C711B9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5D453A-E49E-41EA-B888-954297154A7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57FAD6-0696-4925-A4D2-D03F0B49ED6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7890DE-EE34-428B-BFCE-6CAE991B238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8B7A40-B95F-479B-A7AF-E034B4514E2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4D0A71-FB2A-4528-9BC3-8DBEEB7E1B0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37BAF3-865D-41A1-B14C-73EEAA7249A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6F8DCB-A3AA-4192-89F9-F9EF7EEF65B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06A2A0-CDE1-4276-9426-974F1FB2113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54325D-7C72-4C06-8272-1BB264C9E30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C1C839-8880-4E58-97C4-26CBFB9757A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C05621-E806-4D20-918A-755CA8E8D15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7EB281-7168-4100-9121-152F6CDD3ED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423F18-6740-43A9-B462-AD482AA9538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99A475-88EF-4229-B24F-9099F63FDCB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CFD63B-40EB-4DBC-84B9-396C4AA2344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FF28AC-FF9F-48D1-BB18-A90DC79B49F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7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D567C5-6E34-41ED-8087-17DD17AD8F5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A5356E-CB19-4068-81E0-31CAC7DCAE4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360C75-E830-49F2-AD26-36276815FA8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721923-78AB-4BCD-98E0-6E8E20022A4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292C52-2B73-4132-9357-729EBF4C760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C3C97F-6D28-4EFB-A533-B8800C21B8C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A89330-4352-480D-856E-A88C20A00A4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4CA949-00DB-404E-B755-55DBCB3745A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B4B4D7-8C6B-4350-BFA3-1DC7CDB30E1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FCE2AD-58A4-4C3B-8A81-AD6117F1A32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D9F843-1AAD-423A-B4DA-1C92B44AFCA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D378FB-3B2A-474A-A9C1-E9989C2E58A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4F8FB2-A6FA-4EE2-A453-A7258E0412D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665D75-9E7E-453E-A205-CFA5C032773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CB0275-6100-42F8-8791-BF5D76DC354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A0E638-12E8-42B0-8C4F-1A48FFC8D02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C0D683-125A-4793-9A8B-6B12E04ED95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54E906-48F3-48C6-954E-EAFB001FD3F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1328EA-512B-46BB-9A2B-AD52F5A2AFF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2D16EE-45DA-45A6-8CEB-00988BE09D9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64B037-80B0-4962-A284-3CAA3AC989D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D79AE9-69CA-4511-B417-2C3F0295B27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78630A-0939-4D3B-9C3C-DA6537B105A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CCB6B4-1CF7-4EDE-B25E-DC0F22BE970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72B0CF-B2DC-47A8-A73F-F50DDD4B9E3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5CD750-90DC-4EC8-88FC-3D482B6842E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29A737-E61A-4F9C-8EE4-436736D02F6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9A737A-A1BB-4B39-97EC-D89BA8BDB88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73A26F-683E-4CD0-9BAC-4EB986313D4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507701-A295-4B24-A927-EEDA0EBA53A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534B39-FE1B-4A04-A952-6B688962C13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4A4792-F464-476C-AA28-395771713F4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BCAEA2-D7D6-4E1F-A64C-061EA153706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02F9AD-95D4-4F62-8087-29F9CFCB937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54D259-F6AA-473F-A2C6-DEEBC3935D7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CEDC1C-67B7-42E9-AAEA-71C2EBB1EB9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39F511-21B6-468B-89E4-2923C81A136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FE5CCC-8C17-403D-B7F5-4474276C744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435997-C63C-48AC-92D6-6D81E5432F2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A22C48-B05C-4465-821C-9B1594A67E1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F4A8BC-F972-4F5A-9814-5667DEAD98B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DF1CF4-D1F4-4016-ADD7-07242E24DBC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0F66CD-F8E4-4154-BC2E-59CA0ADF4A4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5158A3-BCFB-4F48-A075-93162290A49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4365C5-1EF8-4DDB-9E88-AAD7FFD0E74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FEE7CF-3A4D-43E1-9254-AD5AFE7251B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B7E9A0-21ED-4AE5-95EB-99AAAEC699F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FCB779-7816-4E18-9A1F-BCC90D7E04D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E12074-82DF-457B-A448-CB295D8E297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58C03B-021A-4FB3-B458-24C1265860A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311D34-160A-42C4-89AD-94C1666B750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1E7275-0F49-498A-B385-D097C6620AD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5139F6-BE4D-4282-8B98-11053CFC3BA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A7B441-83D6-4E95-88A5-842B4D0A1BF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31EB2B-7671-4A80-9DBF-69EF7CC3739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39DF71-4724-45E3-A8E1-06B78F5F8BE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5B887C-8475-441A-9BED-D2D878B26F3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9591D1-5DD5-449D-8BF7-1D3F4D22845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2BD525-52B9-4275-9BE5-F238B277071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6B0D28-2707-49D5-BCD5-AD478CE5CEF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68EE90-0EC4-45A9-86A0-07FB89E3AEF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1EA8B7-FDDD-4F4D-BDED-37F7F245963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E3BF36-35AD-4D66-A943-F2BC932322F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221592-3784-432D-BA03-C0BA3DF4D5B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F0FE51-E6FF-40F6-A70B-0872415B061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C1678F-4A77-4EC9-B0CF-BC314D739B9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D4DD56-6856-4400-B080-609F968AED0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89E3DB-B046-4EE8-9270-5383EB4B779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ECB468-70D1-4074-8153-295593F42B4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1E991D-B258-47C4-B25E-88CADE17B0E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2375F1-254E-4191-A8B9-8CFD222C876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71A941-CE61-4C88-8A01-BDBFE6948EA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2273E1-0AB7-43D8-94E5-B5E8B35EF1B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7B83A5-B9B1-4482-9945-86C1E6C431C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48EDA5-A7AF-4246-8B34-41631C9995A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3C3637-4D0E-424A-BE9E-118A15A0513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A8A67F-BB01-4D81-93CB-CF5A871A4AB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BDEC16-E536-48E2-BB39-5F92E677F60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0D8987-4A88-4C6D-A7B6-50DB305EF63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D28A1D-9208-44CC-8B55-6BF6E5D6C04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E777AD-89FE-4EFB-BE54-A52DD80E826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3B0CF1-34D4-4BE8-8EE4-539717E3BFD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EFF300-A5D1-44A2-8CD4-9C2298E6CF3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C21E2A-E663-46A0-925B-321615866F4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B98BCE-694D-4CF8-B2D8-190EFD97626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E4FD7F-C066-49F7-9E73-CA3CAC3F4F4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99B3FF-311C-4364-825C-E621CE91814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0E9FF5-6400-443C-BF01-61286A29E5C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BBD596-0C10-4FA5-8480-D6C60D123B0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0B54D3-FDCB-4467-972C-02A6F730C17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7393F5-72FB-46EF-9A3E-1DD72DFCA86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695396-1508-41BB-B76B-ED60A42A0C0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4E1F31-9CE0-4485-BD77-A87D6D44107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30DEDE-7EC8-4A8A-95DD-2D00F04D9B6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61096B-21B3-4748-855A-C1D4C9E089A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845DC9-CD77-488E-B44F-0D4C6A079FE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518015-06BA-4E01-9A3B-34DA7851032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18DDB2-CEF7-48E7-8CF6-F66CD2227A4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D595C3-91EB-472B-9F43-77FC19DE3D8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948959-976E-4A97-BEA7-47241A61FE6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8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95BB7F-8D7C-4614-972E-5251BAA9AED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D56EF7-280B-4E33-87EF-1D4CE430D8D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259F60-2DE6-4A72-B0C0-0D88D3E3471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D59C63-9BF1-4521-BAF7-C41041B4A08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0CA7C0-5241-48E9-AAFB-14F7B30284E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64E24B-A11E-40D7-8D7E-C39170F87C0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26D697-87F3-467B-83D8-0C51CBD6261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18595D-3A0B-4928-81DE-42CF2077A49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052244-52F8-4B51-A2B4-5167EC75E15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695449-7E6E-46CE-9C52-8493E53CE2B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4B9161-5D13-47AF-9783-A5E0D20BD34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98E3A5-6614-4629-89A1-60AA8B554D6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745BCE-E377-4361-A436-51BD4DBD6D6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66EA43-3499-4330-858F-B76A192EFFF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7F7C08-3A47-45BD-BA40-1A2137CF7AB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2FDE0D-69C1-4F13-A070-832EAD73B0E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101253-6906-4FA5-8F63-C38562CF9B6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0C42E6-2CB5-40AC-9D2C-E46F51D628D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02CA2F-9A4A-4E2F-B94F-DE39AFAF27C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703EB7-81CC-45C8-A13A-F76A9F0FC41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946E62-7ED9-4F33-8EF5-E2DBB853996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641D2C-D2B7-45C9-8535-9ED608A62E8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B1EF5C-9796-45B0-BF5B-F5C9742B84C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3B0E87-7327-4FCF-877E-F58FEAAC8AB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ED909B-7290-44F8-8BD0-E135FFDE7A6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8AB248-336B-4250-AEE9-EF61BB54958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5CE0ED-E144-42BB-8C02-6E5552EBFE6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33E636-3BB4-4B6F-A5EF-54FE72E47D5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A791BB-B24C-4287-85E6-C405AC19D67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D70B8A-5FB2-4219-B795-A5C89F442E7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C27CF8-4951-4525-920D-A776C71259F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A6C9BD-28F8-4F6C-95B7-D9F188DB19B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738AD6-DC34-4888-91E7-E1C30DB73A3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4AEDCF-17DC-422A-AB42-B7C63915EE4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C58C83-B847-409F-A9D4-A92E641DA92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599B81-6A6C-4DA1-9141-655979963B9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23B4B9-8B57-4BAE-9056-51A34A9600D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143A4C-043A-4582-ABD4-58667A118A3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A63C7F-DD0C-4D1D-92AC-6B4BE33F495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57C57F-72B1-4093-A7F1-A6525B40A81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5C3870-4971-4E96-87F9-6487D1E5556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1A14AB-415C-4A5E-BF80-9C88FDE8DCA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A1B329-9C83-4C15-8CDD-E1BEC94C9E1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D08321-331C-4A67-A3BC-CF6977C22C8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44D297-C461-4655-990A-AD9710E687D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F6A75A-A296-440C-B9FA-C97E186C044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D08EB7-D27D-4CE7-B312-E708CD1BAF2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80C165-9E6E-438C-B370-96E73F36C48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4E9ABE-E8CE-475F-95AB-A3907E99DCB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B1837C-25B9-4852-88A1-6EC3335CD75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703884-49C9-4CC9-921E-39A15EB5972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4B4023-C85A-49E0-9DF3-CBBE6590363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45DC98-AB60-43A9-B013-0419D14CEFF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794E4C-52EA-4842-904F-DA2F42BD917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08EB5E-4330-4351-9F1A-B8945C7B5FC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72A0E9-4DC4-45F6-BFA2-58EDE44C5B7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88D3F2-12FF-4FF4-A0E7-F8224584FE6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EE13D3-0C63-4911-AB40-7CD05BD3EA7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109A91-BE56-4D2A-8126-AD3343ECA02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5A0075-29CC-46B9-905C-8B92FCF2289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042BA2-8B7B-4694-876A-375C5367D96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FDB2F3-A805-4727-B6EC-2E1719D4334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25F0DC-E56E-4235-AF41-4AF47C57126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D96958-6F40-4D85-A643-E34A3393064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345DE7-B35B-404A-8D9E-F874E41B845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EC684B-874C-4DA5-9CB9-9F4ED8E7D83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3C7225-14D1-4158-A835-07D65F1F1BF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797E7F-9425-4E3A-8F4C-1DAF26CB396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1D864E-9C75-4AAE-A51C-73D4B6F61A8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DB928B-C47F-4598-B6D9-51D3BF2C0EE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5C91FF-7DBF-468D-A9E5-9CD1FBEE55C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BA2E47-5E9B-4C71-89C6-ED05A52B0B4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0ABD7C-5A4C-4AD8-9FEA-A8C8FA0398A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4C29FF-50DE-4D8E-A6C1-D88C048D4C0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5419B2-8D70-4946-86AD-EA491B3CAFB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9CC710-076A-4526-9188-15F4192BBCF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9E68ED-CAEE-4C15-9724-51B54AB85E2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A57606-9005-42BC-9476-14B065EF17C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BD9317-71B7-49B0-ABFE-4F4E1A14840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9BE571-B678-4AB8-81CA-92CBA917175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1F91BD-5E12-4692-B62A-65898CD3675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F572B8-B69D-4009-92BB-0DB18A32488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8400E5-8D39-40BD-BA85-000BD484996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9BEF4F-AC55-43EB-8F48-BA4C335F2AA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95CE31-A63F-4210-99BA-065C38ED319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3A74E4-176C-4665-BEC9-1E7F4BE1CE3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8B0AB7-352D-46AB-B1D2-4642BEF465E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E534C8-76C4-4D46-89D5-2B404EE11C8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C187DC-7D36-4EDE-BFC4-A1B5BC05AC5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4A8F92-E743-4783-AA76-34A969D47B3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734A42-CD75-4190-BDB0-A7D3546AF05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929E5E-D17F-48D8-AD6E-8B13B028F58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F1ADAC-6E9E-4856-AB76-05319850676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532CFF-DF1F-429E-9FE6-085789951A9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C914AD-64F3-419A-9166-CDAA5660CCE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32AC1C-7CEF-4EEC-B2EA-9B72CBFD4BC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2581CC-CDEF-4ED3-8543-FD4829154EE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5239FC-7477-4456-8275-29497C64920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CB0CF3-CA00-4B23-9E77-0EEE0F50568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4E3711-D47F-4549-8C89-9F64C0F501D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69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01AE44-BABC-4D89-89BF-9146766B8C6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8C4547-F7F4-4926-99DD-77DD10AC0CF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92BDC7-07CE-4FAB-AD4E-A9DA98FB90D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4DEC46-371B-47DF-B5D7-B31FF9080A9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6C9213-0277-45D5-AACA-57895EBEE2C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1B3962-5F23-4A2A-8AA2-051F2F46828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E8A890-C13E-4206-8318-BDAFAC05067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890855-C91F-4BB4-94E2-F77B3AE7B40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CFD6AE-9E28-40A4-B555-B47B1A507AB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C2FAD5-196A-40E5-BF17-54EEB54CA9C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95BB8C-0989-4D84-99A6-0263A8FB882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5E13A9-10FC-4374-BD8A-88177FBCCD4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25C47C-2A7C-4D11-A3D7-3FCFD438109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FE5E3F-5AED-4F2D-A8F9-7D47936338A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078F66-9A75-4F7C-BA5C-41FDE7DC862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D59ABF-63BE-4E65-8C7D-32B3524FCA1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A467F1-F69E-436F-8EB6-9A4A2A58C1B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5E6FDF-7BFA-40D7-AFB5-FCFDD4DE520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5D1C39-8913-4C9D-AED6-CD47F7F4B1E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8BA9C6-3466-42E3-A483-44BE12E6D3C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5AF498-8E18-4B40-BF17-3141D3160EC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A74E9C-C759-436A-AFE2-6694890FADE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38BC9B-A4E9-44B0-98B6-012C64CA92B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D9ED33-D534-4696-8DBA-837A4214A35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3512B9-0428-406A-9EEE-8D85E882F8C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B9BBED-9EA6-4B71-A031-FCA6657910E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D965F2-6473-4EE3-B895-9BEBE249BEE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4F1E29-9CA2-4997-807E-533DC2DECB4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7635B5-1A7A-4F10-804D-635FDD9CA70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DED00E-AF59-4CA4-9720-886E44CFBC4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18C21E-57DA-4471-9624-4475DFF7DA2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C993FB-5790-4FEE-B52F-B1EF5BD1458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502188-217F-4ADA-91EB-0EAD4BBF4B6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D2285E-B16D-4549-8160-796F8415702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4C2E12-1BC7-4F1F-8857-569D774B7A2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C3AA4D-7A0B-4EBF-B2C2-8F8FD34662A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142F6D-D7AC-420C-B6E1-DF9F882B56D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0DF056-2FE6-40FF-A387-3FF7C0C4264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71A4C1-8176-4671-8694-4425D5184C7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349E0C-6EA6-4F7F-BBC8-3993751C9ED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1A572C-5AD1-45CC-8E82-DC3C2F41A47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622CF8-0363-469A-89FA-E33E268051F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C67D6B-948D-453C-964B-3680656A917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BF7A4C-EFBD-4758-BF81-A0CB67E61E9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4E25EB-296E-4322-BEEC-4C9F53DB70F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248192-DEED-4DA0-9D67-E2577134F3A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39AC20-A45A-458E-95F6-3480571C113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61B164-554D-4300-A4AD-819251D0672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A7470F-1153-4F80-9C0E-1802FD457FE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5A9950-7473-43F0-9336-7BC9FDAA344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1798AD-F6FE-4DBF-95C7-4451D248C68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FB1830-0F02-43F3-9180-D3A0452F366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6A4667-CDC4-44F4-BD5D-C3626698F64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DD5A4A-3C67-4D14-8BD4-E08A17D7B55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B56DEF-3B2C-467B-BC15-83AA6F12BB7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96ECD1-1019-4DBA-85DC-47F5E57C9EB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02BBAB-A712-41E5-B04E-0455088D0C6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AD23B2-B033-4466-94B8-A1C6FB8FA34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3B7A99-5A64-4DFE-91C2-FA451D91720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20CC78-E1F1-48F1-A719-3B65292543E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028E84-E6CE-4268-8CE2-3D48B9A5494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533B75-56B6-4240-867D-DAF2F5FB825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D2AA6A-76A3-469E-A12E-0DDA52069CF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BC9F91-890C-4899-BA7D-90787A6D76B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4C7197-6116-4867-8277-D64344BD691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3236B8-05B0-4980-966A-6C3C1F2ACD4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1CF718-68C3-460D-88FE-9611CB00DB9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849C56-20AF-4E0C-815E-4C6F2C2DD1D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5657A0-F5D3-4FEF-AACD-8DFC083925E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10B40D-8F30-4FA0-A9D3-CE1B71E9195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A01644-68EC-4F51-A9C8-EF2C00D15C4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1651E3-83FE-48B7-A41B-4C9D8E0F53D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C1B7A7-A853-4951-B041-2FED3559CD1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55E58C-CAA8-4CEE-9137-4154A690CF0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105111-8EFA-4F69-8DF7-1C20AD169A6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B81426-74F9-466F-B601-67F99C5E7FC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05D77F-1343-4C8D-A05A-A98E14608D6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05C7E7-9B45-4E99-BF14-887F6EB17E2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555A3E-44A9-4714-947C-7BAB4C922B8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D87450-4B53-4A44-A4F4-70443C005E1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95F62C-47DC-4B32-89A7-791E9A1A11B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FDE8CC-B790-4E55-9A34-DD441EA1B9D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D0A3FA-83F8-47E0-95CF-BD0E5F45A18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EA86D8-29EE-4203-96BD-FD0151D87A9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AF8495-9B9D-46CC-AB50-165CC2D5DBC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9DFFEE-2155-4E88-9C87-D4DC499AC0A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0EC6FC-9950-4D16-8186-D1BDEB23C67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FCA8A5-D736-4D9C-A9A1-47EAED43B7A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ECF998-2B3B-4456-B795-C9880CF8BC0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D274A9-F389-4AE1-BB61-052837AC959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63439B-C646-41D4-B9C7-7203C74A1E4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7673AF-D8BE-4A92-BBFB-EFB5F8D04FC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7DD027-1485-40E6-B755-D8111C3B283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87CBBD-6B82-46D6-A7E4-1C5114C0723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902A93-A7A6-4C50-95BD-484F69A48DA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68BCCD-1B66-4DCA-8690-0C7E2E4F445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91FBFA-98DD-4A59-AD05-0A9D2B5D51D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E395C6-605A-43F7-BAE8-0AC4EFF1B15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303863-029A-44FE-86B7-DDD07AB5968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6A8069-E9F0-4EB6-B49B-E30A360E333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0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6453BC-1EC2-410B-807A-212A0D3B1C4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89E193-BE7E-4F27-BF65-71D94DB05E2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C934DF-FC40-493F-A0E7-4265B71EAC9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893321-BE4F-4B3B-8C6F-7EC8385CCE9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54826F-9DD9-46AB-BBF3-6B1E8666B85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B2C150-7DB6-440C-A40A-33B35F5E38F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24B6F5-F345-4E7E-B7D2-28AC89EF8D0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104B7E-FB5B-4F2D-B6C5-0773DE08460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ECD1F1-013D-4760-B6B5-1D067AB9686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F1D675-2676-4176-9DAE-0EF11469EE4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DF4B3A-B9ED-48D9-928E-20AF136E82B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E32925-84B0-449C-B81A-ECB5E2AF3DD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308C13-0764-4BEE-9BB4-43C96DC5D3B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4469EB-88BA-441A-8EFF-DD2076FA94D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47DBBD-9C16-47C1-8EFD-4147318DE25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9E353F-1F01-497E-A0DB-784E2709848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29B261-8846-4732-976E-C19F005BB84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AFD3C4-58B3-4590-9FD3-F15B483C44F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2AFE3A-489E-4703-9550-05C85A0C9C0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F8F624-8193-48F0-9775-41D8EC5A1D1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D8073F-CCB5-4BC8-ACED-FD7412F60B4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96D0EC-2912-4B94-A882-F8D87916427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FA3303-65E3-4D6A-BAD6-E56D0B150D6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40343D-733F-457F-9285-BC401967DB3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05858E-1F71-4FE8-ABDD-46EBE6B577A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5003EC-0B1C-446B-AEB0-8D921857D07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C70ED9-AE46-48E6-871D-351445D7E30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F8FA58-155A-4B55-BA61-4DB083DC9BC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272BE3-D207-44E3-BD4A-468C7D65CDB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2C8CC7-9A24-488A-8217-C4C4EA24786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E9858C-8C20-445A-9048-864893E9F2D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64DD2F-194E-4098-8AB0-207E5936F7C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24F78E-3FE1-4858-82CC-BCF844A0A33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3B4BBF-9977-4F28-B163-A8885A64C9A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EE5FA2-C508-47D4-A33D-E8D36A61032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90659D-DA49-4735-9298-041F2986F83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352C93-796B-495C-8BEA-94438B732DC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00DE46-86B3-42DF-85AE-C544AAD431B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D613DC-60E2-4DC5-92D0-A08027590B7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ADCD45-7BE7-44D5-9999-7718E4CC9CC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EE0947-1C10-4541-933E-79A987DD134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06D120-D6EC-4C26-85A6-D61E9F99442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6A38BF-1F89-4BEC-A14F-4C5AB69E02F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B51591-0FC0-416E-A15D-1BE16EA175D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C756EA-365B-48AD-A4E1-AC136D41AF4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A39E74-841E-4BC4-B1B5-63059A6FC86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B82211-7397-4E14-B6FE-7C60CBF38C8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9A3A36-C068-4FEC-9BCD-68A9719B6F1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0A78EF-D06D-44CA-B9A2-54B6295C6F6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664306-3C5C-4D5B-A7F6-A02C2FEDB79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FA1C0C-7883-4225-9635-8265A90565A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5E99E6-A54C-4A18-9E51-F3BDB701B89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D99147-8651-46F6-AD0E-A9388838628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7EA959-7BD8-47F6-973C-F4B05EDA304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141834-8E10-4B1D-BCA9-8F0E803DB72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AE7189-4095-44C9-8E46-E70439E0291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D21A85-69B4-4407-9606-71C52A447FE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F28CDD-CB43-405C-9F8B-7C502CDCD94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2F727E-0E1F-431B-8407-10A6395264E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C0B483-65AC-4A19-AAB4-A2632CBDFF9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06453E-9CB1-4CF4-AA08-EB0DDBDB1ED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0427AF-5F05-413B-9927-A83EA5166F0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0FB5EE-53C1-449B-A669-41B397CFA87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84B2D4-7D4B-46E9-846F-771C4E35805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C0296C-4DD1-46F9-B8FE-08CAAD9F9E3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9B9831-5EDA-4453-9F8E-6ECC6A75E44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CEE0BE-EAF9-4961-8C93-D0DB9D4E40A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DBCD24-CDDD-44EE-8D8D-9419A59401B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32A3C3-940B-427A-9CD1-D4FFA75DC6C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C20ADB-3861-4AE7-AEED-F0D0AB38FEE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84E7CF-8D89-4AED-BDD3-23D763ABB37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46E067-3FD7-4DD5-9DC6-BCC6D0636BF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D01F12-ADD2-4CD1-8053-98B0AF5B22D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0740A0-7EF3-4869-A99C-DFEB7843475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4DE42B-7EBE-4E92-9EB6-D1292D4209C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F04A93-DB44-49E2-B0DC-790840CE76F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916FA8-420C-4A06-B2D0-6DCE5E45033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FF80EC-31B1-494B-A89D-1A9FD515AD3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4C2987-1A4A-4156-A2B0-49B5FADC1FC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5192B5-6C15-4BC1-945A-18698246B31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94E4E7-918E-49E3-81E8-C94150CFD2F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559696-CBEC-4EED-BFC8-92FFDA5DC7F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3275E0-06F9-4862-B832-DFAD9796120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C34BB6-785A-4FB6-8EBB-B11C59E820C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A32B4D-74D9-4D5C-A462-9C3F4C88116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BB6A36-E279-4DCD-890F-0DC72AB9F5F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FC2510-FA16-43FF-8341-1A649440052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7EC845-2BB1-4B93-8073-22074A9EF09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643083-F5F6-43B2-B559-725B76BE1A6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2D11EF-6495-41EF-846D-98DEF982247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0FC139-AD2D-456B-B654-CBBE371E5BE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B70ED6-E7B7-42FA-9638-44A3F9850EC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9F2826-16A9-4772-87EC-701F4913D09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69DB2E-66BC-4869-9C06-417B6220448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27BDCD-2A5A-45F2-AE88-1A11E1CFCA7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16C131-247A-43F8-B03C-77BDB2CAC97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84540B-6312-4368-B823-495334A16F9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F75E32-4427-4AE8-9744-285A9C6276F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316107-E94F-467E-9C1D-6770F6AD61D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7384A7-2F37-4A3D-B3FF-B0A61112D42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1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5DA0A9-1798-4770-BD55-0DB8A9BEF05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5BDF0F-445B-40CD-A11D-03E8A4A9CEC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CDE7D9-6215-4F34-8D5F-5BEE08BEB16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55ADEA-C3C0-4555-8DEE-B5910D9781E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A10016-92D2-4A90-ACC6-BD314E40527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0E6A64-EE6F-4B76-9BA2-86C11999155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FA52DB-38E7-41F2-B9FB-E64F4116ED5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F58C9A-8CCB-4D62-96CC-0D83DD96575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B992C1-7AB7-43DC-8A74-7AC0CABF8DE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195BD8-8632-4129-9CCF-12EC8FBB4E6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76165E-53D5-46D1-AACE-9758C560472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BEC205-EA42-4A48-8697-8A532F3ACA6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7C9DE3-EA7E-49D8-86A4-158BF9BEB85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1FEC24-8271-4F22-80A8-0883EC0DD7E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698A2B-0FB1-427A-A491-FED4AFCF472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5E0220-35BA-48B7-89CE-3D78156D175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B76775-49B8-4FF2-B993-D676F8AD683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2C8050-8334-4DC9-8BDE-15CB71C6C4B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3CA48D-4CDA-4E52-B56D-6C73984B2A7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4245D0-C04C-404A-BCB3-1C4C5033E65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E43C41-7913-4EDB-9BFC-39F14567160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99F51E-7BF0-4AF3-B5D8-60F72737F9D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7C673E-BDBF-4705-8809-749799BBC10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447682-F33E-487F-A659-C451DC17E58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876928-802C-4D38-B328-A40AAF96840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D32B70-5EB5-400C-8EF0-94DB6C156E7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BB80F3-0193-4EBE-AE59-416ADB7CCD4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9A3920-5424-488C-B9B7-37CF02A0329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6A2D54-05B7-4490-9093-BEDC5D0794D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056295-8256-4A1D-9AE0-6F356BC6A1B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2DF559-12B7-4115-951A-B4CF2329BDC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3404F6-1A52-48D8-A00A-699A213885A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E7F454-4C2F-4C76-BA47-5CA1366B9F7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56CC85-CD6F-4BE0-87A6-5B15DD93427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0ADAFE-7DAA-4299-B085-34CD874A705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921D4A-2967-4E88-908D-5790E297EBC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D08D6A-DDBC-414A-992A-3BD6AB2ACD9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4BF6CA-AB9E-43EB-8768-DC723A042B8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0EA91F-9410-4C14-B0D2-914F60B8350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E2CD2F-4517-4941-B73F-0FB812B3545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66E543-CA33-4FA1-AA75-C7B3067360F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288856-83D9-423F-AF03-2E87B21CBDC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7AD13F-1124-45E5-9A8E-00ABC8B819D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26737E-D71F-4BF0-8F64-16536E385B8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1F3184-629F-4D42-8199-9E10D976EF2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2BFE1D-C8FE-435E-A21D-38B83BFA68B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A82AA6-6554-49A3-A1BD-B6C74C4704B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4A54BA-26CD-4575-85B8-10DC85248A0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FE5183-774B-46AD-8942-5BC9C9FDBDF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611CC9-2036-4F21-954F-D072D84877D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21A32F-EF68-4D9F-8F45-459076B125B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525018-8E9B-414D-AA56-DAE4BA497DF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881E08-46F7-4D46-8019-888B0A82901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DC5315-71CF-49F2-B7E4-A9DF4C6F253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C5A3B2-9BD9-4895-9DEB-FA5C983FBC5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81B109-2823-4689-B122-70BC7526DAF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2D3178-4D9C-4781-94B2-9F617C00072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DB1123-B084-4C55-B68C-8DD0C379C4D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B3BF1E-880B-41FD-B221-A83C1865586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EB0F32-022D-403B-B804-7713BC83695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E77458-D7BD-4A2A-A5B5-862194F91A7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A3DA5F-FB20-432C-84EF-570D9BD8E34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B0DC23-815E-4770-80EE-AABC40050F3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2B8120-5DBA-4514-B30E-8E8F67CEAD7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D9A870-BC6E-4911-AA8D-255CCC2B60B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ED2238-0E7D-4C79-899B-B5349C75AAD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4EDE2D-F69C-4FF3-BA7C-D12F1DDF502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467951-BECF-4945-B8A0-981ED237609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6E89BA-3A95-41D4-A5A6-95E047DBFE1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D45109-D543-4E03-8F29-1B326DE9266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0EE4E3-30F3-46C0-8B33-E715E8E2790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D85F56-42E2-4FB9-ABF7-FB9ABEE210D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956DE5-27A2-40BA-AC60-4231D635C2A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06D481-B779-44A1-AAE5-46C08F0844E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BD10A6-3A31-4CCA-BDCE-9A012A4F150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27A314-D97F-477F-BA15-551FF89F480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EBE2F4-6F34-4069-8E7C-F06799B126D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0B6E21-75C0-4F8B-9B20-D08564F07FE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2341C8-5B84-414C-B405-0294A2C3179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E125D9-905A-45EB-AB76-8EA0E5958A1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679E41-2EC0-4109-916F-7F029DD516E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31BE0C-FD1C-4BE2-8C77-A3922D371F8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C95B1B-C424-41FC-83B4-7471CDCD87D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ECE51B-E534-4B20-88CE-13AE02F9A49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478338-0EAE-4B3C-97E9-40189129B3F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006C9B-BAD8-4CBB-8E34-114268912B7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5F378C-9AD8-4DBE-9875-A1381D24531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3F9AD6-6821-4CA9-AE4C-A5D0B9F4A21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227388-8205-463F-8C10-DC0015B8B67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13C13B-450B-4EE1-9982-33C5191CC69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310CE6-B264-4A59-8207-2A3A8F624D6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E1B404-CC73-4827-8E13-580387B5145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7E9CBF-D978-474B-9BBD-8F59C57470E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12A5A1-9042-4036-B9AA-98BECC95607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39A8B0-DE02-4881-8E30-B038B49726E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E4E9CD-4083-408E-8928-DDBACF48088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D03411-7DF0-42C4-9629-4083FB56B24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4C93F9-B706-4C45-BB6B-BE7E2001556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912D8E-40EC-43DF-90F8-94178C42636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9ABC1F-CB6C-4F8D-BBA5-D31E1507D64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2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59CC75-BC48-4098-B4BA-D8E3D180305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D82BC9-8D43-4E80-9562-9CE48B2C709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6710BB-ECDA-44F0-99F3-2AC75C0DCAB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5AF8D0-E645-44BA-85F6-32EC37103A3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4326CF-3667-43D4-8F13-08F97FF37FA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2D1A71-93E4-4C1D-9BC8-43E5BA27A6F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AFF186-60C5-44BC-8BDC-7EB74E0DE4E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BA76BF-AE44-4474-A44A-339153A85A3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9436E1-6CA7-41E7-BB48-0767A0D49B4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7BF6AD-22FB-4310-92E4-D5713789A08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BFE6EB-7ACE-4C1B-81D6-C591F50001E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CF50F2-37C3-4360-91CE-D75233A4D9C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CAC502-FC23-4ED2-8466-6A9D1B39166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08396F-8EF0-4BF7-AE96-AD1ADCD08B1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DEFBEC-976C-4A91-AECE-270A346FCAC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D16C6E-8871-49F3-89CA-0CCF4856623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CD4B37-ABBC-43FE-A30F-B44BD06FA78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541DCA-4981-41C9-A1FC-E00A9C48761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CD0BE3-390E-46EE-AF41-A87EDA11812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4F9894-B850-4D33-9600-62EE56A3B9B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928BDA-D58B-439C-8593-00565E8DA42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3CEE29-3FA7-4DD3-BC47-3406ED2F7EB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381C8A-FBC6-40F6-8391-2BCDA5C6101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C98109-71A2-45FD-A92C-0BA5E606F9D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93E877-AABE-4311-AFEB-AE67941894F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46AA05-A612-4B29-849C-677D02BF626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F8BB11-12EE-4D83-B884-918E128A5D4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91EA03-3DB8-44EA-9BC9-1FB1D7959C7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D26C3D-1386-48ED-A305-444A2A90A2F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3284DA-5750-4276-93B4-BBBAEBE27DF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B1B0E0-9988-4A8E-A319-4B8A81DABE9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D61E7A-E739-4F19-8A85-709DE201E78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855FBE-F046-4CD4-9227-51DAFDDA5A0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223216-80B5-46B3-8976-0068A1389F2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7DD632-B607-4043-825E-FC67C6688E3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833B38-A408-446D-B0FB-D7B9EB7143E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8BB6F9-4437-4071-900D-8245D7B53B3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B07683-CC7C-474F-9E9F-BF339EAA390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B025B5-D222-451E-B193-D3D28FE108A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D17810-E256-406E-8D53-E4126570715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722F87-6A8E-4A9D-A8A1-469379B441A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7073CA-CDC3-4022-8DCF-2871ED72E08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30CDC5-0AE4-4390-B3C5-566091A4307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B0A622-82BF-4198-AA75-CAD6157EB36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AF94F1-6DDD-40BE-B511-F5B74F66F80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65A663-EC8B-4365-9177-E10E03ABAB1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1D68A7-8A3D-4431-BF9A-D1CBB3C1DD8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FA7D3B-DAA9-4420-8847-993BD41DE87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12C8A6-31C0-46E2-B321-CB5C0A0107B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083629-0E8F-4589-A05B-DA1A8F1E2B6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22330E-5ED5-4BF2-B5D6-7359CB71D13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D9B12D-4EFB-48E7-9141-92D165988E9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AE0EC9-59E5-4927-9DD6-85D7E863E0D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ECA9D8-DE1E-48B9-993F-FF30D46D37D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4B02B1-98CE-4CFF-A68A-98CEA8BB125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593A89-38DB-4CD2-A1E8-7EB43F9C9BA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4AA168-AE1F-428D-8CD8-821B56DE1F5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513AEC-B75A-4FF5-9CD5-EF70C740AE8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C42A65-52A0-426B-8642-CDEFBC537E1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071323-53CF-47C2-A027-0950B8F2328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F00AA9-3AD1-482A-906B-CE4C3E5FA06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9718EC-AF53-4203-B9C8-3815A362FCE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2D20ED-894A-410E-802E-5A691A87BB9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7A676D-B113-4A75-94D4-F95912504F5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3EDB34-A38F-41F1-9D52-CA26573DFE1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85D76D-08FB-4FC0-AE93-679234971F6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FFDC28-10A2-41CE-9168-406BAC6618F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398226-E925-4DA9-B7C7-7D29322CC4D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F461F4-6075-4A57-9793-D7511382D00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013D53-1EEF-4B9F-9C07-45518D22BAD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66F273-6FD5-4C72-B2CB-6A3F79EE6E8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13704B-865B-41DC-BD4F-D16B3449DEC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EEBD28-ADEF-4251-B2B0-320212E90DE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BF51DA-A804-4FA5-8B16-20892329BF3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1BBECA-2C22-48B4-9B0F-ABA6E396408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71D96E-1D49-477E-B18C-C5E9A5C3313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C008FC-6BFC-4AF4-8DE5-BD5DD751A7B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647419-8CAB-4919-8D3C-65555AD30D2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DD2A46-02BA-46DC-B589-1808D4EFB7C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483B06-B380-4778-9997-041871E7E1D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BB3209-0D03-40BC-88BD-1495BF5EC97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267BA1-C228-4548-9321-EDE31DF6D8A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282194-5D9D-4E1E-9D81-C9A4BC97BF9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7EE7D3-712B-498F-AEF7-8D24923738A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EB34D1-32DA-44E9-BB01-1985C31C295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106C1F-3FFF-453F-9878-7CB485803C7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C2C711-C151-4375-838A-2339C97548F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F85B22-2E22-49ED-9A70-81A69BE3D50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0B9AA7-3848-4B64-882B-A723F7882FA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D68307-52FF-4F2F-89AA-DCFB4FC0B8A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63F67A-232D-488C-A9C0-E7E0347DE32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FE8F10-E426-405C-9D5E-47140BA359E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EBF3B5-5F93-40FA-AEC0-3BA2262BCE4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22ADC5-D9F2-4A32-B616-E91AFDBCCC1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45EAB9-9291-4AB1-98C9-BCF6EB2C5F5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842626-4DC2-4BDD-903F-6875E4F7CEA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A8AD24-D4F3-4ABF-8D9D-0363C14E433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70B2C4-5477-40D7-8DE1-95E98AF45AC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6283E0-9E9A-4346-BE37-0F707BEEBFA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42E736-6ACA-4621-B340-038A1611740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3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70484D-9882-4B9F-8094-3CB23DAFA2F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A53643-B9DA-4C1D-ADA3-DBF758E0519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94E930-E766-48A9-9895-2003B82816F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A7E8DF-FB86-4F75-B9DA-3E62DF5ED8A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C64FBF-58A6-4717-9198-9791F3BEEA2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3877AB-70C3-44E2-82FF-C861DC90AFF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EF69D2-26F3-4394-A2EA-4D22A66692F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670A03-D62C-4BF5-803D-433534BE264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0503C7-260C-4BD6-AC4A-E31CD54899C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66A09B-7334-4A63-A409-3C5DF909560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823B11-B9F5-4C22-B223-9A24DD50666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15271B-4CFA-4F8B-BCEB-52048F307D6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87D0C3-CB66-4194-BEC6-A7F54A021E9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FC2246-A230-4F16-8FAA-9A492AFB823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92D9FD-5B59-47A2-AA7B-1E8253B685F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063DB5-655E-47AF-9EDC-C30457F5976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377C1D-71E0-40A8-91DF-86E6C80BC1C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FEAE77-0DDD-4450-8CEB-84DF683C40F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F03C7C-E858-4964-9910-7C1DC1F4F19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C33C46-DA41-47C9-9DE2-2D0B3D45D9C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EA28C9-1EFF-4EEC-AC52-9BA313991EA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764F3F-DA5A-44A2-B71C-223551E53E2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3B739F-DEA3-47FC-9789-CC0AE98153D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62E0D5-A576-413A-B04E-CF6034F23B4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2E7CB8-EBA2-41C2-B2FF-9EAB2FE99EC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DE89A9-6B41-41F9-8BBC-09A7CF3C139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7EDEFD-BD2C-4134-BEDB-8D43E2991E5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9FB70C-1995-4CFB-B172-382821C88C2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708D03-B732-4574-BE49-CFD8AE41066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01699C-D45D-436F-9008-312BDBC80C1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FE1AFF-AFD9-44C2-A5D1-09E8C763EF2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C1921A-8AAF-407D-8BCB-4AC94D7CAE5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583992-9793-477A-B3F5-68A6A84A7B1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6A8A2B-1C57-439E-A032-35D2BD98996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C1E069-5306-44FD-B49D-CD15D9E88F8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A42228-B20C-4757-84E2-B20D3A5BEEE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963FA1-2A0D-4B34-82E1-E5448EDFB8B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1C4088-2CA4-4942-A08F-FEF71B29A83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0F447D-F4E4-4F7E-9A87-FF2A4F3D8E6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6CDC1A-EC5B-4A1D-B356-25CF57C8A74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E1F273-3741-4103-BB9A-826253AD7E3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A18C4E-3392-4B7A-97C2-01BF711D471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2445E9-13A7-4106-AE9A-63A4E8BAD92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35C893-72C2-412A-8EB0-9CF64E994DB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20A710-7DF6-43AF-B28F-50D4C2BB316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8EB5AC-5879-47F6-AB7D-0887674BAB2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CC816A-82BB-4AB4-932A-4BF8C2CDB7E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23D343-3CE2-4DE5-9FCB-1FB382ECAC8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94A086-E20D-4E26-A86E-0C0C0ADCEC1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2091A6-4B90-4F8C-AE69-238B33B1F69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143812-F5DD-495A-AE34-3A943820837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160791-70DE-450D-B6FB-290579DAC1B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66D0A1-902A-4654-B691-5B490E0C2E1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8E0601-2715-48AB-81E2-516874CF308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C60F0A-5C9E-4E4B-9F4D-EDE48F44C0B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A42C9D-5432-46BE-885A-287BF18B38D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78EDEF-0494-4F68-92DF-B4F26D4F749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9AE3B5-A439-4D45-8E79-575FD2D1D2D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791C84-2671-41A7-AF68-FAF85FACE1F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714359-AD49-472B-9D2F-72A3D15FF93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2FA1FC-3EF2-4AE3-BC74-72DC5194848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6B3B1F-8010-472D-99B6-1C093F22C4A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8B46E6-5C14-46F7-A923-55C1DC97AAF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AF505A-EC5F-49E4-9DF6-AE978CE095A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F83E00-9ABF-44E3-8FB8-E1EFD3B5240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9C5633-F6B5-4395-B575-2F016736940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322571-EF8A-45A9-B1D9-DE942B0782D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FEAFE4-5F93-403D-8BED-56D440077BE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AEEEC8-7BF0-48CA-92FA-8D1FA0C04B9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9BE01A-D09A-4FAF-9E25-6F6836B04ED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4467FC-CF6D-4051-9977-E2107276E33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592886-2927-4BAA-BD13-5A9A4FEDC34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125716-3C68-4A97-B402-B169BE4CDC0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36F55E-A91D-4DA1-AEDB-D43B0798EDE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2820DB-B842-49A9-9CC2-81F4F334AFF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3D2971-8707-47F5-8167-2FC6B5F9C9E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16C2EE-F007-426A-A7D2-324C9B74AC9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ABFBF3-6B29-4B73-BC2A-57256C33F03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B63BA2-C6A6-42C8-8CFE-94B7E2EA649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16C1F8-9369-4B98-AB2A-17D4FD71839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A8683D-E8D9-48AE-95D2-731E5C15697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1E5077-BD1B-4016-925C-F1AC5770C99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4DEAAD-8073-40D6-87A0-0855BACBF3A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C3E8D8-F9C0-4992-A73C-B3CC5133B69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0308DA-B4E1-4237-917C-C1FEB5930ED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0569C9-7B3D-4444-B494-04BBA9F2E9A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39BB9A-5B62-4CBF-87BD-C45686A2609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9F250D-8624-4C64-A553-2C5658E701E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56E4E9-6686-4705-9E47-38248B2E575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D72B09-EE7E-4DE4-8658-676D543F623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67B108-33CA-4553-A172-C0FF43D7DDC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78B3AE-72AA-4302-8C14-EDF2AAB8D35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E6F0D8-1026-46D4-AD8A-0C2E9531E11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CC6E85-AF0F-44CE-BAC3-256EB93CEBC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FAB85D-6002-4807-8ACE-5CD8E759D0C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7E089E-9563-4D38-8DD6-978BB4DA502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B865B2-880E-41A0-8A70-2F5AF4ABED9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DED3DB-0311-4408-AFE8-BE5F16903D7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79238D-42A2-4087-A9FC-FACE7442B8B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FB57C8-7CCF-4427-A6DB-9A2E4E4BFFB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4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A671B6-4711-4963-88C3-DA0772CEC08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B4A09C-0C4B-4314-B8E0-F42818BE60E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8E66D0-E389-4077-BB9E-73A36976169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88A59B-F323-45DC-AF7E-4CA8942DE35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6B0ECE-C76F-48E0-8B24-0B4603BDFF1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B9A129-6413-4DC6-B334-5F09C995D46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5FC31F-CE87-4CB9-BEE2-09D76D92634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A5770F-E75D-4464-B3A2-3019B61AAA7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CC72F3-A5A9-4978-AEA7-106D155B630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46870F-8645-475E-90A9-75BDBB16EB8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462028-4B29-4D78-B50A-C3DD2693668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0E25A9-0D8C-4B3F-9BEF-F6F79E82469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CE991D-1B89-4220-BFD2-443F7F344B0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36D732-E9B5-4126-9861-68FF94AD4B8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8F59C0-20F0-492F-803F-5D47A734A47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B7CA8B-8BE7-4C56-9A98-DCF8ABDD065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C9672B-9669-48B9-A637-10F91CD8713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B2BF98-289F-4461-B303-5C07FF4B661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DEF750-33DB-4135-B620-D292F505B27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F1B0CD-2A34-400E-953B-42DD1B8AB8A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57E807-7EE4-4148-B4DE-2E38BCC9EFB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B7F402-440D-43B9-9485-ADB75D35EB3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EB8D65-9900-4E2C-90C4-012ADB1D0FC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8B07B1-4C19-425E-BB8D-1AC3249ACAF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B2FDA6-520E-4D96-B3A0-0EF13AB53CC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34623A-6E78-4351-A5E7-87765AA65A6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461BC0-DC51-48DA-AACA-956DB931464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F9D780-C14C-4784-9C8D-FC5F8ABB713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BD0BA4-98C9-41D4-8E1F-203A84DBF0B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D24255-756E-4F7D-9F86-2AE96371F13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A78066-E603-4971-BF92-5DDF1512CF5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B61FE0-60BE-43DA-8864-E8AA272DFBE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92CA36-1521-44C2-9C73-7146EF5444E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DA9CBE-2CF1-4578-B658-FFAED9EFA25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8DB65C-CBE9-41B5-8FF6-647B6DD91C1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15E096-7630-4F2B-A45D-EBFFD34D80D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262A16-3A19-4FE4-A16D-AE80B7D9880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F88098-8E5D-43E5-A4E3-D7D23288554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804377-ECC3-4A1C-836F-34F599D0311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DC72E3-3956-4DBB-8312-58F86A57C74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98592A-E453-4835-A371-FF194D2DF70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885F73-9182-4F27-BA76-5FE6098CF4A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1D0681-A746-42D7-9B5B-44E854B5C18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8A3A93-539F-4703-9EF7-5CCD40AE723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28184D-ED5D-4D49-B063-8F0BCCCB2D8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8187D5-A4D3-4519-A007-985C74EFFAE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589E85-FE07-4CE0-8FF9-4E4944E6672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4C5D4F-4300-4AEA-AA19-4D88540A5CA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205468-9C4D-4E2A-A7A0-29B49218303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77B12E-2B05-43FF-AB3B-D4523B1753E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D17028-6AB4-430D-A919-BD5DF25705F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FA6203-DE06-43F4-A13A-A18FC641AFE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EA0A2B-F65F-40D5-8AAE-FB2D016E382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71B63C-7964-4097-86E6-784714D9258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7499B5-060D-4FAF-B02A-AD2663B8444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7FD46E-65A0-4C7E-8AB0-104F2F15203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C0600A-309E-4A32-AC57-E381F31DAB4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7D439C-2BAA-422A-851C-D37C3901B9B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D33886-1666-4D51-9AD8-2221F0B037A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359219-BCF3-4C33-BDB4-497254D629F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9BFAE0-2DF3-4829-BBB9-72EF2B51AD2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B9B644-1AAC-4F4D-825B-64E09410FD2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B14526-03B7-4A8E-99B3-5DDE098B7EA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0BBF6E-8C50-4956-BCCE-11D474393DB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94F29C-5675-4A2E-8A06-DE3DC452CC2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D4DFDB-461E-4E0A-A7A1-5A50587F57F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75A593-61D7-46C4-BDB3-5B5783EAAD7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6EC0F8-710A-4260-8A2A-77631A76F2A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F9A77A-8CDA-44E7-82D2-460E1C766F1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76683F-A900-41B1-839B-F6A7B5676CD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F0ACB8-74C9-4111-9817-363A7A86BD6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B70151-EBF2-435C-B0BC-5A2AFCBADE6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537402-6537-4004-8189-F5DA9AC8CC7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A471DF-63BC-4F3C-AEEF-6C603DE698C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8E20DE-911C-4402-8C6C-3F0A4A8E36D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C7E7DC-DD47-4A73-81EA-A9C0CFA5E89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15BAEE-88A9-4351-A22B-026285CC2F9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5EA994-B08B-41E6-9B13-C8FFAD4E512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61BD31-2D71-431F-99AB-06B2BD5A291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C1E37D-B2C6-4642-BE7B-B14C8F651B3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16E7E9-C4BB-47C4-88CD-F6BE556CE50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DF73C1-460E-4700-91A6-89FD69B9AD0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F6E532-F343-4D26-9090-80E6B07D702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7D4DD4-1C4D-4A87-A278-008F7FAA635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8F223E-782F-458F-B03E-55F10D62310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34D733-B58A-43BB-BA2E-3FB16B8E571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935969-47F5-4A83-9E98-E467D0A2F18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1FB000-CD7E-4460-835C-A67B099A774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0FA3E1-31B2-4482-9B83-01406FD92F1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E41E27-2732-4A79-8D98-F7331A69AF4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C30A14-81CA-4E1B-8883-DD6B2A16C81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C75205-55A4-4F32-810B-1D056EDE3A7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0B8F28-A8AB-45B4-BE7F-A70562C8A0A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48A1B0-72DC-4ADB-9D9E-254188C34AE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BF5F3D-4A71-44F7-A7BB-8BE11FBCAD5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69CC74-D283-48C0-B6F7-EB096156FBB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D6C816-31F3-4E6B-B234-C3EF3BB497A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210D6F-FADD-43ED-8B87-4AE0ED2C214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481A04-49B9-47FC-937C-180240B955C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AC4748-41D3-43C8-A424-340F277916F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5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75A719-1F5A-4B24-9BA7-F2C8BC8D876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AB2E23-83B9-40D4-BEB3-9FB8B2656A0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75D932-C7F4-40CF-B441-3A72140DFDA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4944A2-B854-4561-B735-17026ED71B9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46A3B7-BA1F-4618-8579-8115F1D929D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EEAE1C-1A8E-49A2-B647-46FF3E9FC40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067EB0-53F4-4C34-85B5-BD2188B4FFA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B906B0-7D7E-4F1A-A61B-D5A3A228A26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8B284E-0A65-4F36-A885-5502565829C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A9B330-EF7F-4E01-8A2A-3448A493AF8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7E6CF5-583F-4C36-94EA-1BFD3F34A22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CBACBC-93A0-49E6-8ED9-CAF3F0F4C7C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2F0E87-7CAB-4B87-BE14-E2CE3781072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9676DF-7DE4-4153-84C7-5302B3856B6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31F211-CC29-4B95-94AF-88310FF731F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BF6DBE-28D6-4605-85B3-EFD24CD85AE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864C0F-AA11-485D-B5A6-7D2145535FD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E598C6-277E-4C0A-8B02-FDABC7B2220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BCE45F-67A0-49D7-B245-D2DB505B1A0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7E0207-07CE-4985-B78A-1FCE03EF262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C11E61-2BEF-4959-BEE2-4B673B532B0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432BF4-6AAF-4F92-98BF-86C71AA8498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06258B-4287-4D7F-86D9-2628C3BEE6A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A99A78-21E2-4E71-AC80-C57E8F42232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B5B571-9099-4599-879E-A35DA00239F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AB4024-A14E-4E18-9092-83E6E8CD672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D9ADC5-5F23-4E88-AD71-82AF1021567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60AD79-CCB0-4FE8-88F3-057BD6371DD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ACDB19-A5D1-4C0A-B57B-AAC0F73DC74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93D71C-DCEA-4EA2-8DE2-B1A1F004718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429256-F6FB-478E-A420-54D8908CB5D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CF00C3-8335-4139-B419-478C89E258E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FC6696-D10A-4438-BC3C-0763F3A4078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E79E74-6658-45C5-AD47-FE1EE7AE4D0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31F054-1170-435A-82E7-7C754ACFB1C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364417-852F-4A8C-B72C-3E5722D49D4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877AA4-84E7-4FC1-8CA0-4C7CBD16D2C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454D99-A3BD-449F-A413-3AC52601C23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259AE8-E014-4EF6-AED4-7CE3AEC759D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79CEA8-3ACF-424E-9FE1-0EFFCAE46CF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BA61A1-B2B2-485B-BE60-AF148F6F4BB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BBAD76-DBD0-4B89-976C-9467636F047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17DBF0-A61A-455F-A494-07E30EEA73E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F0CEA8-7759-4462-A6F5-BAB5EEF96D8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02680E-9D46-406A-9563-D7F98BD5CC0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363FA2-F766-46C7-8BC5-AEC11C30572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1877E9-6F39-477C-B34B-D8DF5901A47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FC764A-64C1-49D4-A75C-74D8EF2251C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2C369B-4AD4-4D93-90FB-EB5F72400A0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2683C3-E178-439A-A065-225CB103B87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A4E296-1B5B-4B47-9249-962EF1C9DC4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5642A3-450A-4A75-AA16-A1976A7FEC7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92EA36-2380-4182-9691-322E3AB3769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2B0A95-071B-4A2A-A2A8-ACBE17D74B0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23F728-5FE5-45EB-86F8-E1C1369A6E5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BEE15F-764E-42FB-AAC5-816F24E3ED1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FBDE44-808A-4726-BA87-9FE9EEA9AFD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03D1C9-E3F4-4EF7-BE6B-3365B950B9B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1BDBDB-8D07-4175-94AB-7A26414B689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E0B872-6C11-4C2A-8FE5-65FD20AB83C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A53FDE-3646-4409-8993-FA6CF3CB900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E9359A-7A2C-4CEA-8766-CD635634327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074525-DBA9-4318-B2F4-88E38DBC035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20A3F1-87B2-4319-AB51-384D8D7E742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BE25BD-F0A5-4FAC-9904-ED92842D0D3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025DF3-09D9-449B-9874-5BAD5B5CE8A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D4DAB6-BF0B-4025-B2C5-0BDFF7C2F0B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E4EF8C-24DE-44DB-9AF9-41BC9C9790F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D650A6-8834-437A-AF07-077EEF213A8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CA5F51-CEBE-41BE-8F5F-AE06B974411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E1AD0B-0455-458A-A213-13E5F52AB92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FC5636-793D-426D-8221-DD23D47C03E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36D2C1-7A23-42F3-AA61-2C36417EE38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C9CB5E-D6CC-4456-A6C0-243569E0E55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24BB07-889B-49EC-83E4-E99F80DF375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698E23-5ECF-4779-AF38-B6DFCF681E0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A5B6FF-1782-4028-B47E-0557F74A828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0C7EFE-0EEA-465F-A01D-CC761CE93AE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E17D87-CEE8-4C6B-A7D2-C84C9E15194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9DC7AE-BB9A-4B87-B5A6-94102BED866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352E36-20D8-4D14-803C-2CB7B1BD022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9F1E04-A55B-4689-8F88-79EAF8F5C2B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24FAB2-4DEE-40BA-A35C-8A2D90CE31E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3B0247-6355-4C11-977B-60C010535B4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01F309-4B08-487B-B631-462CEDC691E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BE93FF-77E2-4F0D-92E0-82835937C67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AFF347-43A3-4D8B-9528-C863EA47A31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840D0A-0BF0-4CD7-A730-74E88C99076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10A16F-7DDF-4CF7-A9D2-7112C9E442E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B831CE-9D69-49E1-AC86-622560FFEE6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3B1695-0AC8-4448-8B87-52B424624A5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7B3BB6-05F5-4EB5-BB65-26470C8B617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A9806B-A055-4503-A4A4-684F94E3889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392D01-2891-47BA-B5AE-29FF5B473FF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DC3A7C-C1D0-422B-B46E-8063F868576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9495C5-A7CA-409A-88DC-08785F36075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BFBAA3-3712-4C77-A294-81AC099DD1D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3BD201-756F-4D3F-8A6B-04D88302BDF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2D3174-C212-4E8B-8EB5-73F2865979E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D1323F-CDD8-48CB-A9F9-C92BB48B1D0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6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CB5D45-17C2-4F05-BFE9-E061D4191A6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A968D1-558F-4BB8-A259-87FAD58AC94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A284BB-8021-4B61-94FB-AF0204D2EC0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3722EF-2BD6-4CB4-8B2E-04541FF22FF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5042D2-27AE-4BBC-BFE1-C378C9251E1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35F245-45FA-4815-9827-1C675D499BF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341A5A-D5B2-46ED-AD1D-B2CC4E367A8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7C633B-D22A-495A-B4CE-25198FC2421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1EBCCC-D5FE-4AC1-929D-B232BE73154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BADC5D-E79B-4B7C-A859-26448F6AC61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E52C06-698E-4A20-8F3F-CFBAD2712BC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39EC1F-B08E-4FCA-A559-AB1C0A9E6D1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71CA4A-CE0A-4EB3-99F7-27D7E9C705C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0EC591-F3E2-4596-BE6D-6E6E2571AA5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BD6120-E7E0-4DD7-9B9E-CEF8010BCAA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B4E9D7-48B0-4313-AA2E-CAE35A90842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C81D82-A323-478B-BAC3-602F05AAFD8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F4D66B-6CCD-491A-8454-8179B221042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12976A-1284-45E8-B9CD-34FD9087E98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324B07-7E42-426D-9F6D-5DE9FE836FF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29A2A0-00E0-4E8E-973E-0DEFC5E24CB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FBB148-0894-4FF5-9E9A-12D6C902BF9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52AF37-6F79-474A-8C15-6EE4EAB0C32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193B8D-D24A-4AD7-B83D-7027B2A7EA9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35B280-6932-459F-890D-8C13CE2C1E8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A12EDB-4E40-402E-BD96-A8E71062627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A8EBB7-F260-42D2-B4F2-CEAD28C7178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BAC096-FCE5-4566-BE73-B069EE73ACB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711506-BC7F-442B-9C69-54642F84971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49A4E7-45E2-40AB-BE19-0D41E1950BF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7CE3E1-DB0A-4027-9CD9-76034596BED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AABE85-FD2D-4C7E-8D70-F004B81BCD9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860BC3-EDFD-4A9C-AC39-62D0BE902B0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49C89A-289D-4592-91E9-0FE9F124625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7E3DD2-73FE-4E6A-8EE4-F3598F00923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B54E5F-E8D4-4EA5-AB1D-588DDFB3D9F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D904DF-9E6E-4858-B630-EF9CB4420C8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593EE9-FBF5-4ACD-BE86-F9582FDF6B8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B58CB9-A72C-40C5-8D96-56FD45A0CBC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2976C8-DBD8-40BF-8712-8F1A478F393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E4C1C7-8F0A-4779-9CA9-53AC30DED32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91ECC3-5C04-4D48-B568-CD0055CD713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4C4DF9-1B27-4972-B9AE-CDD4F0F0B60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122C74-4915-418A-8938-E676D4A398D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801C11-1BC5-4BC7-9E40-F8E554DBCA6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34C23B-D6C4-43D7-B397-D0F530E8DF2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DF5BD0-E7B1-4DAC-91A8-68D9DB983BF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8A1470-9DFC-4391-93E1-95C66C07E87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CA130C-ACB4-4A49-9047-65154E9240D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CC00D5-B044-46A2-964C-1C44417375D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B1C709-CB85-4A1A-B30F-135A755C59E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2C9F8F-A750-46CA-913D-98BAAA29E82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97356A-60F1-4186-922E-1D2E9A566C7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7F6E1A-B05E-43EC-AE41-B39F42D45F8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557039-F45A-4227-91B3-D3DDD932AA8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A32B5C-54D8-441F-874A-5535A3C99CA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95C819-8325-41CA-B96E-DFFDF02CEFF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67B763-40F7-48F8-8A8D-5B4B9D5C403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D2F3B9-C62B-4E77-9270-9439C606E4A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0F599B-7D99-40FB-A198-5010046E810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46F363-4E96-42D7-97E8-9405BF91579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2E9595-5F31-4644-9300-B6A7DD2A2AF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06C7F2-2388-40A3-823F-EE0DFCCBF31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C82FEC-8E71-488B-84E2-0C0DAE17BDE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C7A832-4042-4963-BBB5-79E3E914F8A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AE8931-CDA2-44B0-AFC3-758B1833E46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516740-2907-44CC-A06B-04F15CBB5EB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49DC95-72F9-4863-B060-141105B60F5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5B4F1E-7C76-4C06-8BEB-BB35CC8D92B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2E8BB8-64F6-44B4-8D3D-FF1ACDE4020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DFBD0A-44AE-4629-807D-85AA26FAF18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DA3B53-E7CB-4A3E-B3F1-C076E5D8118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14E192-77D5-403A-8F24-3E8661ABA63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4B3AFF-129D-4996-8F63-1FFB802A936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C6B01C-5BFA-4BA3-9493-DF58B307FC8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6D3DA3-8627-49FC-934C-C5E0CC1176C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A3607B-2D04-412E-8F11-ECE6B4ED7D3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C657BC-24A9-4738-9701-91A5F4C8CE1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208FB5-18B7-40B8-BD30-BA7DE78D21C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3F53A8-227F-400F-B812-119C9273B11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5EC939-9487-4C2B-9E1E-DDDB38F4ADF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0368D2-B44B-4BA5-B473-65B98409DCB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ECFBD9-2B88-43DB-B6F6-E30F8F3FAC7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64CF07-C01C-4B88-9244-03C45B63B4E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7620DC-F645-4B89-89AC-1F007B42EA3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307D24-4AEB-4526-9535-5277E2959DC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435596-59EB-4989-9F80-924EC4C4A9C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35927F-9306-45C6-B03F-A1428AF0663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632202-27E9-439D-84CF-B3B8C14D14E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D46894-67B5-464C-A0C4-1BBED435C4E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1C8BFA-58EA-4F3C-A6A1-341962F3AA0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8A6200-8136-431D-AD47-145C23D7974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D6EFAC-3EF4-4E57-82C0-8E8E6D81CCC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D7EC06-4702-4CF4-85EE-E49857F6468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799650-4245-4C08-A704-6D530377A55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1AD357-428D-460B-B1F3-241133037DC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F30BBF-6124-4E37-85E9-8B37E6A61E3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4C201E-5C54-4BDB-B7E4-8EB28594946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5DA008-3DCB-4EA4-B97E-BEE6A84C33A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0F6A34-B619-469F-8CF1-7AF39CAF2BF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7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C8AD72-C806-4E1B-879F-F50DE9E3EDA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8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00C8F1-48F0-44C6-B3AD-236A9413E0A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8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E315A5-E47B-4DFA-922C-5A7ACA8ABF4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8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725978-0C92-4D85-995B-B62BA7CBDB3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8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038D4F-0116-4C0D-92B2-25DC5B1E648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8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2E9868-01A0-49C1-B67F-99F113420CC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8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21C562-49A0-446E-8EDA-DC8B9E6BAA7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8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6CF40F-5C51-4C97-83E2-68897F177A6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8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8F28F6-F849-4F2B-8BB0-105750D0B78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8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F2C535-4874-42F4-A2D7-6B63C39A28E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8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333ABE-81BD-4D83-8790-892C00628D2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8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535712-CC5B-44E9-9202-84DC5CB527E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8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E16069-062D-4CCC-A601-9A238DBBED9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8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076A21-1C5C-489F-8F44-447E7F67F3A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8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60FF01-F69B-48C9-B477-98AFC9A57A0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8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479638-32B0-458B-8329-A6D7651114C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8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1F0871-0391-474B-A05B-2D74D92E37E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8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9DD03B-455F-4FF8-949B-195FCB707B3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8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B77539-D877-4D53-9D78-7AF32D39F2C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8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16111A-B4AD-47F6-BC3F-4D2DEA9AC48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8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717A1A-4F0F-46C5-B297-17AD1134B10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8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11D4A5-2B10-4768-A3B8-1714325BEC3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8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C97D67-E078-43DE-B72E-74B16B97D3D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8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ABE790-4BB9-491E-884C-34A1A10A3E4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8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BD4831-DC33-46B3-9295-2CFD4266F34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8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9B2A11-012C-47E6-9F6B-FEBF0A8A64E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8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2EFBA3-EEC0-4F94-8F36-F6EF872FA29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8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B54F4F-934C-4717-8070-FADB57993C0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8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586B54-524C-4083-B25E-2DFC005BE06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8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B1B938-54D0-438E-97C5-43FD8D9201A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8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D48EA3-45E2-44D8-9C1D-1BD2B9D1CD0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8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9CD04A-3CBF-4559-B0E6-9A8D8B452A5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8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669DBF-A6FA-447F-B1EB-FBAAADFD66E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8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556A6B-9603-499A-BF3F-370768C8718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8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01632D-98FF-4799-B578-97786A05614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8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161C14-9B24-4CE0-8F98-73514689F63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8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A1BFD7-FD3D-4FC1-A940-CAE930CE719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107</xdr:row>
      <xdr:rowOff>0</xdr:rowOff>
    </xdr:from>
    <xdr:ext cx="304800" cy="304800"/>
    <xdr:sp macro="" textlink="">
      <xdr:nvSpPr>
        <xdr:cNvPr id="78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E6C6CD-97C0-4716-86AC-4DD93A173FE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535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8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AD9D83-18C8-4EC5-8D44-1DEF984A15A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8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2873C7-E65A-4684-AAED-803DD9EC38F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8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5B9253-7085-4BCA-885A-C8CA4DF8ACA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8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EE8DDE-EEC6-4D1A-8D73-811099D474E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8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7CBC32-0C90-44A0-9D5A-FF06F31E9D7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8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569F77-5AD0-4055-9F43-7AC11D2B314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8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1365E7-D598-4730-8B59-3E3515E808C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8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267643-F36A-4E1C-9020-1286C4C560B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8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97B0E8-BC16-4364-9CC2-B61FF9B7CD9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8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3EFAD0-7161-499B-8195-9A7F2313F61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8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7F0B77-5819-4FFB-9D9C-12EDC231995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8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75C578-40EC-42CA-BA78-0C1A6811335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8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A544CF-01B0-476C-B871-51DB3B81DBB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8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6D41E7-8377-47D1-B814-A50EC4322D3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8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930F6E-B170-4225-96AF-43ADA3EDBBA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8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E16B8D-7116-463E-8D89-B4872E1112E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8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3A8DD3-CF45-4BC0-B604-8DFB8F214EC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8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CE6364-579F-4A66-8578-24E96D1A614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8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B53082-2248-4103-9E50-0572F5122A3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8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2056E3-23B1-425C-955E-87767D95B63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8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B425E1-71F7-4742-B8B3-E2FDD18CE50B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8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DF8801-769C-432E-A40D-75253D912AD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8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299732-1C46-45B7-AA8C-A4A031484CE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8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9A064C-0DF1-4E54-9519-26531318070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8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CE6BDD-EFE1-430C-BEC2-DE3743750FB1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8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A7AC81-6592-4290-B098-4BC07C6363F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8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BF8C98-56D5-4662-8B41-ABA3EE41818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8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FBFBE4-833D-4AD8-B896-CA46748D211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8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EFE548-315A-4177-933C-0E4D1F388BD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8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723269-8787-43CE-B989-AFB37BB685A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8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F70687-7880-4DFE-9A33-1FDE94B905E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8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CF7159-0593-435F-BB40-1A549B9FAA2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8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469B2F-9281-4FAC-BF72-C7C1D29FD3E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8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AC7829-29E4-40D3-A44F-C539A2A53C1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8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1F7BD6-E663-4E81-8CFE-01F7B9563AD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8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56FD41-E321-433F-9555-88474F3C2F4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8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A0534F-B08F-4A5C-BF8C-900ACCA8D8D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8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67E04B-D5BA-4B96-A6DA-8C1F3284A9F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8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D18D52-6A5D-4959-9125-5726704DD4B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8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19A548-A4B8-40E8-BFDF-C1B64883E92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8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9530A6-C659-4774-B5D2-37D787CD45C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8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A96AEF-0836-4EE5-AACC-E31287971D2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8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93DC35-65E3-49D9-9D43-DA80FF4158C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8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967BAC-C6EA-4D84-8DB4-0DCBF85136B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8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1A9299-8B9F-401C-B250-11BD1600194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8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E5B69D-6529-4F00-97CA-33CA29BE3D2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8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FCEB1D-7655-4AB5-B2CB-7B093581881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8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BF2A5F-F9F6-47ED-AA6B-E414CE48C983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8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699580-3409-4412-B6D4-358C603A816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8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CEF2E1-9781-4075-929A-7BCB10D72F1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8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8A3961-3B74-4D00-BC18-27471A0639C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8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A777C8-F9BA-470D-B6D6-EADD008CC1D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8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8999C9-136E-47CB-82DF-3E6B879090ED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8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544279-F6DD-4F4B-A5A4-53893380656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8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D9A1D0-95E0-4FB6-B0F8-7EC2E3C4255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8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651F08-790E-4945-A695-D72B9843710F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8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7B0C12-DDA2-43E6-90EF-FD4A4C2D950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8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20388F-63EC-4D6C-BF58-932C1B78FFF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8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8B582C-C8AA-4649-AD76-301DD535C7C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8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556C74-8206-4004-A928-3BC088E575E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8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6CC53B-B9AD-4294-BDCC-36B57D16D73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8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70DBCC-AA02-4770-A3C1-3789F742093A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8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3A2A9A-6734-433E-9813-1ADA1ECB9125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9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F3050B-C916-4C4C-B9ED-D6479A0B2EF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9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F01B8B-0F0E-4B69-86B9-1D0E39F30CA0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9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ED68F0-539E-4AEF-BF52-2FA140819F36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9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2D4EC4-4CC6-4C4A-92D8-D1237400B5F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9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5DC31C-2581-4C81-9E15-A87604A5792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9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616508-5066-4915-96CA-48A1B7A8517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9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4D8073-3FA9-43DE-A3A3-62E2B18568A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9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96D9B7-343C-410A-89C8-29A1E7E5B4F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9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620DBF-2B4F-40CE-88CE-7B6F109D529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9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4D1CBD-3DEA-4DDF-AB66-28AF8F82A7A2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9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B9F096-5831-4E76-BBA7-CA204940722C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9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ED02FE-E017-4615-B838-1F31EDA25BA8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9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EF8142-6B76-4359-A0F3-711314A452B4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9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C485B7-420E-41AB-A820-174E98A930CE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9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3BAC18-12FF-489F-923E-581DDB52754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9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E9C447-33A5-4C7E-BB21-AAFFFDADEB37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34</xdr:col>
      <xdr:colOff>0</xdr:colOff>
      <xdr:row>10</xdr:row>
      <xdr:rowOff>0</xdr:rowOff>
    </xdr:from>
    <xdr:ext cx="304800" cy="304800"/>
    <xdr:sp macro="" textlink="">
      <xdr:nvSpPr>
        <xdr:cNvPr id="79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04DC8D-DA72-4C15-BE75-DC6C2C02D6C9}"/>
            </a:ext>
          </a:extLst>
        </xdr:cNvPr>
        <xdr:cNvSpPr>
          <a:spLocks noChangeAspect="1" noChangeArrowheads="1"/>
        </xdr:cNvSpPr>
      </xdr:nvSpPr>
      <xdr:spPr bwMode="auto">
        <a:xfrm>
          <a:off x="16754475" y="2047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79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F1ADFD-45B5-44E5-B2E8-C049ABFFE582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79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BDC133-F43D-4185-A4CA-8DECD68623F2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79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E4A031-105B-4DB2-9781-F84B216C6280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79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5E7438-E67F-4956-BBE6-42AF76C81AD5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79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35A2E5-41C9-4633-9F60-00D5D5E1C116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79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6F91F9-58D0-40F0-AA5E-2AD4BD36FD76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79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7396FD-4EE6-4461-9BAA-630B213051C7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79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47D20A-FD74-499D-B043-4807F51427B4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714375" cy="304800"/>
    <xdr:sp macro="" textlink="">
      <xdr:nvSpPr>
        <xdr:cNvPr id="79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1B73B0-172B-4FFB-A5E9-80D6E5F79AAD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9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565255-E07F-44E3-85CC-941848E29182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9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3B40F8-A0C2-44FC-A3DB-E55296EC0F48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9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6F5FE1-60E0-430D-BFC7-697F842B6313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9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0F93BC-5353-4389-B52F-BE7E9390DDC8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9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97B936-BA45-48E0-8C95-2C0E1DC8ABE9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714375" cy="304800"/>
    <xdr:sp macro="" textlink="">
      <xdr:nvSpPr>
        <xdr:cNvPr id="79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52D31C-553D-44CC-A374-E5114EE5368B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9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E71E24-16C1-4823-B6DC-BCD18B3BF76E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9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EC829C-964C-4D8D-978D-068422E565A8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9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E39FBF-7683-4368-BDE6-D80630EF2532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9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944E9D-8302-42A5-8036-3A8B6A894495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9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3E5F25-7693-47D2-8E8B-5FF599652ACA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9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3CABEF-96DE-4858-AD52-A51B13141522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9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675981-981D-4D56-97E3-4FD447A3D782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9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E98C4F-7773-416B-A1CB-6A8E66691D56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9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98BB5D-3A19-44CB-AFA4-AC4238CC8D99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9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5BD6D9-10BE-48DA-9C93-4004CC33C88B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9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904A11-698C-4B50-8407-3F5D870FBF7D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9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7CFC44-7BD3-44F9-B843-4483276401A0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9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6D6D60-F491-4A02-A42A-6DB198AF0368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9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28BB17-410B-4035-AC27-1EFF7DB74D68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9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0129BE-202D-45F8-ACB7-BA4E6AA5ABD6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9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F3BCF8-CE6E-4A35-9134-182D477024A3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9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E2D4D7-86F2-4FE9-8A24-1E484C5C2723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9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3FB51C-D206-4639-88B8-BB9F7F61EC84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9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C30682-8DC7-4D84-B4B2-C79B14DA2824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9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EEBE97-F5E4-49D2-A63D-4C605A2ADEE5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714375" cy="304800"/>
    <xdr:sp macro="" textlink="">
      <xdr:nvSpPr>
        <xdr:cNvPr id="79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9B06DB-4ED8-4616-94C5-D3982FB5D367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79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83BAA9-49BE-4A56-9657-9C7C83BCE09E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79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DB74CA-5CE1-4E37-9573-846FB986BF65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79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CB23FF-5203-44AC-BB2B-64D51FC65E1E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79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A7A9C3-9C71-4294-884A-64646F14A764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79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6D7F8B-9861-4B57-A557-EA154BFDB203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714375" cy="304800"/>
    <xdr:sp macro="" textlink="">
      <xdr:nvSpPr>
        <xdr:cNvPr id="79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18B73E-745B-4193-958A-C687E1CD42CD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79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FF5EB8-C181-45A0-B717-DCB7270105E2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79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FDCBB4-C18D-4BF3-8133-8A100E64E082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79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BF625A-E8D6-4671-B99A-131D0106BC20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79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98E229-130D-45C2-85C1-62092AAF2924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79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C7545D-786B-49CD-814E-B9B451926847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79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98BE5D-FCC8-4236-9EE2-A49E6D6D1410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79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29A890-8B7A-4CEE-BFD0-3E44CF2913FC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79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E5B0AE-14E1-46A7-8E7F-1125CB7340EC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79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0A0D26-A90E-47AF-A54A-799EC5B71595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79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036426-2606-459F-9838-170AC5A5933B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714375" cy="304800"/>
    <xdr:sp macro="" textlink="">
      <xdr:nvSpPr>
        <xdr:cNvPr id="79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25194A-D704-4998-BD42-D26A10B617C4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79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9A255E-2FDF-4F04-9C9A-79F4130998C0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79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4A0EE7-A68A-4A51-9237-FEEBA099BC68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79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6DA7CE-0879-4181-857A-34588E58E300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79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F4B47E-8E34-430D-BA9D-8EF105354A42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79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7A35E2-EDB6-4DAD-AE1C-C435375A471C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79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5DD3F1-1915-41C8-8855-891703C4F15E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79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0DB0E0-6DBB-4B25-AD51-F04005675070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79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B9B432-8633-453A-A09D-ECB9B9D0795B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79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3A6A76-1AD2-4F98-9237-9E6927BB26CC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79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9F35BA-7657-4D8E-B6CA-0B580D93BDC6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79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D12900-199E-48E0-8BD0-FE2C068604E5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79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DE885B-8678-47CF-BDB2-36BF8CDA85CE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79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064897-1784-4441-99B5-7100DDC4AFA6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79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39A456-D72D-4798-AC26-FEEF238CB558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79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F2D20D-0A2B-49C5-9BFC-CD04543C8ED9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79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97CB88-E2B8-476E-BB84-06887C6060E9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79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2CD726-505B-4AB4-9DDD-11C7CFEFE22B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79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90DEE8-49CF-4C87-8591-76224ACC3277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714375" cy="304800"/>
    <xdr:sp macro="" textlink="">
      <xdr:nvSpPr>
        <xdr:cNvPr id="79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05BCC0-E786-4832-B492-9A767CC74013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9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F8435A-3AF3-43D0-92EE-5C4D7CD00306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9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BF601D-5E2F-42FA-9A51-625A89067596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9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F30BCF-DB10-4C85-8E07-A84D9C742E4C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9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B29F35-2EB9-4AA8-80D7-02520A78049D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9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D83B90-DB4F-4591-BCAC-01BCEE9FD57C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714375" cy="304800"/>
    <xdr:sp macro="" textlink="">
      <xdr:nvSpPr>
        <xdr:cNvPr id="79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C773E2-918E-419A-AEB4-B8CA6CFA9198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9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A29E09-124D-4F90-B5F5-173A832B99C3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9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184893-0251-4540-A02B-25737C1469B7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9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623323-ACE1-4C4B-9F27-1ECB68994640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9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9FE7EA-CD1E-40B1-BC51-C0CB6BB57DAF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79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B9F588-EC2D-4227-9795-B5B716DD7631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80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E775A1-457E-41E1-A25A-9DC763E68813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80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79E54C-68EE-4775-8B1F-34870FD3BF2E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80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1ED902-02E7-4A41-90A4-EE8B3068E3C3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80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FD4DBC-6ACD-46AB-B0FD-8622F17ADBEA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80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259F87-D83A-4C2A-8389-6C081D204F07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80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95B662-95B8-40C0-8F8C-6F69E26F6859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80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8EE258-B026-4DA5-A8F2-D84EFE7A5330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80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739F6B-28C9-4BE4-8091-F83EEAD49D54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80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89EAA3-1DC4-4030-A5F7-9196C6807023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80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84492F-BD43-4F21-9EAA-30616A0FE6D5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80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7B300C-8D22-49D0-966C-8DC25E3C3645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80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080109-F34E-40C1-B0B3-B1ACC2B57A3E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80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B8BD6E-5307-4872-8808-74D368CF1203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80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C8989C-2274-4E3C-BBC3-C4033480230E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714375" cy="304800"/>
    <xdr:sp macro="" textlink="">
      <xdr:nvSpPr>
        <xdr:cNvPr id="80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2C431A-B416-4D3B-9255-D7F526A77FA8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B7C9AE-D15F-48E8-8AB8-0DB85CCDEAFF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F3331C-0F50-4C69-B8F0-B977014EADD5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C1C94F-F196-4810-A549-FDE6A85331F6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81BD08-87C9-45AD-873E-A80EC5EDE4FC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F340CB-4E29-44E3-971D-1B53D585055D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714375" cy="304800"/>
    <xdr:sp macro="" textlink="">
      <xdr:nvSpPr>
        <xdr:cNvPr id="80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EBC64A-B0E1-413F-BE72-8BED47F83C2F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5DCA24-4439-46DA-AF5F-8FE99CD20B3C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77C303-101F-400A-8382-547CEB272004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A49586-8D50-46FB-9E3F-1DF41407C5FA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94A114-D5C7-478F-8AB3-5799345F9717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DB6C7D-4B1D-4C4C-828A-B457C181C797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A38A1F-D7C1-4FF4-A160-F6AFC34E76F3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2CAEB9-60D2-446B-92D2-8A3BF78C078D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0DFD6D-D754-4B51-8758-7116504DC20E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5CBE17-0B82-47CE-878A-5E8BBE3F6CF2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577701-7964-4DE0-9ED5-43CA5C239D4C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714375" cy="304800"/>
    <xdr:sp macro="" textlink="">
      <xdr:nvSpPr>
        <xdr:cNvPr id="80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6DD7AD-AEFD-4D5F-890F-B40F43C2D3FA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F5CFEB-BCE1-486A-A068-A422837EA2C5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9D9106-3A2F-4095-BFD6-B97F7DE0B907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0CA1DE-E9E5-4CFD-95DD-EA265AFEE462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5F8667-63F4-449F-969E-791F34147EEB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8DAFF4-F734-4996-A256-E5DF72C045B4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FAE31F-1B4D-4543-984C-2754CF89E535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117370-7A5D-4E15-9186-3B9843B7C459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0A6333-5F58-4691-8494-78A7618B368D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D456AF-BA87-4B0C-B9DD-6547400D9BFE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ACF92D-B12E-43C3-851D-398E89C67A3F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0B82FA-AD98-491C-AACA-471B2B12E0E3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37A200-8693-4BD6-8CAA-686FA1E15A36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E7E733-9D11-4FBA-B030-BC6D296A0C46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04EEE5-657D-4902-AAE3-96CC5AE1EF23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BD01F0-0C62-476F-9C50-FB009F45F6D9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2B8DC4-0D88-4BB9-BA8F-0392C3D5E0CA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0DB2F4-B2BF-45E3-85BB-D2C4DD2FCB73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9526B5-3241-4C93-B445-1B26934B5C79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6D8461-4410-40F2-B47A-C8D738FD6399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38F149-EF1E-4C2C-852B-F3A9F53DD0BD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89C553-080B-4D86-877E-A0B0A7AD8160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ABA466-1C88-4333-90A2-0704E1F7391E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BD7EBB-A85D-4F53-8105-236F9166EBB6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11111F-DD54-4D33-BE1C-43317EE8228B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50C8F0-5E64-4CC1-B5F1-4B3B08020F8D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B5BC07-B1C4-44D1-873D-DE27956DB56C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4CCCAC-560F-495F-95BD-7346F32594A4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367B5C-F0CD-4346-BBA3-770DB3772D64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596D0A-41F6-4039-A0A4-CD8D355795A5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ACB31B-E5DB-48BA-BAC5-691A076B5167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E6BB39-3FE6-43E6-8616-CAD6E0438337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4E8A80-5039-45A0-9C2C-CE488D62953F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8C692E-54D6-41CF-8CB5-84DC82CA8368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5C6160-CE99-445C-8203-D812D713C7FD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B70A8D-DA20-475C-97DD-E8537446B598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CD4D61-27CE-4E8B-8FA7-329FD357D229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9DB2B1-D60B-4AE6-B52D-8288BDF37C31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2B5814-E9E9-49CC-8279-2F25AAADEDB1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1BDA5F-E696-4B97-9884-6D09B6EC552F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65D253-D283-45C1-BC5C-775FB457FA58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A22C82-598F-43AA-8674-B96330C89888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9D618F-BA30-48F7-99C1-3EDC9349F9B2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667D19-B6D1-4C70-AE14-B69DA6F5E0CC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779F35-0147-47C4-9C80-5EEA79B4451E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EBB284-F391-4500-A87F-9BE402072F65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AFB586-4975-407D-9E5A-9E8BADA22194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6224BE-3C15-4E2F-BF02-2A707D23CE59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EAB489-B5E3-4E06-B3CA-8BE8B50FB730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25908D-78A5-4DA5-A61E-AB86A9FEB399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668F1C-7D3D-4C44-B317-FD1FD8487E42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E95BD4-BF1F-466B-92D8-222ACA80CC10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19A834-6386-40E1-9B3D-A6B83E8BA785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B030F2-DC24-414A-84C8-9B978CFFF4F9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41A81B-5D28-4CF6-9EFB-AAC086C487F1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E9FC9F-70CA-4070-81C2-F08551BD7F2E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C163B8-4FF9-4EAC-A4C1-2BBB6C911A66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73B88F-B01A-41AB-BFBD-A096D073264F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203395-9A0A-44A8-8245-1EEBADACCAD4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EA029C-746F-488A-8B74-C2D7C7D0536C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A03405-7D57-4B04-960E-1D907C20663A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209222-7EBB-4FD5-8D64-F1438FB26716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1C420A-8C0C-45FC-996C-D03E547F77D4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64392E-3202-4C96-BE80-B65E055E850D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1ADD9C-F9C4-4941-8B7B-F771469586CE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73957C-619E-43E5-9788-0D296DF35F9A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530669-4161-4E48-8211-EF4C66BC565E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6F998A-B259-4A3E-8DDB-1EB136D7B5D3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0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2E2D1C-CB19-4756-82DE-6347B4038953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1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F13D01-303B-460D-9871-38AED042DAF2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1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042A8A-AD16-4499-8B39-3E269A20947B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1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C0D9BB-B4A7-4BBD-933D-6658A507886E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1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86B098-7CA5-4A4D-901E-1D631599C405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1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F83FAD-FF88-44C2-A580-91EB07B8F949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1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E2E984-88C0-4B0B-8C97-0CD3B60B8A53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1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A18BED-2F1E-48B5-A354-8847743D3724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1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2CD7A0-A161-4B52-9177-D28C25145289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1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63EDF9-9076-499C-9A1A-38921163E7DD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1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C2DD29-445B-4E02-8F98-6348D1511CA4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1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6EEE76-9DC2-45CF-A7FC-70AE24DFD29A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1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85765B-EEF7-4BBF-87AD-6CE477CEBD59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1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1F9737-5BA9-4305-9E4B-0B0A92F83E4B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1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777F36-9A2C-464A-B9F7-7B9140853B18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1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57FAD5-D8D6-497E-8932-772E09617FE0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1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675ED1-A5C5-47A6-A2CC-806554BCCC1F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1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BF8723-DE90-4AD5-9F7D-3ACEEADE21C9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1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B922F5-2275-4512-BA03-15CC068172B4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1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CBA986-5A43-41C9-9D93-3AAB5B32C767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1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A60929-AF3A-48CB-81C7-998C891D3E30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1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092C57-CBAD-4222-942D-160E48F7A4AB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1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120F96-61E4-49A4-9C99-01828F4704E1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1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EDD73C-476B-4643-B9D7-A1F9E7AF1E4E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1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EDAA15-6954-48E5-B34A-7939A5C9ACF7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7</xdr:row>
      <xdr:rowOff>0</xdr:rowOff>
    </xdr:from>
    <xdr:ext cx="304800" cy="304800"/>
    <xdr:sp macro="" textlink="">
      <xdr:nvSpPr>
        <xdr:cNvPr id="81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CEB039-19EE-4170-B615-1AB72B2B0AF3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714375" cy="304800"/>
    <xdr:sp macro="" textlink="">
      <xdr:nvSpPr>
        <xdr:cNvPr id="81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713631-EC72-4CC9-A898-994DF001644C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81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916C1E-2CFF-460A-A457-BC3AE47EEBCE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81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132459-C882-4F73-AD2C-49D8F6799DCD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81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99CEBD-BAA0-43BC-AB4A-FB0846DD126D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81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2DA9A0-974D-4153-9F53-AA5BAEEA13E1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81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6A0886-4388-4B9F-BCB0-2A74BF198523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714375" cy="304800"/>
    <xdr:sp macro="" textlink="">
      <xdr:nvSpPr>
        <xdr:cNvPr id="81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0A98D0-3A65-45F3-9A24-835A7B53FC0C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81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1E2ED3-FDC0-4BF8-B464-EEBA564AD723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81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7DDF9D-3DF4-4C06-A79E-A0A805FC4DBE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81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29EF58-37C9-49E8-BA7F-B2636F4AA715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81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3A5964-CA0F-40D5-A0C2-C1DA8FDD9E38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81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CFCBEF-AD27-48FC-85D1-DEA199420B0C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81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AA6926-B45E-42F3-A072-E340A160815A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81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D5CA73-3401-4825-A8D6-AD62200B0128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81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8C2905-7FB0-4BB7-950D-8191369DBEE6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81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2B1B5E-BDD0-4D6A-B737-F4C0118B4A45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81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1BD427-9827-4802-B746-E78ACB2A5CC7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81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5CE021-DBB1-45CE-83D7-D31720498586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81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3F9F46-E110-49F5-96D4-584B2D6EDC9B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81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B70D0C-D339-4E1E-B1D5-082DEC423168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81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25254B-1604-4AA7-89EF-9D02B9814B3F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81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23686C-6BD2-46ED-BA56-5301B835DFA2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81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B923BD-564D-4DBB-A1FD-A9D69CF5CE81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81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BFDAEF-6428-4173-B2A9-CF28DE9A3537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81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8842F7-B1F0-4AFD-97F5-726F4EFC22CD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81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44585B-FC9D-4FF1-ACBA-7102740B9A32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81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48D328-AC36-421A-BFB7-B923564AC2E1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714375" cy="304800"/>
    <xdr:sp macro="" textlink="">
      <xdr:nvSpPr>
        <xdr:cNvPr id="81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83247A-C535-434E-8F05-6B0BB3A40919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81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31FD8F-E47F-409D-ABF5-A98C6F69C479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81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29A310-7A9A-4242-8785-1BF5A3D97BF4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81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5A0061-BD79-42B3-8067-08373C7A8F22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81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98D875-3CC1-4884-BA77-58FA33ECACDD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81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F5B99A-CF83-455C-B9E2-D692A93DC135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714375" cy="304800"/>
    <xdr:sp macro="" textlink="">
      <xdr:nvSpPr>
        <xdr:cNvPr id="81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EF4035-5038-4021-8FA0-65C8383A6654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81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14E6AD-8D12-415E-8C78-C6B07A8865B9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81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D40DD1-FDAB-4BC9-986D-890407BE1091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81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E25F0C-B1E8-40AD-B99E-6CA1D805A8DF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81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FCE4F2-816C-4AEA-86A0-71A53AC2ABAC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81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47376C-DC7A-4CA5-B287-4989B1AB245E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81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2E3178-F681-460F-BEB5-E83F84AFA8BC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81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593032-0324-45DC-83F0-5D3A0C06E1AD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81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D0224D-1822-444E-8302-9AC6843B762B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81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3777AD-2EAA-4E5B-9165-0B339BD2CA7B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81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D29CD5-4177-456A-807B-FBE128D5EB7C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81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AC0C3C-B131-4E6E-9C8E-EFF96BC6C3CD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81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C1B1E0-A96E-425D-97FE-F6D9F2452898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81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2A91C9-FE1F-4B5C-A19C-7FE93878B649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81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904699-E217-4102-9C7B-AC12036CD37F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81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9054C8-2644-474C-85BA-EB7CAD5B686C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81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100DB0-1B53-427B-9B14-38CCBC9D5E80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81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D15D16-6E7D-4FD1-A5E0-8BBE30B645C3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81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13AE38-A513-4B5E-8E59-7F1F2214E6F3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81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720830-F1EF-4A75-B30F-23ABB30BD4EA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31</xdr:col>
      <xdr:colOff>0</xdr:colOff>
      <xdr:row>5</xdr:row>
      <xdr:rowOff>0</xdr:rowOff>
    </xdr:from>
    <xdr:ext cx="304800" cy="304800"/>
    <xdr:sp macro="" textlink="">
      <xdr:nvSpPr>
        <xdr:cNvPr id="81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E9092C-1835-43E4-96A2-063BC1372155}"/>
            </a:ext>
          </a:extLst>
        </xdr:cNvPr>
        <xdr:cNvSpPr>
          <a:spLocks noChangeAspect="1" noChangeArrowheads="1"/>
        </xdr:cNvSpPr>
      </xdr:nvSpPr>
      <xdr:spPr bwMode="auto">
        <a:xfrm>
          <a:off x="15278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714375" cy="304800"/>
    <xdr:sp macro="" textlink="">
      <xdr:nvSpPr>
        <xdr:cNvPr id="81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7CAA61-605D-4A5F-B04E-4E37054B34CA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81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051D9F-0730-429E-9BF7-46C964E1F8CF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81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189DA3-4CE1-4746-83B6-CB91CF4BCFE6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81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1A45D4-1A33-4845-AF41-9647CC019DF4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81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9CB5B1-837A-4336-963E-65D1CD2F1BF2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81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DD8A44-8AD2-4714-9449-E8421DE4686F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714375" cy="304800"/>
    <xdr:sp macro="" textlink="">
      <xdr:nvSpPr>
        <xdr:cNvPr id="81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3D8C5A-915F-473C-BAFF-A9798F44180A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81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E4CADE-4B91-46BF-9CFA-4978ADEFC5B7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81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BCB9DC-3855-4F06-B7A5-57DBA96DCDA5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81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A7FEAF-6DA0-45B4-A60D-F06840B87C27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81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6D0F31-739F-4849-AAE8-42A65DFD82E8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81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9052A3-5C7E-434C-93B8-A30727E76361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81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F6504F-0FC4-4735-96A9-9F58B4F5B8ED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81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A57A27-3A4E-43FE-8C00-34F52889FD7B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81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D499A5-5487-4E8E-B7CB-74328F0FB6E4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81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461AA0-BDA9-445B-B564-A800861E526E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81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F5F91C-950A-4979-B273-F5C5789DF5B8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81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A5EB39-D173-4FDB-A247-361638116BD1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81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26A8DB-176C-4AAC-AAF0-4F75BCEC7A34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81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75B717-EA18-499F-8FD4-32A7D6C25147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81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F56FB8-FC51-4774-A461-335E9824B77B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82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FA4839-699B-4A9D-B7AE-F7EC7D6DD598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82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06BE7E-26F8-488E-BA0A-51741D53D90B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82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72E0F3-8B36-4191-9892-34E368443DE3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82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C50013-DDEA-4D67-96AE-AEA37C8C76E4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82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5B8B70-86A8-46DC-B773-392060F07289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82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2D0952-84FE-41DA-9D47-462AA952AB70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714375" cy="304800"/>
    <xdr:sp macro="" textlink="">
      <xdr:nvSpPr>
        <xdr:cNvPr id="82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CF886D-F3C6-47BC-951D-E2FE3C5E365B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82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BF8BD0-A2FD-4236-96BC-404CF7D126F6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82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2251DE-6E89-4109-9E62-282183E18A7D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82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4D7CF5-EAF4-4483-8AB7-4BF3E3775153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82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300A8B-DF3D-47FC-AD7F-16BCCF243AD8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82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F0CC97-4872-4A2A-A5F1-A980B54FD1FE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714375" cy="304800"/>
    <xdr:sp macro="" textlink="">
      <xdr:nvSpPr>
        <xdr:cNvPr id="82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72D4E8-451F-484C-961D-4C356AA1985A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82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1ED99D-E499-44C7-B41C-8E72234760DC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82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7C5042-3A1A-496C-9B2E-0598948EC40D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82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110484-13DB-4FD8-9E9D-E52E3E6CC73D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82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6ADC11-FDC1-4377-B52D-02D2948A84C1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82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B7860B-C8EF-47C7-AB57-36EF03020149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82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03FC80-DD97-4B00-85F5-E41B4ACA8990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82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208C7B-643B-42A2-A898-157584D64C1B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82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E5464A-0F2F-44B5-9A22-2637F30BE592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82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027955-30EA-4365-9D6F-DE47EF638624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82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31FFBB-9D66-48C1-A86A-A3899D52F58B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82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B0BCF1-A567-4D09-8309-0BB6F2240AB0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82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F05611-B429-423A-AEC4-68A540548923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82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0B21CF-573F-4937-AA2B-D77C91E827FB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82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4838AD-3ECC-4C63-BE0C-0BD4DA97C2E5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82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85205B-1B7D-4608-A9F1-67294CA39C25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82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9F597D-D464-4E7F-BBEB-217D3571E592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82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85B609-1078-461D-BD06-01031D5DD6D4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82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8E38AD-F891-42BD-9B3A-0FE1D9DEFCF7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82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DB0325-1FA0-4A6F-93AC-F87C52D95B22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82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B7D070-67E3-4F91-ACBF-54CDF53B5F56}"/>
            </a:ext>
          </a:extLst>
        </xdr:cNvPr>
        <xdr:cNvSpPr>
          <a:spLocks noChangeAspect="1" noChangeArrowheads="1"/>
        </xdr:cNvSpPr>
      </xdr:nvSpPr>
      <xdr:spPr bwMode="auto">
        <a:xfrm>
          <a:off x="58007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03989C-B2B0-4CC9-ABF8-B8E18A96EF94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995C31-957D-4C86-9CFE-4D9EEAF21A1F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8FF680-1D83-4915-B8F7-67FA83DAAD79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F6B1C5-877B-447F-801C-C239FF22E488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072A5A-4845-4BC0-9513-78D08E3CAE2D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A408F3-2A41-40B8-9BD6-9F18297C2AF9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E16A53-8493-4F64-B492-4EDC58D2D674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9829FA-4E82-4BDA-B356-129DDCC35212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714375" cy="304800"/>
    <xdr:sp macro="" textlink="">
      <xdr:nvSpPr>
        <xdr:cNvPr id="82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2154F5-1B17-4CDA-9AD2-F1752DCCC5BB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987F32-5F9E-4D3B-9D1A-2FD257A6E0B1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6B9A02-1606-42A9-991C-1C03AEF8C6C4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A4BE6B-BC5B-45F9-89D6-96A2F9846E6C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F93AF7-E3A3-46A4-A583-71E8C420C826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0116C9-E6D4-4A4D-A690-AD510096825C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714375" cy="304800"/>
    <xdr:sp macro="" textlink="">
      <xdr:nvSpPr>
        <xdr:cNvPr id="82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B59981-EB93-4BFE-9736-CC87B008922E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53542E-11D1-4892-BC31-D03515A674A6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72A11C-3CD6-49CC-B601-6B1788DBE4EF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D87460-ECDC-4B58-B3EA-0CD0C514D915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59F649-2B87-4F6E-8AF2-4037E6566C01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4F746A-C118-45A1-93E0-A0613FD93CEC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52DB4C-3F00-4289-9595-E8CDE50D19DD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500403-71EC-4797-B8C3-529F9AD5E1FC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BE3E55-EBFF-4536-BA5D-72C279741D45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938534-554D-4759-A762-292E7A0D06BA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5C46AA-993C-4450-8982-4B1EC7B7E420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714375" cy="304800"/>
    <xdr:sp macro="" textlink="">
      <xdr:nvSpPr>
        <xdr:cNvPr id="82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717CCE-244D-4264-A762-AFB2C7917781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9D9084-2827-4F0F-A916-A9D2D77C1F91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2BB9DD-2806-4830-9D13-1E2B54D84D69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F774AB-C1F2-419B-80BD-AC1592D5F9F1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B771BD-278B-4197-BB02-7E691250E0A7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902792-035C-4172-965F-B75CA60F43BC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4B4C26-35C5-41A3-A399-057EA46299FC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8FA8F4-84E7-4516-9D1F-EDAED0187BED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E3B0A1-E295-4B89-BF3F-B62DE70E999F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E23390-1578-443F-9E54-EEC10EA61AA4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454EF6-2AF1-4FC0-8E1F-CD0C5AB837DF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2E2751-2384-4A69-A4F3-0392B98E35F4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9ECDBC-5663-44B0-819F-C9B5D9BA5BB9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09D947-DFDC-4729-81F5-1B14380BDF31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4E9C1E-42F8-45F7-A254-E8A7BD5A3E5B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409B0A-DAE6-4D31-A770-696933D08BEA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3AC2C0-84CF-48D9-B97B-A5D4D8B3817B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861995-F220-4958-8C3E-F04AFC843707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FE55E8-7DD4-4DBD-8E4F-BD089AEDC5ED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714375" cy="304800"/>
    <xdr:sp macro="" textlink="">
      <xdr:nvSpPr>
        <xdr:cNvPr id="82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DDCA80-B32D-419F-8ED6-25387573F8CD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631C66-9BBB-4419-B613-25493BB3D0E5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EF5CA6-731E-4384-B656-404B5AA62438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66D8F3-C59C-40FA-9F34-FC973ED38BDC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40A1EF-F2FC-4924-A6B6-DA2899AD9E61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C0B036-43EE-4DA3-9710-6F81E9202A52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714375" cy="304800"/>
    <xdr:sp macro="" textlink="">
      <xdr:nvSpPr>
        <xdr:cNvPr id="82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830EA2-22C8-4CBC-AFBF-6E623641067F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579374-EC86-4220-BF51-5DB976685836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4D086D-B883-4CC3-B711-730ACEBD8495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797C2E-768E-45E9-8E47-625FAE2DD87B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6272F1-6E51-4608-94E6-66F5FECD20C5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9FA8BA-AD3A-45BC-8522-7CD3F1E162E4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819307-5AC1-467E-845D-E584D0B068E8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D05B52-DB6A-431B-9F45-28C28D4FFF67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1C87BF-3758-476D-B58A-CBCA6BCC9E87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9A046A-8799-4ED9-894C-F84A2982590C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77DCFA-C6DE-43F1-BFC2-15D990226BF1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714375" cy="304800"/>
    <xdr:sp macro="" textlink="">
      <xdr:nvSpPr>
        <xdr:cNvPr id="82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F732CF-FF31-4D5D-92B1-FE5D9ED6EC02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33F7A1-B40E-4E0A-AB99-354362138811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34ED59-BC42-4D78-9B2F-926E82F274D6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DEFD1B-87A9-4687-AB53-C16382FF5397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75B69A-1E29-47F4-9743-334C378FEA5B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36FA47-BB6E-465B-BE50-C4E10FAD70A1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73FAD2-8907-41C7-BCC1-8FAA8B694385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B0D789-5C84-4BA4-9013-D01A09824E42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39DF57-29F8-4EBD-9652-CF966D8C9493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5EB14C-0A0F-4D8A-BC74-5C4210553700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614FAE-8ADD-4CEE-A16D-C032A728E320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847AC9-C0AE-4866-8A1A-30B44C5EF5D6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AD6259-1461-4A2D-82EE-3882F5B7F17B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3D9982-06FC-4EBB-B9D5-1D9316343C1F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5630CF-DF6E-4CEC-87AC-264E79D4C35B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81B5BD-E4FE-493F-848E-D05509270FC5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FBA187-BD67-4339-AE78-5952EDBF13F8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9DFBB4-01E2-4957-B7E8-FF984D32972D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D0358E-D0E5-45A2-9C00-F4FAB5576C56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839D51-44E2-46A7-A809-A6C6CF873276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7C54D0-FB97-450A-9F28-4A91FFF3B3CE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90A0CD-7E29-4D2C-8979-C965761435E2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62D36D-ED65-4211-B641-816986FA7573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8189B2-AF0E-4C68-B783-75872AB0A841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B6AF90-DB13-4D4B-B01B-6CE114A6EECA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615521-C807-450C-AEF2-2072E49FB9A3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56E684-1055-45EB-8FA0-5F3B4F956774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3C602F-2647-4362-9FBA-050A3D84DF82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E87730-36F6-484B-8C4B-8D4675F6D6EF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7A3D12-A237-4683-A4F1-520739EF3E9E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8342F5-EF75-4BF5-8649-C7E0E4B71716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FC1208-F2F1-4846-AF17-6F8EC97FE735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F79106-F1E1-4719-9C77-3A821696CE02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E26EDF-78F3-43CB-8BC8-046584B79A36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30AF79-7CED-4AB1-9081-92D371B39851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0C8F4F-EF1E-42C2-AE3A-36D9464D9A5D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E5DF9C-CCBF-4405-9CE7-789DC9658946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169730-C7C9-49E4-9653-8C13EF5CAE28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CE7173-06AA-4827-B7A5-84BDD208DF19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EFB858-9216-4CCB-8F51-70079082A95D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B740CB-9C83-4299-9C31-95DA5A4F565D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D8C009-CEFD-4366-AA93-9EAE18DCB502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471F56-CD25-4767-8688-DCB56C02ED59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C10480-073C-4245-B8C4-2C95790AE294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FAA943-6C79-46C2-B0F0-C4D5E715FABE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5CB9F2-EC45-406D-9F72-540A0E2B35D9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D415A4-3520-458A-981F-DC0477D51FE9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296686-753F-4A77-85C5-CA0FC3D7E5FC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F634D1-DFE0-4405-A49F-F32653C29CB6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134410-2948-43C1-84A4-4F6A54EA36DE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F316E3-8B1F-46D0-9500-B927D217F691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F26845-2BED-4777-8DB5-A664DCAD0278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7E52F7-5888-475A-A553-881FB498BDF3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42EA0A-03C6-4A11-8B84-EDF8C8728DF8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2D0AE1-B3B0-4110-880A-71BEC4FC2D6D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EB6F45-FAAD-4365-94A1-6E7A2C1834CA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9A3EDE-573D-4C6E-89BF-641304286658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AAD8D2-FEAA-4477-BE6E-C3602CF7A20D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97EB01-DD6C-46B6-BD9F-0AC260DB594C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BCD137-ACE6-4BA4-BEBB-AFD95565AC8B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761FBB-00A3-4F87-AC08-F64D744D891B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2C1773-F905-4D20-BC8A-3004A00F3F50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2E4F42-7407-4BD2-A8B4-B6FE74F6F7F4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96C00A-D60D-4A1C-B96B-8C6AE4F8A227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669471-9A11-4637-90DC-03B4CFF88A06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2076D4-E716-452B-B299-94F1B1D5F1A9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713C9E-0164-4247-AAF9-C3CC549DC6BF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2F46CC-FB7B-4A89-9D00-784A9426BA3E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456E11-0C6C-49E8-BDE3-C2C60E87E9E7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F8D0FE-85BB-47C3-B58D-9E2C4248515D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921B5D-D1F3-4BCD-931A-58B8775C0E10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7EEBB9-9779-4C8E-8A86-DC5E1EB73754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9C6F6A-C3CA-4B94-B339-D098D2596ED9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508138-EE62-42A3-9806-2DB543B02436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F81DB6-5215-4EA5-9F1E-28D0D7FDDCE0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F583BE-B42D-43A6-9C2B-8C3278DFC4E5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56DCFB-B2D8-4D27-9285-8A68D7C3C172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05410A-BF1B-4E92-85E2-24037A258C0E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301177-1DCF-46FE-85CD-F9B4C51DBF85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5634A0-9234-452B-B61F-32FB25DE052A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0475A8-1DA2-4766-BB13-8C6FF7775EE4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757E6B-CE78-4244-BA1B-4FF533BB87FD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C8D98A-DCFD-4A9F-8889-AB1695B701F1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829D04-0085-495B-B3F0-1E5B7D5C6266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601A22-3596-4BE4-A063-281C33617298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E91BF5-25AF-4521-AA7E-1A9BEC9AE498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3E9F4F-A7A9-4682-AC73-CA1BF8ABAF88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6E4345-E495-45E5-B8E0-232AE48CEDCD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84C50D-7585-4312-A891-AA4A854D568B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E1603E-87D9-4CDB-B418-B359A895961D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C0DC1A-0CBC-472A-9D76-22ECCD889C2F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C0B454-0F29-475A-A617-D771DF5B42FF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BB66DA-FAF8-4EDB-8CC4-FB31A75BC7FD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1E6144-A2B6-470D-B17F-B824EB9F444B}"/>
            </a:ext>
          </a:extLst>
        </xdr:cNvPr>
        <xdr:cNvSpPr>
          <a:spLocks noChangeAspect="1" noChangeArrowheads="1"/>
        </xdr:cNvSpPr>
      </xdr:nvSpPr>
      <xdr:spPr bwMode="auto">
        <a:xfrm>
          <a:off x="55626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714375" cy="304800"/>
    <xdr:sp macro="" textlink="">
      <xdr:nvSpPr>
        <xdr:cNvPr id="83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ABAF3A-DFC4-43B2-AABD-F0918C601504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3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10A8E0-9CEC-4235-ACB9-9398E3A37C47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3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5E603E-7910-4853-BFCC-F22FF973DDDF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3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6AC253-FD0B-4058-B747-C6A99FF99A73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3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6D0B1E-F6E7-48B4-AB3F-72D70F114B20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3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119AD3-CF99-44C1-BC6D-D4F127AE3F38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714375" cy="304800"/>
    <xdr:sp macro="" textlink="">
      <xdr:nvSpPr>
        <xdr:cNvPr id="83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0C0F52-CD74-4EFD-B165-B7796EE7B6C4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3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5A47AC-4C93-4FEB-9F2A-46C764C9C69C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3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C641C5-A2AB-4A6D-A7E0-6715D9F629AF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3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D35FCA-A99B-4CD3-B5C2-940729CF4421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3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B13751-2242-4888-BD78-D4BFEEC58C77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3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6EE4C3-0BD7-4F64-AF59-51CBFB033E24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2DED51-6451-479C-9A07-495D38D2DA33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082EEB-3F34-4780-9DEF-3C6388D1D434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B52AD0-D2AD-40F0-9D9A-EE5EE6EF90DC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5D5755-D818-40E7-89DD-41E8D3201D91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3DF9BD-7050-4A66-9BC8-51BB6B69DD59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1F58CB-F1E4-4323-82EC-0778152D95EF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A7FB18-B624-46F5-A1B6-5FCC406F493A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75EA48-4816-4168-9B04-1FD6379A0D9D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DDFA4B-77F2-4235-B782-8B5D92C39DC4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A14870-E31B-4A47-A9E4-C3C9D406E8F3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F6AF93-C869-45BC-BF3B-12921836C3C3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DEC793-DE12-421B-BFE1-182CF0F8585F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DB252B-50CC-4507-8C8F-EFCF4EE70158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480E79-B5A5-4E14-9A45-8DF9AF2970E3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C9021A-3AC2-4B96-B9D4-4AA1CE7DB9C7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714375" cy="304800"/>
    <xdr:sp macro="" textlink="">
      <xdr:nvSpPr>
        <xdr:cNvPr id="84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53A61A-73F8-4DF8-952A-F0947107CEEB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484D59-2098-475F-8ECD-6E08EC976F82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9EE296-3BA1-4DAA-A04C-4DD1B3B97D98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910E6E-9AF0-4E94-AE90-627A97BCE735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7F9711-9807-41D3-8733-5C7D7051C2CA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E1E820-1065-468D-96EB-A902B40B3D78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714375" cy="304800"/>
    <xdr:sp macro="" textlink="">
      <xdr:nvSpPr>
        <xdr:cNvPr id="84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AAB810-AE2B-4759-A320-13C083A2BEF1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00F710-63BD-4B92-99D0-9396FBE1D8DE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D757C6-56E4-4163-8C43-04BE881C562A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9EDD1B-CD17-40AC-B61A-722E40EA8A7D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5EAE05-93DA-4771-AEDC-12CB2689404B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4ADCD7-4C6B-43F3-A873-BC6995A651F0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CE58BA-0244-4A33-817C-F92CECF58744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1EB5E7-E382-42C1-A119-61D033C86058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D12FD4-E50D-4A87-9B1C-2584A7769308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23D699-1291-4EF1-924A-E455BD87297E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E2283F-B918-4DCB-8508-6F7065AAB18F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C8E19C-50C7-4116-B899-E205E018ABC2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32FED9-11DB-4C15-BBE3-E8FB60627E6C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59FC1D-08C2-4FA0-8295-AA7C402C09B4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AD1BB8-B3CA-4B8D-8E0E-EEF838FA55BC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56FB98-FD3D-41DB-9511-E8F7DB42F47E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502E94-2D7A-4F55-A84C-E86B2952995C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A9AF13-BDD1-477B-B179-D4218A7674AC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9A130B-BE25-4F9C-8F03-7951811F25DB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64E030-F62C-4093-B4D6-A2EF4757E024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194DF6-F09A-4A6B-A213-985545914406}"/>
            </a:ext>
          </a:extLst>
        </xdr:cNvPr>
        <xdr:cNvSpPr>
          <a:spLocks noChangeAspect="1" noChangeArrowheads="1"/>
        </xdr:cNvSpPr>
      </xdr:nvSpPr>
      <xdr:spPr bwMode="auto">
        <a:xfrm>
          <a:off x="556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714375" cy="304800"/>
    <xdr:sp macro="" textlink="">
      <xdr:nvSpPr>
        <xdr:cNvPr id="84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B3FF94-2AFC-45D4-BD46-22547491CE9C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4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1D3135-D94A-41A3-B034-5EFBD958597E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4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871A66-29D2-4BB4-BA73-EE54CD583F47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4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748C9C-C629-4EBF-A58A-BFDB2C88341C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4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759B95-7E82-49DB-B80F-E2166E725361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4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E5CAEB-6635-44A8-BB08-52841424095E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714375" cy="304800"/>
    <xdr:sp macro="" textlink="">
      <xdr:nvSpPr>
        <xdr:cNvPr id="84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DAE6FD-9272-4182-9FBF-089A2EDA06C6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4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50DE1C-D370-4764-B1C3-9597168F0246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4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E29EE9-FD00-4E0D-B01C-476BB28CCFBE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4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F5283F-E76C-478D-8EBF-B39605CA60CA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4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D265F8-6446-4376-8C99-72FFA84F4876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4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B15F35-4E9A-482C-A6D9-42772EBAD1AD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4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18490B-D823-4F41-8209-112C8A8FCE4A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4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C24089-3DBB-4C22-9F41-D4290569C62A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4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C5AB27-0E72-4F57-B21D-607779E4A748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4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35029C-055A-4775-82C0-82BD92F16CA2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4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631FDD-B787-4F2A-BEC4-36ED38DD199A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4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A7167E-47A0-42CC-8F93-4625EDF4074D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4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494971-934C-42F8-B3C0-1204601EF43C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4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657228-01C1-4591-A3F8-908C0CF203CC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4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0183B5-90B5-40A3-A588-5D7417ED18AD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4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81906A-12F9-4E5F-A7C7-B0951510D43A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4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44F56E-A169-4C5B-81E3-79451B30B748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4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852C94-B5B9-44B7-9561-A30E555758E5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4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E79635-EB4F-45E4-A8D3-235A2850A65F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4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B3105A-AA51-430F-ACE6-E2645AFC4C0E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4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D58D96-B3F5-442D-B2A0-4286C70F2294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714375" cy="304800"/>
    <xdr:sp macro="" textlink="">
      <xdr:nvSpPr>
        <xdr:cNvPr id="84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94147D-4FBE-4318-BE76-548E96691774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4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D7AFDA-BDD7-4C5D-B16E-8827B3EA51A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4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4F98A9-9D67-47B4-9959-C32D6488018B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4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9463E0-EF37-4B58-9645-7065E0C2F514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4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2B32AB-A9BB-4E85-99BD-6F413E75E4E3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4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35F145-FECB-4458-9B5A-B846BD23AB4B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4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5327DC-0A1C-4FBD-B8EA-82A62A57EE3E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4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54F3C9-7897-4F59-A2A2-0698AED84B0F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4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698C66-572E-4859-8463-A25AC82F3783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4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C789E9-90AD-41AB-B560-2D16C2E74123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4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AC865B-E958-4D78-AC48-BAD4581E8348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4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9BF67F-AC90-48EE-895B-39A4E621C418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4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4854E8-FAE0-4E6A-9316-7BA3B009B42E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4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8D7AC6-8FFF-42B2-BE09-D952B7EC3DFC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4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EA1515-2B23-4448-A105-86416B0B89A1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4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67616D-79B6-4059-BB7D-060B598BD22D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4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07B07D-E45B-4A69-A01A-1560C5B2BDF5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4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4D0BB0-6621-4DD8-98EC-E90D4322709D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4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18ED47-BBDD-449D-B366-9FC334EF4102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4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4100DA-7C94-4597-B9F4-F012F1A1FB09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4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FE6A75-16FD-417E-BACF-1FCF6990DF2E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4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3C1A52-83EF-4E47-80D9-3102F71B33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4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0D6E6F-48C6-4EF6-B8F0-4A3FF1006597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4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448973-3EEA-439B-A468-773DF328B6BB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84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89CEF0-092D-4F15-A097-C176B1C6247C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4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E1F76B-08E3-4956-9C46-8295D66D3F86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4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AE6BDE-BB80-46D5-9AB9-28F48AD737E8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4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D55E8A-9B70-46D7-879A-AD1719D3BE6F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4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125A78-87B5-48B3-A3AB-E137EE161CF7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4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D9698F-573E-4621-A1F0-47872DDD73FE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4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311184-0084-4E2E-85A7-03681E7A0024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A82E16-4124-43FF-8DE3-BDF740531A03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75B81B-6878-4EF4-85AD-DA90F927AEFD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714375" cy="304800"/>
    <xdr:sp macro="" textlink="">
      <xdr:nvSpPr>
        <xdr:cNvPr id="85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D57593-F07B-46E0-9869-6638F333B668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51D57B-F219-4C6A-A952-EB3B5D969A78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7CEF66-C900-4C65-9720-7740E72CB250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B8DD2C-B1E8-4CD6-89CE-C84443B4083D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10F924-EADD-4CC4-A3A3-CA05018FF9E6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5D73AA-E171-4E7C-80FE-7AF974ADB8FA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714375" cy="304800"/>
    <xdr:sp macro="" textlink="">
      <xdr:nvSpPr>
        <xdr:cNvPr id="85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0306E3-0682-44F1-8966-D6FD099BB758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B95534-3A42-41BF-8BCA-55E60E400BE4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9418D9-1AD6-4330-A402-2343515D1405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64D51A-D3AC-4F51-95C4-50F9250179CF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3D24DB-B0CB-40DB-9F02-A6254045A203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2E406E-493B-4419-9576-B345CF81AD69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E512B4-B625-42D9-8320-BB2FA7DBE1D2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61D9A2-BB3C-43A4-A6C0-C01AAAC2EE83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38615B-BC37-43EF-8742-C914F1FFD3CD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DD96DE-F7F0-4191-80A2-0B6266C5FDD9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A64809-85E9-4F16-9717-8D4E128696E8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714375" cy="304800"/>
    <xdr:sp macro="" textlink="">
      <xdr:nvSpPr>
        <xdr:cNvPr id="85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766CC4-9FA1-4414-9B76-4A1E30142788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25899B-4594-4DB7-B121-489A864E846E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BF56EE-60D7-486D-956B-719780B4A750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2A5B74-03B4-4327-B423-26FE855AB6A4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025332-F61F-486C-B7CE-98464E45B15C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B13B3C-B7AB-4747-A176-DA011EF62306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6199B4-2FBD-485D-93E1-C372765713EC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D77066-F7B6-4794-9213-97594A137B3A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35A7BC-F756-4059-8379-411249DB969E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618C10-84E1-4668-A865-0811C75D3AE9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A025A0-5A5F-4F54-BD2F-649448CEB75D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BD6A19-4FFE-466B-AD9F-79181FBD918A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B1B8FF-A12D-49FA-A610-05B4FF46C74D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3220FA-A3E7-468D-9C26-5B07A1AAE031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556F67-5B4F-4BBD-99B6-C6B5EB4279D5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897497-2F27-4821-A9B5-49802095D467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766CDF-1F5C-4EBE-AF75-24D386DDB693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08B644-4B4C-40BF-A20A-52E82D037086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934173-8795-41B7-B1C2-51301D0DEA22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714375" cy="304800"/>
    <xdr:sp macro="" textlink="">
      <xdr:nvSpPr>
        <xdr:cNvPr id="85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B1E1CE-A767-450D-B355-A056C61283A0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17276A-33DB-4529-AE24-4F8EB27C7E6E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49FCDE-C83E-4559-89A2-C5A6E3CD14BD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778D02-0B2D-45F7-A720-83CB523017B8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6809BD-980F-4A23-9EC4-10D0AAE12254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E85BBC-CD54-443C-885D-0960F5740845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714375" cy="304800"/>
    <xdr:sp macro="" textlink="">
      <xdr:nvSpPr>
        <xdr:cNvPr id="85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6415E4-5873-4F9A-B0B4-A2F2F5E79101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07C990-6E62-44E6-BEE0-9E545117D3E1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CFEBF6-3414-48CD-81AF-848DCC40D00D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211B5F-CA40-45FE-9271-B052A7846E1A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F30D1D-2D58-4B78-BFC4-B8F8404C15D8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CC2416-84AF-4DA5-B38B-0DBF3FC79344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AC0131-CD92-42F2-A679-EFC45DB27A6D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CA65A4-FDEE-4F3B-8063-6FFEDA660D13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761A0B-5F6C-49E6-9D0C-405690BBA1BA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6CE7D6-98D5-42B3-881F-4F714CD92372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65ED0F-E645-4F6E-87EE-3F2537D111D6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714375" cy="304800"/>
    <xdr:sp macro="" textlink="">
      <xdr:nvSpPr>
        <xdr:cNvPr id="85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43476A-7B79-4065-9B1A-B8AE4E936FC9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D6B07F-10B0-451C-A047-E9868B8219F3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E2AB8F-9E1B-4160-A270-080326A2AC4B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90FB1E-575E-4B5A-B231-B8D863F1D73C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C08DB9-B27E-4237-B4FD-D0C5AE67A5C5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18CDAA-2F3A-43EF-82A7-46F1C7FF9FF3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F0214C-C1A1-403D-8C15-5DE5816393DD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52D6E3-C591-4A4E-B382-852CFB24DFD5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8A710E-8503-439A-B8FF-58564F2D1AEE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C2D751-200D-4721-AEB4-A0D0EBC21E3B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1D3DB6-3272-45D6-81D8-D188DA5770CC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442312-8347-4177-8C7A-5F520D70D00C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2CA7BD-F637-474D-9DC7-4B8E396A5E3A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B78355-EED3-433C-AAFE-87494ED88CDD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13BA0E-DF1C-460C-8EEF-B328F2FF35E9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598A08-81F9-48D1-ACF6-2359A715B88F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F2E756-6143-4EDE-8C87-2D24D061FB1E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175103-DBF6-4C0B-928C-7FC33CE76D6B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B04D02-4405-47B4-923A-2211F5F2DD04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99BB0E-85B9-4021-993C-FA02D9E70DCB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EE9B85-A052-4A01-A8AA-CBD7FD1B0DDA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2E0AEF-5626-431D-953F-7B19106D4971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943F3C-68EF-4C58-B51C-AD0392A04B44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C02CBF-436B-4141-81EF-815B29CBA409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6E2C78-5CC8-42DB-9BF5-899095C728C5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209B24-7BD4-421C-9092-38CFE55D1E2E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D33ACC-5904-4B73-AB7B-D54E7B00D0BE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E1B04A-E6D2-4762-8388-AC1898D1127F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31CCA5-5E03-4C1F-B4ED-7400A5E155D1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64397E-2C5E-496D-93C5-07A7C18DA069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D75B71-5B50-4DB9-8B3C-A3C1DBAE4C5C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051031-1498-43ED-A3C4-0CB424863193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20833A-412E-421A-AB37-C7E428C40F50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D274FB-DEDD-4F35-8C2C-D90090FAC854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1D00A1-6372-4A6A-8A92-02B1E357FFA4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C1484B-C1D7-45CA-977C-794DD29D55E6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587B5F-060C-4DE0-81CA-4A90CB45ADAF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92843A-C6D0-4341-8517-37E3EB90F7FB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733875-62F0-4955-81DA-912A83ECE2D7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6704A3-682E-4216-815E-C39559ADC59C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7CC492-EE5D-40E4-B535-CE26BC7147CA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C1134D-4B6D-43F6-A563-46F56D31B655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88C98E-D67C-47B5-BBC1-47E5B06DE147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7181F6-4041-4C6E-B266-F8DDAA88CF29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5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DEAA7E-3355-4208-AA9F-4E064E2975EB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6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39F599-B5DC-4D47-BC23-FEBD3FFEC62B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6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D70DA6-AB76-48BB-9B13-89F7401B016B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6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5EA9C5-1761-4949-972E-1A39FCE95006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6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BF5579-5F16-414F-86C9-20A3FE6BDC92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6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B67B36-E9D5-4AE6-A44B-8CFEB8E2DBA2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6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7E097B-434C-4B10-8891-BFFC5580D084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6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649B04-0085-4FE5-AD25-2775D461756D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6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0CF529-F75F-4925-8979-9276E57A3537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6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A6A9E8-C505-4CA5-A5EB-1652DB88085A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6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6C8B73-41F0-43C7-9051-462E96F5C675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6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6BF2D9-78AC-45F5-9639-EA38849C74A5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6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432F89-376F-45FC-B143-BE848E47AA72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6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DE9855-30ED-4763-B9C4-4CB59B270ED4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6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FCA3C4-8291-41F8-B2F6-FD91705B24FB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6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52E22C-707F-4DB0-8B79-ACB9C3C4CE72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6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390342-9EA8-47D6-BBAC-A7B32EC043B6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6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954F1A-E2F2-4D1E-AEA8-3E322A0E5581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6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92B2FF-547D-4DAF-8742-517A9753293F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6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08BE6A-8DB8-4663-B814-334AE1C7F527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6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3CA3A1-F04F-4C89-AADA-8BC86B0CEA71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6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27F605-08A1-4804-8C82-0C2F1C4DF8D3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6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FB01F0-9878-429F-8BE0-DC7C135578BC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6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FF4113-3526-4961-9162-49DD07D777EF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6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0610F5-5ECC-4019-B4FC-A63C8B7C2E91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6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678EB8-AF24-486A-9E4D-2BD8DA95CCF4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6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33E968-2DB8-4D58-AB5D-5BB720D9FB44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6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C6CC61-6671-4A69-833E-CE282C57887C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6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2A1953-CF04-467B-A1EA-E731E5E4C812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6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0A2AB8-DA54-4D43-9AA9-BA938010D098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6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A82CAF-5085-4E52-8C97-66E7B1EAD5BB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6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6D333F-6FBA-41D6-BFD3-A6F8A5C0B5BD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6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C7B5D2-E26A-49AB-85B2-3C099B177A2A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6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4C4D92-F63C-423D-8386-6232B65B300A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6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1E3551-CFE8-4ECD-AD1F-38236C9472C3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6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C1DF25-B2FB-4ADC-BD1F-4D8139E4375E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6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3032B4-21DC-49A2-88FB-5326880E087E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6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78FB3D-7F8C-4FB1-AE31-4D6780ECF0FA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6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667E58-3ADF-44C9-8871-295F5BAC77DC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6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AED887-27E9-473E-AF2A-6156FC39E4A1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6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87A498-4840-4D94-92AF-4A492A875096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6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FC6550-D9C0-4DC6-982A-3CFB86A9839B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6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574AC8-2B12-41A1-B093-469EAA8A0242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6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C42770-E1F6-42D9-823F-EA60A6C11C82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6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3E5367-EA10-4E26-AED7-A7E37548D3CD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6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46919E-EAFF-4551-99AE-3464C389710A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6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147E20-402E-4AE2-A3D7-DA29EFEFFD01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6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CF6CDA-BCD3-40B4-B126-BD2EA567D2DE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6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A821D6-975A-4B72-A46B-A1388FB7E9EB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86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2F12A4-F932-44FC-821C-8981CAE60D6C}"/>
            </a:ext>
          </a:extLst>
        </xdr:cNvPr>
        <xdr:cNvSpPr>
          <a:spLocks noChangeAspect="1" noChangeArrowheads="1"/>
        </xdr:cNvSpPr>
      </xdr:nvSpPr>
      <xdr:spPr bwMode="auto">
        <a:xfrm>
          <a:off x="67532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714375" cy="304800"/>
    <xdr:sp macro="" textlink="">
      <xdr:nvSpPr>
        <xdr:cNvPr id="86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A8BA56-1585-4E4B-9B99-17017312BD42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6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091FFB-1B32-434A-9CFC-1CB554460AC6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6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B22D68-7398-423C-9E1A-52C922E872C4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6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50B600-8F0C-42DC-9096-C4B8BDE3F909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6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BB4305-B0C1-4597-B5D5-A8660F99145B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6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772FE5-6D67-4112-B743-7F10F4FC2262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714375" cy="304800"/>
    <xdr:sp macro="" textlink="">
      <xdr:nvSpPr>
        <xdr:cNvPr id="86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D8A653-EB05-4537-B1D5-E938DF60C979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6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3971DD-0563-4D2E-8F85-55AEB515937E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6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07D05E-75F7-434B-A5C0-534B345130A1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6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5FFBE4-210F-4485-84D0-757BB98CC041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6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E1A6CB-C2E8-4042-BB43-B6CC154B9C47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6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5A670E-D166-437C-B1CA-5FD78D136F9A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6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1E427F-36A3-4FC2-96AF-DFB76F76972B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6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F97DB0-4CB6-427B-B5B6-9104B1BADFBF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6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BCD469-8BC9-431F-929D-94607ED609B1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6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23B8FB-24C7-4F92-A525-4E6E994493E1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6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76CF00-3444-4364-BC90-102073F715D9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6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914333-5E26-413A-8BA1-E531317D2B80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6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8EFD1C-862E-4808-8E43-C373C1B2604A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6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7DCC65-928A-4DC3-8948-C98E7096168F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6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B6E028-8B01-4960-B1C2-CBB2A1D309AB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6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C2041C-29A8-44D7-92B8-4A573A07C976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6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F5C49C-69BD-4E35-88CB-E034FFCD47BD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6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E7B2AE-23E9-4776-9F24-19D4A9F7F760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6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D5C08A-D3A8-456F-A293-0378BB243529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6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36AE93-5859-464D-86CC-9038BAF5A636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6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695D7A-9AA2-40F4-80C9-60142998A611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714375" cy="304800"/>
    <xdr:sp macro="" textlink="">
      <xdr:nvSpPr>
        <xdr:cNvPr id="86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6A50AB-3D26-4F4E-8228-2D9644E87FB4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6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A1DCBE-7249-49AC-A02E-706C00EF9B22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6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C82EB5-45A0-4574-AE5A-FE7F9AC8DA4D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6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2CB419-1FBB-4435-8686-0A92442BAAF8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6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46B595-A0AD-4500-A5F6-8E2BB226BEC3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6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4ED529-0C1B-4602-82F2-50A8E601943C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6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603B82-D0F6-4756-9C27-B6495F9D9613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6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6921D1-80D5-4194-A9BF-6014A2234B2B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6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097898-BF7E-4BF6-A3C2-3AFC377C3CCD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6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44BC62-C8E1-4B54-99C5-9C395ED0DD27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6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B8C5B4-B6E6-44E8-948B-E5B04E94E7BF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6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03036F-5093-4BD7-A070-BFDBA3E1826B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6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79B27E-AFFE-4FF0-A4E9-816E7F5321CF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6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40D7B2-5FDF-47A6-BA76-37E90536D5C2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6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B9D67A-555A-49BC-9BA4-1EF3E66CB38C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6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9EBC9F-387A-4DBE-B61E-9B8F0E9E3C66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6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33C2D9-DB5E-41A6-8209-FE01CE85DFCB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6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E99D6A-D68E-4768-8145-DED2C7283B7D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6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0684BB-979A-4C9C-B51D-6EBD240469EE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6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E4A463-F911-4C31-BA7B-DBC9646CBAC2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6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C91CEF-AD8A-4A53-BA3C-33DAB092EAA7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6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1794D0-5771-4B71-89C7-9DF2D99EA7F8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6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1C11FC-F347-4014-83D9-545472CE0A9A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6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56F0A6-7982-4AB9-B936-4504782C2FD5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87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403A81-F009-4E8F-9FB3-DFE272F40D07}"/>
            </a:ext>
          </a:extLst>
        </xdr:cNvPr>
        <xdr:cNvSpPr>
          <a:spLocks noChangeAspect="1" noChangeArrowheads="1"/>
        </xdr:cNvSpPr>
      </xdr:nvSpPr>
      <xdr:spPr bwMode="auto">
        <a:xfrm>
          <a:off x="675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3840CB-10B8-4A80-B86C-4081C93989D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D08936-2650-4792-B5A4-462CAD3FB02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6074F3-18E0-4883-AE71-8462534E93A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4492A7-5601-432F-9CBE-239C760FD21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3CC30A-7C5F-4A34-84FE-B3BF65BA5A3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521C0A-CBF0-4AEE-96E7-F0EC120B6B7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06DDDC-EA7D-4E3C-9DDD-A74B76638AD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C2A739-D844-4327-BBAA-2B65CB39D28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1DA46F-A376-40D7-9123-48BA5E58DF0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BADDEB-C30D-406E-98D8-7EAEFCDDEC9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509DEF-B5DA-4995-9C7F-41EFFD254B2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A43BCC-D1A4-4165-90AD-DD07E60BD04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476E3C-45BC-40F5-A8CC-9B24A11271D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01B8B9-5F55-459E-AA8F-54CA0CCC842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248A06-FDE8-49D4-9644-A18126CC2E9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C02152-DACE-46B8-ACF8-678E9C14172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8BC800-0D63-475C-A823-B69F33A8BB2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D1BA97-DB29-4F9E-979F-ABBC0D2116D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52D562-0223-47B3-9244-3754A920304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56B20F-69CE-4B04-AAF4-D190AF550C4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261842-8731-4469-806C-361A0E2C0D5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C229AA-C108-4B04-96F7-B1EB80B64FB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B03CC0-9F57-4DDB-BD22-780907C97E7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187B0A-CDDF-41FE-B5C6-7870DBF600D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9EE854-6505-4290-9198-D1D80CDEB2B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62B5F1-DBEA-42C3-8A11-108E944230C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72EAB9-60B3-4447-B0A8-5ECBD7F9645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45917A-401C-4419-8A3D-686B160F43F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09EC8A-F37A-4F97-822D-C6DD649E640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7FA6D0-E96F-4C5E-8C24-8F4E9EC3A4C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1A4FD4-08E3-491B-A328-3126A7E3985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CA4045-B04E-45D3-9D78-D7776B8B270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97B46E-35B8-40DE-BE00-08443AB9DC1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3EAF07-8B58-47BF-9D2B-387A719B412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5E74D3-D934-4412-ACE1-4838416691F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5D2F23-BD74-4508-B6E9-4D64E289EAD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1E9380-A0F9-43FF-8660-D021A9D393B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36FA50-9E5B-48CC-AE93-03729408EB1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570119-D530-4814-8FE1-EDB0C0125B4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84B716-3CDB-443D-9900-28370952FD0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72F40D-C378-450C-BCB6-A252FA812C7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0A79E4-CE0D-45AF-9875-2918CEFE2EF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BCFB33-6376-4504-B915-61AB9514C43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334D8B-7C36-4B04-A5F8-60D27F0AE98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CDEDA4-CB2D-45AD-9FDD-FA9421BB54E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FCF936-C380-4792-B6FF-A8C5EE75706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7D0265-4CAD-429B-95F2-DAD7AAE04EF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6793D0-187D-4FDA-B17C-7BDE9BACD90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88CE73-F2EE-44DD-B00A-F07518CCADD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97A06F-FAED-47FA-A2EB-4380BC8A76D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5286FA-A38A-430F-9EBE-09182A5DBE0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C3FA3B-6D9B-46EB-87BD-57A7B0B4063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B15D05-7A79-491B-8046-D3BAE1F6F92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425D70-527B-4D4D-A350-C3C5A8E2971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8E4BF0-571C-403D-A8FA-D0FBF0FB557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B1DF61-1C94-4979-B4C7-67E83BD396D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73B41A-E366-4431-82FE-5573BCCB41C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BCB7BC-4E04-46D2-81A7-49AC92E0DA7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9E5E2D-2434-4F03-815F-173DFDAE765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0B2A79-94AB-48DB-9E95-EEC1E7D3615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BC763A-AACB-4A08-ACBD-FD4D5116A02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0ED922-FC81-4ED1-801A-FFDECE8592C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284940-DCCD-4ED1-B67E-A960FB54C6C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444A77-BA5A-45C4-B8F7-972656917DB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F7768A-1D06-4035-BE52-DE83C29A39B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23191F-408C-4F78-AA03-31FE5430159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5661E2-0671-4382-839D-E839A6A51D6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CDCA87-D69C-4D88-B574-D29D9393A8E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A1CEE4-916A-4CEC-AB0E-59C15ABF759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A969B8-309A-47E5-99C5-0BDB4950414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CA0E3E-BB70-4D4D-B01D-BECCFB76B8D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FE4C69-2661-4A2D-9FF9-D84B0D8AB68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56AA97-D48A-4098-B469-C81A950427A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2FB7CF-2EE2-4A96-9983-1A9BD578A92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36B377-20C0-4AD2-BBCA-A5346948DE3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D33CB4-FD28-40D1-B1F1-DC58E7003B4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1A2D90-EB7E-453F-B0A9-9154AA592A0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2B0036-F5DC-431F-919A-6C815337E1F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A9FF07-D5A7-499D-A109-DE103317B37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2149EE-58C6-4546-ADB5-6E7EEFDC7CA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993731-7726-47EE-96ED-31BC504A94A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1269FE-0395-44FE-82B3-75978D4FE34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31969F-EB1F-4B28-ACE6-3182F07602D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F323C8-A594-4255-BC5D-D1F90BD9891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42422C-21D3-47D9-9085-DB67CDD53CB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F004B7-8297-452D-9A5A-39EDEB19425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25F826-3305-4139-A674-3D5DCCC0469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088B7A-329E-4ECA-8918-6198DE6251F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BD509A-54E0-49EA-AD16-EE98197EA8D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A582FD-9B67-481D-8157-60CEFEB44F1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D5098F-3476-422B-98B6-802562E385B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5A668B-79BE-48AC-994F-D0941D6D044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66B6C8-2ADA-474D-B8DA-9BBA1C97989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9AFC2F-B867-4AA6-B011-34F9D809ADB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520A32-D5CC-4533-AFE6-3CE3AFC1A8F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F9A417-9768-48B1-A242-D163D86E490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B89778-732C-46D4-8BF8-2FA6D772107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895287-3545-4A01-B399-F9C6E7069E2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7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C39C8F-111C-4A38-8153-42E8E906B7B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8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CBA90E-C65C-4A86-8A5F-0BA7492E9ED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8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43B295-4EA8-49DC-B208-DDEE2111F0A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8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6EE1C3-F5A7-46D4-BAA8-DD923AAAB7E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8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BEF473-2CE1-40D2-993E-D80822608E9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8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F15E3F-BA02-44B8-81D2-BC2C67B1F2F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8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84CD2E-CA77-4EFF-8E05-A4F6ED654FE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8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296AD1-A607-42C2-94F3-41921AE498C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8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2D3D9B-C7BF-480C-A484-0DE62B77142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8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3FC7AD-8C9F-41C2-ABED-E76674B3215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8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5D4BB6-6297-4B79-AB1C-81F1E2A17D8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8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63BF53-B764-442F-A970-E3C461740B4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8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6171BB-C52F-4E21-AA32-A16B8D3DAFE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8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9F53AB-3531-452B-8C72-59D432916CC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8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AA4AFA-804C-41CA-9FAA-46AEBC607F1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8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6B73D3-6FE2-498E-8F64-1B79FE8052C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8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A3402D-3A19-4D99-AD17-F3D660A6614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8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DED403-839E-4B31-B927-A8224F1408B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8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384EF0-388A-4124-8AD0-FCF72CC5320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8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036F65-1B65-43EB-AA3E-58817F6398D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8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93602D-B576-4339-8AD2-B728E0AD2F5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8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186B97-E357-4FEA-987E-9EEF7BBF6D0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8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49788A-13A2-4B4D-8B88-CB040737316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8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87B01D-2282-4718-9377-CD76EF8B329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8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3A68C1-6F4F-4B12-AEEC-AE3460DF838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8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227D9D-E3B0-4FA6-BD19-C1BD326506D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8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CCEF11-8EAD-4D8F-8186-DFF1B566D69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8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60F8D3-3F7F-45EA-83A0-87F6A2516DA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8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5D7336-A6EC-4196-8655-9E871B686C4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8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DAA803-EDB3-4921-92C6-8A34F997BFC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8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4A3911-24A0-4CD2-9BAA-473D782A6F8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8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DD4FBE-6F85-4529-9A65-B68129BA4BA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8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193BDE-7664-4632-A5E1-EB9FE299B2C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8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6A09F1-690D-4036-BB72-51BB15DF86D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8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065F9B-0681-45A7-96F5-D0776C4F6E1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8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B3F9DC-928C-440B-B0EB-BE07DFE556E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8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239387-29C9-4D29-BFB7-865C1C7EF94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8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CC483A-562B-46AC-A2DB-093621247C6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8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99BA5F-B824-4DFA-BFD8-922FBE9EF8A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8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364197-F411-4D84-85D5-14E53024AA0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8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129CC2-9B19-41FB-A0DD-BB56F1CDD19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8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0A047B-C5D3-4837-912D-4551E7DD1BA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8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2EACB9-F113-4D31-9631-717655C58CE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8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83F759-7BDD-4718-BB08-7189C181DEE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8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224349-3D67-47FA-BF74-F443CCF3989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8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8BD36F-D29D-48AB-9EF7-F8BB0A19AEB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8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1F0331-C7AB-4EE6-8361-D33DB45D91B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8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A10E9A-0B1C-41E7-ACC9-D73B37BDB5B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8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F724AA-EDB0-4078-863B-F7E78348A35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8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653236-7F18-4114-8D38-ECD4ED0026C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8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F9D524-6FB2-4FF1-A985-DC3C2D078E1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8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6F0DEA-6A0B-465A-8EB8-8987413CBEC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8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443CBA-35BE-4416-9658-9864F184DD3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8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BA85C6-42E9-4C7E-A208-F28A309B699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8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824C8A-321F-4328-A270-E19D67236F4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8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29FCB6-491F-4FFE-BB2C-80626332E03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8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B28BE6-F1BB-4F61-A477-632F328EC8E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8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7A7E2C-6BBB-4F76-9E82-B307E98C105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8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AF581C-DC20-455D-ADB1-85DF4E48940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8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BB62C2-24DC-4E8B-B133-6E325C338A0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8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B6EAE5-B76A-415D-9A43-BC95AB2A3D2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8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35959C-2A80-401A-B02F-1CE8D7B1F46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8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1D01B6-BBE8-498F-92CB-472B298C301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8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675835-59F7-4211-93C9-9523447BD9D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8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61BB39-6BB8-4652-9AB9-E4C9C429E81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8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EABB5C-546A-47D1-9C0A-B5F4C3ADC11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8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844C9F-A277-4E2E-B700-11AD0704959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8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61DFCA-0C62-45B9-9BFD-DC54FCB852B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8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637E8E-22B6-49E6-8D34-5F41B51FF9E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8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C0C478-D748-4388-A5E0-5C9476E8038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8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130D34-5D57-404A-8D06-77ACF07C5ED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8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2AEBEE-625F-453D-A07A-2DCAEFB65BC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8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13CD84-668C-4920-AB87-86F15CFABBA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8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075589-6DB1-414F-863D-4BC2F435548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8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891F3A-1BA9-4AB9-9E9C-660E3BC7B28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8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10A9BE-328C-443C-8B04-447CCFD7C73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8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427275-6EBE-4229-BE2D-48BFEF2E131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8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BA6E9A-3BE1-4C69-AA1B-1D0E70F828F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8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40721D-5B1D-4901-8672-FB089072AB6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8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58E730-E580-4EAD-95E4-C79F3A7B113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8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C14909-3496-48A3-BBC8-2F29F332FA2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8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284D63-78CF-4E47-BB67-C42DF6C0329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8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52C733-1293-4047-BF2B-E142DE7E6CF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8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F031CD-7D04-49FC-97D3-73ED31F82EC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8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1B7065-2DFC-4584-97DF-7466E68A562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8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994608-E376-4D58-BD82-8CD6DB63D69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8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DFE513-CB09-4C00-A8F4-A6B2923203F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8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F8D3C2-AEEB-4D8B-973C-351850DE05A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8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EB9AFE-6FFB-4FF0-8E8C-FBFBA57AF78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8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0DD6AC-08FC-4277-8A3E-7EF33B762F8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8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C1AB23-394C-4A8D-B88D-FB830C9D5DE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8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307E69-413D-43D4-BE89-A6005BB7946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8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23F853-EBDB-46F6-A00F-D1874A60EDF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8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B62024-1ED6-4EEE-AD9E-5DAC64D324C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8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2F2ECD-950C-4C93-9743-FB49B788D72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8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9EC132-6F49-46DA-9AE2-97097CE62B5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8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72B518-43A0-48A8-B132-4369B0710F1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8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6C4130-52C3-4589-BBC2-38C4ECCD6C7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8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323184-80C1-4BD0-B18F-B5DDF5BB46E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8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463943-201F-4179-9CC1-BA26F9B8395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88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97DAB9-120F-47EA-B90F-F65061C3E42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36CD12-508A-4EBC-8BC5-2B66468F12D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BDB383-7CFA-493E-AEF0-D5735091911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E02B47-7949-46C1-A78B-320A3A3FCD5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62EAF3-A2F6-4DE9-899F-2B0A62D70C9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4888F8-CDDE-4E81-8026-070146CC645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9CE143-A1C1-4064-8C0A-B06BAEB546E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9F26BC-8BF3-4D9C-880F-6037B44DED2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3266C3-F983-4964-9295-0561FA358FA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3F5D2B-3E2F-40DC-B000-E2E97D3CEB6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D7A496-F1F3-4A72-BA4E-01B20686411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9E58B2-410F-4AFD-9B34-E3AD47B6AED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C56FF1-138B-4362-BF81-2099BF7A650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C7395F-D732-46B4-B918-BA4A544DB0B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FE9C9C-D341-4E7F-BDE6-CAACB2488CD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F31FE7-D175-4660-853B-6DF2F6D9063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9AB188-672D-4E71-BC4D-A3EA462CC18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461C8F-0332-43BA-81E9-19DFA71521F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F371AA-9C3F-4817-A81C-93456D22BFC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D63AC1-F110-4DDE-A118-2E86B8A1DD2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725A2D-0AD5-4934-9552-A323DFE2805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141965-D5B3-496C-ACC5-1DF8F7EB29E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57C779-D3CB-4F84-8B2E-64AE62A382D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150F15-906B-4289-94CA-9B62D28A2EF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3BE165-63F6-4372-A508-410C1AFE46C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305E2C-DDD4-4FCD-8D42-268E3D7E75F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D24A9B-A84F-436E-AC3B-23B7A981434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E36869-6D47-45F1-9C4E-23D4457C6B6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6A7168-C590-4A76-96CC-EF0E8BDBB39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B358D7-B629-4295-B4F2-ED37D24F3F4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6C68C9-D2E2-434E-8A78-A3BB2E539C9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DAE439-F711-4F5C-A4BB-E61BF3CCE25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1DF506-5FFD-487C-B86B-B8EADC47B64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F42081-3529-41C4-B62A-6C3AF3FCA12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41AC3C-3372-4AD3-9343-D4B950996F5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17433D-878F-4C67-BBA4-DCEFBB2B40A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EEA30F-D2BF-4A89-BB09-46C16057D68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FED3D6-E7FD-4796-B86F-C20AB623BC3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2EB9C5-F3E7-4DAA-ACEF-5BA17EAC229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8801CE-7A37-447A-8A63-410135193EB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8EF48D-B9BA-4C2F-B922-46BC133507B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1BA253-57E5-43C3-A76E-C97CF39CF79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9151AB-9E90-4D49-B8BE-F5D15942195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378B82-BFFA-4112-8982-7A8E54F3C72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EC0217-24B8-4160-AA55-C345E705FDB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B4EEE9-2077-4807-A516-67378BA8F50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569B15-3C2A-48E5-8B8D-4439E6D8523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55C626-CF14-4D64-B109-D4B6DED794E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9C92E0-E3B7-4153-9847-A4B4BBDE56B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6C6431-C7C3-4539-9D9D-D446604C66B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4115B1-8115-4654-847F-5DBD2B18FF4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A5470A-2701-4553-8F4A-E18BB147D79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517156-A71D-42CB-947D-6FFEAF84549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8B2DE5-1FB0-4987-88A6-D67EBBC1286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848F24-F4BC-4FFE-ACF3-981ECCE025C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77D07C-7A81-4AC0-8AF3-9051CBF2D5D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A5F0B8-8288-45F6-A256-0D9BE9D2460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BCD092-7345-4FBB-BB1D-B0C1402AD18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ECFCCD-335B-4114-8085-29302E43074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9C1CE8-CC41-43B9-B9E9-2A7F7AC5155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1F953E-B41B-4A99-B065-6C0A5C41C0F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FBC693-E17F-4FFA-A6ED-518460CD961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CF383D-6A69-4DE6-9035-3F0A8D17030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470486-F9CD-41B5-B5AB-E20E8DA53FE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7B53AE-C665-4F30-9247-E5FBE06E1D6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7C740C-30FB-4FE9-9FC7-184DEB759A0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089B3E-4369-418A-802F-AB562B0779D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3E074E-AEC1-48BF-B329-B01AE450D46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4EDC7C-E60D-4492-863C-E2B7220092B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93B678-C226-4C5C-BC24-DA325A36927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61590A-D64E-4440-A0A9-4EEBB6B96D7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8BA792-18F7-4287-84B3-45E062CD078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8A3AD3-13D4-4188-AB60-861ECA31F10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DE5F0D-3CFE-43A3-AA60-B765A9E5719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2C736F-BAD2-4300-8310-5BD0D794492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F3BE43-58A0-47D4-828D-CC69281FF42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E64501-8A4D-40EA-94B4-B915A82DBB2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BD7C7E-FA42-4ACC-AEC1-939A88AF93E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5DB13D-933F-4BCA-93B8-4008BEA1F58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6CD3CE-1988-494B-8055-36D64B5CBF5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2EAF93-67D9-4AFD-8F7E-A3C2D71EE65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8C6969-A5AF-4F4A-B84D-D9CEF6EF8B3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6E58F4-20E7-487B-ABDB-0B4DDF4A008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97F8D8-48F5-48BC-87A9-872372D624A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84D4DB-6FF3-42E0-B96E-0DAC10001B7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87551C-DF86-4CE5-A057-EEF677F3F30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EE1CA0-9E32-443C-805F-5C440027301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5C2435-22A6-4403-870F-DC3A5E1A172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2034D5-33A4-42B2-9160-9EF6CD0D270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7F866E-D998-46B7-B566-7943DB61E40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05C854-D116-48EE-BB03-3EB1A5F1F93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52E734-4D59-453C-967D-75A0828E795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150E4C-FCCF-4E67-A3C8-967B2DAEF57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9ADB38-1377-41AD-B363-A8A7E4D9B8B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8F8ED4-3413-46C0-94DD-A30A543FD57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40A88A-B852-4BBF-84BE-C4F2467BCFC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78D82E-A3D6-4081-B36E-9B5A9600F03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3A01EE-D364-4A76-BDC3-29617FFCA6A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78380C-617E-46FE-9B6D-1704027CE29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EF7EB3-4D7A-4CE7-9F7E-798E24946EE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89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99D291-66CC-41F1-B08A-600FC939E71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90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799355-43E0-4E83-AC20-49A80302FA1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90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886237-F995-45C9-A023-21ADAE1B439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90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39504F-05D0-48FD-AFD9-C2AC90532CD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90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519246-5CD9-4D59-B63D-7EC68DA81AA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90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3592EB-55F6-400B-A10E-39DAB9AAFA4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90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E5D61F-5DF2-42A8-A501-76AEFFB925A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90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E1FA85-A475-4D7B-845F-1763892F91B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90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2B4BDD-D22B-4172-91D4-96EBEEEA609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90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727FA9-CD9D-4B65-BE95-43B3BD88878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90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8802A4-10DF-485A-9829-2C2D2CE4F95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90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BB9F7A-2E98-4B7F-8666-70B603B6D01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90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2EDD19-5492-4A9D-B9BF-2EDFD0D80F7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90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AF07C0-D44D-4014-BD65-F9BFBAB340C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90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89E180-B27E-45F0-BFE1-0287EC26013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90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1F40BC-98CA-4A9B-86CA-480A4D6CC4F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90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605A76-C531-4A6F-9A25-0420BCBD2C3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90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416B2E-62FC-4CBF-980E-FD75FEC5BB9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90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42F059-B7EC-43FA-879D-18BACC59FF2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90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22A657-E99E-445C-B658-944CF11B4DE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90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E12862-03EC-4A50-A2CA-0707B7D188C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90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8909AA-B24E-42C6-B4F4-31F8B774E78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90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0682E1-05D0-49E2-9538-60465982AE0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90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87DFAC-847B-489D-8103-409A6DDD041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90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4D39D7-6D4C-4D28-977F-B4A9AF639AC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90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B1FAEC-CB1F-42ED-A76F-00A944D9727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90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4C0590-A50E-487C-9854-B578C2B5C88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90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91BF9D-4EEC-4D31-92CC-84410409583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90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99D221-C52C-4290-93ED-777552B11A8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90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CDAD86-3559-4A91-B70E-44DC6DE26A5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90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16073E-41F3-47D7-8571-527EFD35AF9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90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1B1EEE-6681-4E1E-A37F-7969C5947CF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90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B600C3-06FC-43DD-8F84-5BEF05D16B6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90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EC0175-C8FF-40A3-A1FE-36D1DD113F6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90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56EC95-60BB-4472-9ECB-9B78D431B75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90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5C4596-0B1E-422F-BB7D-C787BBFFBD1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90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462C97-006F-492A-A2E9-3BB43240E78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90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1D6E4B-ABB3-4609-B658-CFD72E2B027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90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170844-A7A9-494E-8868-8EC97F8E38E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90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358078-86A2-4D6B-B7F6-8B981F90DBB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90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F65CE3-F549-4BD8-85B2-5F9BE5A9940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90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9E2345-BBD2-4503-9E68-5D95138B166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90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72E523-3B5A-42B0-A372-4DCCD040ABC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90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1D35A7-279F-4E78-AA8D-27A269FB13B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90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9C1BEE-3635-43DB-95E2-D5DE368B26F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90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9698B3-2A28-4D47-88B7-AE9890224D5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90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83A84F-AA4C-4F20-87A4-CA5B094EBE6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90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0FF3F4-8279-44AF-B916-E49D7A01F67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90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810233-96E5-47A2-9B9F-199ABD812DF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90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70B2A0-446F-4EC9-B501-12FAD05C2E8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90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137291-DCAC-4452-AC1A-9FF8BE02D65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90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61FC1D-6A37-488B-A92A-C0E036B0FC3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90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7EC1DE-66DC-47D1-B37A-72837F3A917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90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95E7D8-7859-42AA-BBC9-A86D929117B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90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68AB14-108F-44BA-ADE4-612FC817764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90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7F9568-65D7-4DCE-9C78-05E4BDD3691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90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AB5FBF-92DD-4D68-B3B3-1FACABDD3F09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90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54E1D0-87DD-49CC-93A8-27B6604FAB2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90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F3EB73-6475-4A08-A5B2-D24DB7A83F4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90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1338FE-9EA2-4138-A4C5-CF8585E6ABD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90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50600A-3F16-416F-B63D-77E8AA0F8BE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90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AB5638-77F0-429E-B330-73A98D64667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90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6ACA3D-6C0D-4F8F-BA2A-DD429CDE213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90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D562D0-7CB7-4495-A693-952BE6A31EF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90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FE2A2F-CE6E-4F2C-AE91-05389B11D60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90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A82464-A136-4560-8EDD-142E48B3786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90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2BC31B-25EA-4D88-811A-EDEC2F42FB5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90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F619E5-A24E-4887-A436-56F496C1D604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90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E90C5C-0DCC-4DC5-8AE5-5A4F82D0795C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90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0F2860-9219-41B2-A357-BCCE6B8DA46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90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CBC4E8-C035-4209-A639-377B30150CC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90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EA34B4-87A1-4954-9F92-07FCCBD0A84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90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946760-BBC3-46EE-9134-C106A15029D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90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BBCD21-57FB-4B0D-A8F2-9E316C0BAF4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90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049D8E-10FC-41F9-8700-7EDAC02DB7C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90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D85FE5-AF90-48FD-8F00-4016EB115CC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90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C8676B-CF86-4813-A434-A61B3CBCCCF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90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F907D7-D13E-4AE0-9CD3-52505DC591F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90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52971F-BF41-47FD-A8FC-5B6FD9E3FD6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90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9D7389-1D4E-4016-95BA-BC0DEAC554F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90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E2EFF5-C7AE-4D34-8990-03A2C5DF00D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90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D1F273-BA69-42EA-B33C-A6F8B11D8B5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90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43DA03-0DA1-45CC-AC08-D226CD5B5B5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90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F90EA3-E4CA-4AAE-ADBF-F36C1634522D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90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936367-840A-47BB-B745-D9F787241B0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90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7993E8-544D-4923-9746-28A9EF768D5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90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D515E1-410D-49A3-92A1-C1C78071B27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90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78254A-BF6D-4FEB-B82E-1D4CB1A25CDE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90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A9BFA4-31BE-423E-88D9-D278AEFFC862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90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3B19F6-7FEA-4C0F-A4A9-F3294744E84A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90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81FE06-741F-4CFB-BB7D-300AF27F2261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90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38474B-84F2-40A6-A799-34A768AC8A03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90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33A720-B9E5-4B84-BC26-39E9C5F777A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90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9141DE-165E-41ED-B2C5-1F12448776DB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90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050B0F-6B05-4C6F-853A-93A00A39D930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90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272FF4-B9E9-40AB-A1E4-278B22D5DFEF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90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8F7C76-C1C1-43A8-B261-C9E7C68EFD45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90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56AFB6-EC4B-487F-A5F3-E0F83BF6D3F7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90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A5761F-2112-440F-ABFF-667B8F40F3A6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90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6597B8-5BE5-4DE0-AE09-E766A7AB6C58}"/>
            </a:ext>
          </a:extLst>
        </xdr:cNvPr>
        <xdr:cNvSpPr>
          <a:spLocks noChangeAspect="1" noChangeArrowheads="1"/>
        </xdr:cNvSpPr>
      </xdr:nvSpPr>
      <xdr:spPr bwMode="auto">
        <a:xfrm>
          <a:off x="7943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0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566611-3876-438B-A7FB-4E4F742C207B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D2E505-02B6-4240-93FA-8AAE730CE65A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ECB43B-0E26-477B-954D-FC5A6FC596AD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D727AF-6BE7-41AE-8F5B-EDC4B61BDA16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2521C2-1B8F-499F-8246-CFA8DDDE55BD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951A9B-85D1-43DF-B28C-D229475BC6CA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4EEE69-BCA1-465D-AD6E-C168DCE4EFAE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2EFA73-3E75-424A-8A72-801A5831B6F2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0B10D3-2F70-49C7-A6D9-1822771A77B3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8D739A-720A-4D75-9E7C-C387C896D42F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067D2C-B140-448E-9CD4-3C4D8B53C070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FEF3CD-7492-4A0C-B2D2-5F2C4F7AFD51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B98FE2-0B19-421B-88B1-AE3FA5716A28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82238C-2AD9-4477-A4CB-C4C6FF95A5D8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C82FF5-48ED-43C2-9733-9D157C2D914E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60B245-5E51-45BF-88B8-8FD1D0EE5586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822A15-1B1A-4DE6-80DF-67A5FBCBDA5F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5DC8E2-E5AA-4576-82FB-0DBFF575134A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1768D1-52EC-44C9-ABD9-8D9321AD698D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F1F01B-583D-431E-8F1D-1547D7D887D5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B7DC29-07DB-4A22-99B5-BB7A30893DE2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D0EFA4-F64D-4FB3-BF9E-FE514D693597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82FE12-8277-4CD2-AB5B-C8534FEF957B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91A0B8-5418-4913-82BB-AAD4907533E2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138CE1-BF33-40DA-A88A-AE9C4B586467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A0DFF4-BDA0-4DA7-BF5B-F13BF1C5FFB8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D0B4A3-2F20-4599-92B5-68FA40D42FAA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09A369-3235-423D-A0F5-4DEC74438BF1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2FFDFE-8DA4-4277-BAC9-4B0C3A476070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6952EB-B567-4241-895C-6550679382F0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AA94BA-4F9E-4F58-B89A-43DF2B54BCEA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12C5BD-D163-4476-BF6A-6201B56F02E7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37FA87-3AAD-45DC-A0AD-AC322634152E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DA3392-379A-403E-B103-0532ACD0A0C7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F2C11F-B6E1-4FED-9ECF-0FD60B380B05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EAABB8-C9AE-43EF-8082-E97CEA68104D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8D1E50-8CC0-4F65-A74B-DE993745F5C1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2E3361-D76D-41D0-9068-8DF0FE9ACAD6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833DBC-985F-4DD1-AF38-4B8BDD3FE94A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AC50D9-DBC7-4B48-A802-E4BAA5489227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459EDC-F14F-48B6-B62A-811B9A00FBDB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D702B0-6849-4514-93B7-51B6915DE233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112BC2-5F7D-42C6-8A39-1A570E2F109D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82FB07-6C54-4863-B104-14C3CCD2A142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A3B275-97C0-478C-ADF3-5D1C657BF425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98368C-7D51-4ADF-A33F-78F4BFE7E7D8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AB77BD-E99A-4BB5-BC9C-5C1987D82E0E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4F7725-6F3E-492D-80C4-1AB313DE40EE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C64717-A558-47E2-A43F-92E3A1B19895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7F03DC-CB13-4B49-BFDE-D4E20B0F47EF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1AE178-6A17-484B-9F41-730803969ED6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156D6E-3154-48E8-B0CF-328367B7E703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353305-1AB0-484E-A9AF-7E5B812BF003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394C62-8F36-410F-9BD0-EB8A6808B359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548856-5F10-47CC-A80E-2C94CFDF7BB6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4851D4-D2B2-442D-94EF-1566EFB78436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F5D6A3-56A8-4311-B40E-8D71B8250B58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876CB9-F1B3-4478-B3A1-D83D0861F791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186294-096D-49B8-A0D1-76886B0BFB03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D85A7E-50FD-45DB-BABB-C0B9C6780175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0DA1BD-8200-424B-83D2-09A6F888B2BC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077238-254F-410A-B468-7BB0131CC26A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B8799B-2BF0-40E8-BD50-5CD8174949BE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BCBDFF-12BD-4C69-9AFB-4057DE709436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6C1C88-672A-4B92-A942-577B55DF7EE5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B917CF-65C1-4F30-8E2E-2A8D221BE5A6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E0460B-9541-4096-BD86-79A2AB8ECAC7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BDE426-B481-41BC-A67F-5F2B088C558F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10ACED-22E9-46FC-9FAE-EC2CE7A273D0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827D06-4DE2-46D0-9EB1-E4BA5CDAD8B0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F5D0EA-A45A-43CB-8ACA-A953100F8FC6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416722-D8E7-472A-8D7F-220A51AC7326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3298C9-4678-4859-84D0-5E880901A89C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64DA5E-14C0-4734-91EF-7C085AF68777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6607D2-82D6-48DD-BBB6-640F408C9700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8636E0-E9F9-4C8B-B171-B512AAEC0134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E9046D-3375-4C27-834C-CAA09E2AEBFA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2ADA4B-D2B2-403A-AFCC-890062A5FCE8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A53978-6F64-4E5C-810E-8CF02D997FAA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058A13-7829-4EEC-8E5E-4E08039B1169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D4E20F-6BC1-43A1-B119-6BAEFE321221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34EA63-79CA-4A4D-A5B6-23C3A44F2CB7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091888-0452-4DDA-A727-2FE2273F499C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C3FBFE-5F99-45F2-92E7-73D32FEF3946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4E7A27-BEB7-4D09-8667-21F83F637D47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AB004C-EC9B-4305-BEDC-D6EBD9B339BB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0E97E7-BEBB-4B8F-B8A6-C678D899CC7A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49B8C9-E813-4DEA-B4FC-C6B4A6A3A3AC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70539E-EA43-4EB1-AD06-73CC859A076A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8F628F-3FA1-42DB-8108-41C3947DA05E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70655B-98F6-48E5-B502-A49359186CC4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CC6616-DC53-44AE-B415-029654EBD65E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70DA84-C9D7-46A8-AEE1-C44534A53A8E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20561F-BC9E-449F-B928-3B4AF1A80045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37AEE4-D0CC-447E-9657-4FC94E5A20D2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1D00C8-9656-4661-8D3F-FFAA707EF50A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595306-3B32-466F-9A38-95837BE59DF1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382869-70DF-4D2C-BBD4-ABAE30317330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C5DA5F-8E40-448F-92D3-0359806CF392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190B4E-FE22-4062-8FC9-5B54124E180D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1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A0BD30-1967-431D-B613-76C8EF7297D5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2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C750E8-EF5B-48EA-A85C-8E419E84E740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2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948DE9-40C7-4B6F-AB90-2ACC35FC5D28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2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48C503-783A-4002-AEAC-FD639A147930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2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E4D10D-1EA3-4579-A5B8-FD2A5D691073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2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62C196-843C-4B1C-A5BE-59F4FDF87C60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2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5F5AB1-AF85-4A73-BAF9-3FF3D3E496C2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2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532360-9227-4ADD-899B-B0FCA75DDDF3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2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9E0112-3500-4DFB-BF77-694C80841930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2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96D3CC-B3EA-4C16-B094-504E5DA029A8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2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50C8F3-C274-4A26-A187-EB8587CE63E9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2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6962BB-B89F-4C71-853A-560424A1AF5B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2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627824-F883-42CF-9964-89F523539251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2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4B68C9-D428-42B8-BFEB-E0C6BFB1266D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2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FB41BA-A749-4C6B-9810-67B9D4F17C4A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2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E2BDA9-BB8F-4E21-A18A-60B6043855FC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2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29439E-6555-41EF-964D-D14BF96C74D3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2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1B858C-73EE-4E5F-BE5F-3F9E21932C0D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2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026086-31D6-474A-8EF6-30907951F13B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2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0BAD88-130F-444A-B755-E3EE60173A63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2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A29F75-791D-4185-8EF8-7A037AFA00E5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2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82DD91-EE04-4328-89D8-F176E9649194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2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6FD620-275D-43F2-9FD4-7ECCFB08C2F3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2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F182C1-CC8D-4644-A756-935449D31EBE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2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D01ED2-03DA-4B7C-9D65-BA9984FA1E47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2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67A2AC-D111-4401-A20B-48990054B279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2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4FC3E4-2A46-41BA-852F-60C97577804E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2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9A3E02-5C51-4F5D-B9A5-8EAF4D32BEDF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2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8D0C35-7826-46A9-8A05-D9C9E5C22335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2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2A7057-F16E-409A-9900-6C516C8073BE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2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0200ED-7E06-4C8F-90A6-68B487227ABA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2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55066E-FF78-449D-89AB-81D5B9F22D02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2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B9E1DC-5464-4A51-860D-D671DB8D0E27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2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EC264C-C919-44C2-A3F3-19C6E2293352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2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210185-E949-4DE9-BC96-D35C2B69768D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2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75EC8B-9503-49D0-9406-BAD86517C429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2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E6BE73-6826-4849-B0CE-0AF88140AE67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2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587DED-5D7C-4849-AD58-367D7FB392BA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2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9B5FE1-8865-40A6-A30B-7AF4A193F4ED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2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F12804-DF2F-469E-AC5B-17815B273FBA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2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3D4463-17DE-4649-AA10-814F2FC241DA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2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E2D561-CDE6-4959-B8F4-89E433105F35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2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DC392B-8156-4ECA-8F19-2BE9BB324D50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2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109A1A-587B-4CF4-B35A-062CA692A24B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2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F80B87-3D83-4054-9911-051227BD1DD3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2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EFFF9A-9BE1-4FD5-8920-A267BD20DA37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2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2B4D83-0DDF-4AD6-A56E-BAE3CA77B135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</xdr:row>
      <xdr:rowOff>0</xdr:rowOff>
    </xdr:from>
    <xdr:ext cx="304800" cy="304800"/>
    <xdr:sp macro="" textlink="">
      <xdr:nvSpPr>
        <xdr:cNvPr id="92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34E65E-1001-4FAE-93A3-2CCCF7204B8C}"/>
            </a:ext>
          </a:extLst>
        </xdr:cNvPr>
        <xdr:cNvSpPr>
          <a:spLocks noChangeAspect="1" noChangeArrowheads="1"/>
        </xdr:cNvSpPr>
      </xdr:nvSpPr>
      <xdr:spPr bwMode="auto">
        <a:xfrm>
          <a:off x="81819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92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B4E68A-1513-4026-9AB6-B6EB5EEFA9E6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92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AD096E-5D74-48AE-9B8B-638BCF68A86D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92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2AE3F4-0EBB-4A5F-8065-3B9BCA5116D0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92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CF02FB-C96C-4D41-BB1D-67E111F802EE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92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65FB02-F74E-4ECB-883D-7D6167B6F985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92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3BABE8-5774-4764-9F7A-491B77DA35EA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92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9CC001-D680-48C2-A7C3-A67769FDED20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92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F396EA-752C-411E-A3E4-4F8147FCAFBB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92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D3FF47-006F-4BDA-9547-F7F7907BE6A7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92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7E2CF8-9536-4563-9696-36CC021CD8A9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92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ACAAFC-00EB-4977-AA4B-2B6A56FD3573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92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617A6B-72C1-446A-AC32-06DE911AA9B5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92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5C1B26-7B38-495F-AE38-6FC9946A117D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92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ECC8A8-CE79-4451-A122-4C52C22C0B31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92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773490-435A-46C6-BD2C-43A91AC73401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92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7863EA-B638-418E-A046-42BEA8599F90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92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ABAA8F-9052-4FAE-9DE9-8494F3E85FB5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92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5B47DF-57F1-465A-9052-333BC3C1D2E3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92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B61A07-CDBD-48A8-9016-FBE136E84BDC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92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208900-6F5C-4895-BF2A-D0FD9F868FEA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92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1246CA-1078-40D6-BDB3-6BAB6186A35C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92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ECBDBE-DF05-46C5-A9D2-D9B7E04BCFFA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92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0C13CD-E6DC-4335-A8B2-E2D5DB60FA70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92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31608E-A31B-4466-BDF9-719155BE2C69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92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49001A-1299-4AE7-AB55-EFBF75130595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92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27165E-630A-44BA-82B9-66B0FA4DB372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92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F6AAA7-C229-47CD-BE81-0A17AF54FC8B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92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15ADDE-6B5F-4E50-8754-69980C485372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92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ED1183-FFE0-4397-A0F6-BB168C4B8F23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92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DBF6C2-08A6-4ED3-AB9C-7110207EA101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92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5B7925-BF20-4D10-B3D8-148FD08215B3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92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2CE1B4-BF56-4A5D-87FB-3E51E15019B2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92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06DE9E-7B8F-4360-A2B9-BD0272989A2F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92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BD3928-B3ED-4614-89EF-1EFD862F3084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92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ED13F6-7A0C-4DAA-83F1-FC841E576CA9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92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6F00C0-5062-4153-853B-A32D4F1525CD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92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037D47-1338-4A70-BC10-76BA291286B0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92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3D0A42-36CA-49B7-94F3-5B9865D0F208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92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189B45-F8AF-485A-AFBB-0883F561CA9C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92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5566C8-A82D-4615-B84E-0D14BA164448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92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2D1637-A3F5-4B06-87DE-DBBF5B268A4D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92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2D9AFB-1477-4777-8DF5-0CA0363DB9F5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92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7206CA-A5BA-4690-AB25-BE140D315BB5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92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6CADD7-7039-4892-AEED-91AD9CABBA78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92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B5C405-99F4-4C68-BAFC-B36964C3A1D1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92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966643-0ED3-4A78-B92D-717271D65BEF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92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2A0122-C0E9-47AF-A0E6-86E8BAAC584C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92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36863C-0427-46AF-976B-A231D14FAB95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92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A3CB04-B716-490F-9C9E-D3C9F12130E9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92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A33CAC-3E14-4899-822A-40B4F05D2465}"/>
            </a:ext>
          </a:extLst>
        </xdr:cNvPr>
        <xdr:cNvSpPr>
          <a:spLocks noChangeAspect="1" noChangeArrowheads="1"/>
        </xdr:cNvSpPr>
      </xdr:nvSpPr>
      <xdr:spPr bwMode="auto">
        <a:xfrm>
          <a:off x="8181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E387CE-66DA-444D-B93F-430C3BF797F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DE1D0E-1026-4D68-B622-5AF7C533530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2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03F897-C30D-4034-BF0D-07EC994E8C2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9A127D-07AF-4943-AD62-3DBB06BBCE0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E9C4DF-D4D2-412A-82CA-1426AFDC507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60B25D-1768-4264-B2C1-C883AA51B81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8117C0-949A-446D-A1AA-2EE03E3D84D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0E569B-65BA-4FDF-A965-2F73BBCCB7A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291644-A7CA-4149-B64D-9A75413175F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9334FE-7906-44E2-9F34-F1683072784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CEF5CE-7C60-4A93-ADD6-A607F9DBA8E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32B529-E9C9-4CF0-9B91-00F001B0A26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474330-2E66-42AA-850E-BBC0672D7E1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8C2A37-BFE2-4866-AEF8-9F8382E0886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A20082-27F0-4886-B2CC-2A9C9EB2C34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73A3A6-0942-450C-A725-E2263AB5CF2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A392E7-2B73-47B0-8A8C-E4C1A1857C1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714C2F-4911-4F05-B062-B6F19FA8448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258085-0967-433B-AF2D-21099C93C15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01B659-2CF9-4A0A-8CA1-85ECCDB7662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01614B-182E-43EA-BAA5-DC060A78AC0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CC7673-E826-48E4-81FB-4232F2C1CF6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BFEF4D-F3F3-4310-B34A-388E59D6362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F9A983-E422-4CB3-AB4D-37E6EAD1FB1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FE47A9-ECDD-4E3D-A130-127F05095B6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726939-0F56-49A1-B4B2-8F351A1A686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960EFA-AB97-48CF-B5E4-93B45577C65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66F32F-1C43-4E40-B533-6CD3BDED174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8843C5-85FA-45CD-BB61-27D11677652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7F0499-8C84-4A68-9A25-365B86EA220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AC85DF-801D-4A3A-920B-4FABAE7F3C6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C99CED-E5B0-4671-95A3-81D8001FCD7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597D17-EAD1-4284-ABE5-6EAFE2C0C2A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156A33-BEFD-48B6-847B-9C85B97A200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10D8D0-3584-400B-906E-5421E3140F9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DB959B-7F4B-4C1A-ACC7-269C8717D36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449503-350F-424B-B10C-FF3878ECFB3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D7B908-E3CF-4F17-9492-309C978C8D6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78BFDB-DF9E-41B4-88C6-47999C418E9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5BDD39-8F59-4BF8-B07C-E597753AA8A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E6B049-1075-4DA6-B1AD-B160CB5AC1A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98CD72-6DEB-4C5B-9568-8292080FD2A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76E632-F3F9-447B-BB19-95F505B32CB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1A1655-AAA7-412A-B0CA-F72185E0F24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8BED0A-6AF7-4496-BA75-4F8571F9C2C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9DF968-B3DF-4F47-B9D0-4BEF43DEAEA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F3DF0E-2C02-4BEC-A548-7342333D7E0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6C03E2-4E8C-4A0F-9F61-1666A7B8185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7048DC-5DCF-401A-BB5A-DBCA6AA7AA2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5FE833-509A-43CC-95DB-CE92962DDC4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96DC3A-E7C6-4343-A438-450A7C359DE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F145CC-3540-4773-92E6-5C00F2FCD64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85D8C8-6BB7-4C24-9E9D-4740884885E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D3BC80-A88D-435A-A032-305BB34E5F1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B12F8C-CAE5-4FF3-9795-589C52DE6B4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12D013-0BBC-4192-B6EE-D410192CD1C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3ED434-8671-44E0-B52D-C7DAF521797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CE11B6-6382-491B-8EAC-81A7D468FB7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505613-5CBA-4BED-BE24-C3436569DCB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7D5C0B-0F5D-46B9-8088-381D406650C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5FB9C7-07E3-450F-8344-B50E17A8D08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5F234C-71C7-4BF2-BB8B-29B7284CBB8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FDCE01-59FC-41C2-9F3E-9FBD432A9B6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A8BE9B-50E6-4179-870E-B65B4D37BCB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BB94A3-48FE-4EF5-922E-0625717DCB0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4C406A-1EB5-4395-8BB8-66050E0F46F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C118CD-1EB7-4F4B-B401-EC63020A826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A7B6FF-AF5C-48A9-9F52-B0A34C63A1B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15C51A-EDA8-471E-A63E-8C6E4727BA6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CAB2B8-3F75-40F3-97E1-2A57939CCFB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21F48A-F0B0-4458-B8EF-D6FAB76A680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55AFA5-9FB4-40DA-9D19-D5D6111DC10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F097CC-C824-4FB4-A335-F7840AA5472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4CC052-2B42-4BF5-A77D-B8F9E38FC80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2C3B18-1EAB-4867-AD9E-E10738E9E79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E05E33-7D57-4174-BE37-81544F0D23B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4CDABA-64B8-4A74-9F90-D086B290F91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E61D96-02A2-4050-84CB-39B79601E7B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7FFE99-4AD1-4614-B800-AF9B7C572EF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C02830-3393-405B-A619-87B3C6667E4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269D87-0FC7-4228-BFB1-017519E905E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4131D5-9572-4074-805C-3CEC08FA90A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31CAA2-DA65-42C1-BFC9-AAE9F0C9334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EBEF1A-B2D3-4DFE-BEB0-69C91CED7EF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88DC61-E55C-4754-96AE-7BC66A79D23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D96A12-2525-49C4-8892-78BE86AF0FD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AF24CC-47C6-4FB8-AF68-D4214E1C3FD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3128C4-4FF6-4E8F-B49A-56EE627BF55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D76645-EBA4-4B0F-968E-18B60F94422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43305B-42EF-4488-BB4F-C4A3CB9F66F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768112-16A5-4197-BB67-7B8D030085C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536F9A-EC36-428B-81F6-E71218634CB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8C1689-4B86-497C-8B6B-34AF71F4759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1F4E74-17EE-49C1-BA2B-08AE40FFE68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0CB483-6B42-4A6D-BA06-ECFA36F0246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5BD71B-1EB3-4AD8-B8CC-58D602905CC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5684FE-CFAA-4563-98C0-AFF63F06FB1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74AC37-49C9-4570-BE51-FFCF7291D72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7E4C2D-A1E6-4265-9645-45541534D22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EA2E10-6E2B-40C6-9A2A-6DD5EAD4F60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9D2ED9-8824-4BE9-9FE9-B0122EF7B09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3F2AA8-D248-4CE7-B63E-1CE3B873658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3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80A55B-FDF3-49AD-8D52-13A0FC06726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4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5D0EDC-BA3B-4C8B-8D16-99F5419AED5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4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1B32C3-80B5-475D-A0C6-A03BFF90EEC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4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425ADE-3335-44C3-A3AD-4C19D96EC72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4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8D3AD1-0EE8-456A-997D-727C02F2E1F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4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BF0B94-B9FD-4ABE-B42C-00E8DE790A5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4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A79BC8-02C1-47C2-8584-DD6274B926C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4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5C64EE-3062-4F34-BFC7-F5CF561D0E8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4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F66130-FBD3-42BB-A39A-AEE35D716E7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4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97D1E8-3C97-4E03-856F-5EFD46CBAFA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4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E2AFA0-C311-4630-AB6A-CE9B0D8ABD0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4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4BD4E7-B372-4FC3-B733-E4F8CEEAA18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4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6890E8-F3ED-406F-B4E7-1C52817A791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4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2A4340-8DFD-4F74-A6A1-081488A7FEE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4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1730A9-2B52-4E25-9F69-6AFD77ABDBA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4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BB4FCD-D3AB-4025-AE00-B256794B24E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4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EF27C8-D31E-4FA1-B2AB-071F199E922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4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6EEC50-7C99-48CE-B838-A5B1B6A44F9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4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D747EB-7CB8-4955-BBB4-EC6D2F7015D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4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C6F829-218F-4772-9BC0-57FF1524B5F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4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9E1D6A-F376-46CF-A757-8E5BF2B2486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4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2467E5-BB64-44CF-A223-C954E610D8D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4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CE1307-757F-45D2-8173-C2DBDE60FE2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4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3B24DB-5A8C-4E0F-A95F-842541715A9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4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F61A78-D100-4974-95F4-667ECE383ED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4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D1FB9B-672A-455D-BCC8-50E04569ED3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4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458385-7678-4D58-BC3A-BCC93255AD6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4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FE8CB0-FA25-439E-A6D7-DA33AC6EC9B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4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08EE74-2241-4170-8A89-847C87CAFBF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4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B9A9A7-D287-4E45-8612-817DCB193A6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4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62412D-EE1A-4BC6-A911-E9CC0E80DC9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4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F8CFC6-31AD-4514-B2D5-34AE5093507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4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A09EE7-8454-4BC3-A590-A2DFFD81CD1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4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E29108-2B54-4E24-9352-229DD51919D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4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84EC5C-6A20-4BC6-8625-B4B7D612A6D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4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41988D-AF5C-4E6E-BA49-22A36AE3EFF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4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87A42D-27BD-47B7-90DC-F1589A4528F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4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5666A0-18DE-44BD-B869-B2F96B58237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4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D92D0C-FAD3-492B-A684-BDC0135EBC8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4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EDCCA8-6941-4697-9AA3-B90B48D2ECB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4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9B4E9E-C846-4D9E-80CB-EF3E5B62010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4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9A9EF1-6448-455D-93EC-3BA7A85A59A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4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68A15F-00DB-4BCE-8362-653127A7EFB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4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F716E3-6415-42D0-A64F-B715A21CDEC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4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198048-3D65-4F18-A201-2F4A8D54AA2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4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CA8B5F-1C16-4754-BB5F-03F5040A68E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4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C52190-9DCA-4AA6-BD8D-EFB38476946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4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36816A-B87E-41DF-8C4D-3D2D85D7E6F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4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1535E0-3484-4F1F-829C-31F86D86F80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4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F53776-A0B1-49E9-9909-B3E0D57A021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4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076AF5-DEF2-415B-A580-C277CEC5352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4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1469FD-B003-411B-9496-BC3103A7598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4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793B91-C762-4CE6-9447-5A863AC829F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4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B7E124-A38E-4CB5-AFC4-EC2A0DCE44C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4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B697DD-5391-44C4-B530-A892ABE88F3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4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EEA128-F40D-4484-AA5B-AF375AD787B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4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09DB5D-F7EC-4DBE-97C9-B921F44CD6A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4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48BE17-698A-483A-92EE-39F5DB403A7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4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F2F73B-A2E6-4CE0-A2C8-12D0E344738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4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177253-D5B6-40F3-84F1-4A2D4811EF8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4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46EAF8-2725-4F93-90FD-560DD7D73FA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4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F6277E-3BA5-407B-9584-2143B67E30F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4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312785-F8FA-4C9D-BB84-6AECFC20873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4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83C96A-A9C0-46D1-B50B-75569EF1E25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4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2DAE61-CCDD-4D55-B564-795576C5BF5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4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0BC533-7117-4AD7-90A9-95AA390A63C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4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30FB03-1F4A-4E8B-803B-DEA06895740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4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6BD57E-3E9B-4C37-8242-113D494AC9E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4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DEDDB2-B310-4CE5-B289-32035FDEAE9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4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97B99D-0276-46A9-8A98-050BD720D11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4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8101B3-8419-48C5-BC7F-FE887FF1438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4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4B99EC-85E5-4CF6-AAFC-D46068535AB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4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649911-131D-4171-BEA5-212FB9AB295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4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030064-8D92-4CB4-A599-05CF68B61C8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4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D40389-1C68-40BF-A568-92D6D9579CD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4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B3D296-38FF-4DC8-8903-9E2CE8FAE2E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4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CCACF3-8C63-4CC7-9FC3-20665A9B20C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4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E83302-C033-4244-9B45-6366A1A45A8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4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17D0BF-E876-4C26-A14E-F560E5CE238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4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43919A-F222-47D6-B6B0-A32F456645D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4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71C02C-5B05-4678-8B5C-50887D9CC27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4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A5CD63-FD20-4CA9-8922-65E132A3618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4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434B5F-426D-486A-8171-2FDFDE85591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4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FC9747-21E2-4A1B-9F17-92807ACEF7D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4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B19450-4AB0-4F84-A90F-00051F871B0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4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816199-C47C-4BA0-BF58-28C4A05F90F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4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11A0C1-BB39-4459-83A8-3C059A6D01C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4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D4C093-37AE-40A5-BC82-2CFEF024CBB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4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C806F6-833D-47AB-81EE-2226A77A3C9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4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DC10FB-67E3-4F50-B29F-75525ACCF07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4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8506AF-224B-4758-8879-ACDCD25E063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4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700633-4DCE-4A8B-AF93-956406ADBFB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4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A69488-8F4D-46C8-B183-D2E0EA2F618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4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06B80C-A836-48BB-AC74-03B9C91F021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4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BD9D9D-4E92-4994-B9DB-E54480B7066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4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613659-3282-4795-A7F2-52D3936CA15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4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AA68FC-6401-485E-B7D6-FE8E2B702D3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714375" cy="304800"/>
    <xdr:sp macro="" textlink="">
      <xdr:nvSpPr>
        <xdr:cNvPr id="94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539AE6-AD21-4EF8-B90F-61C4B270A419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4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B78CCC-940F-485E-962E-551EF3F8F0AE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4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82B08B-7BC9-4D0D-A1AB-3482FC52D816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4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EE9D03-D994-497B-8A9F-253F5FF5A4C3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5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51EFF3-B585-46BB-8BAC-B989D0F265B5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5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DC05A7-CCAE-4D18-B00E-217C4EA941BD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714375" cy="304800"/>
    <xdr:sp macro="" textlink="">
      <xdr:nvSpPr>
        <xdr:cNvPr id="95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7E6362-5FF8-4409-9F1B-BC7C16D6DC6C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5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9EF0B0-ECC4-46D5-9AA4-84DF28E26A9E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5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4E0A89-C85A-4EFF-8DDA-CBA70A240E70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5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363F92-6E10-4069-8377-6F82FC0B09D2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5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25E406-5CB6-4C3A-B185-3B6420F58A61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5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C2B3AD-74BA-4FFC-80BC-CA1A7A2A2D6D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5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CBD8DD-90EE-494D-B1AB-2D2581BFB709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5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D998B4-FE4D-4503-A738-C70204A48AFF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5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A87B28-4723-4C2F-BD66-E0F7D5F7C7B1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5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37FF7F-2C27-4FDE-BD62-1DBE10EA804A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5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DCB38B-7953-4880-A665-A7D74A0B0358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5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BEF856-EE6E-4EA5-9B35-6633219FCBBD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5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6931CD-CD8F-4F1D-860B-8A198F35D020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5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D8E3ED-535A-413D-A8C9-A22C5CE410AF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5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38531F-8706-47A0-B618-B0778128121B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5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FBBB72-83D8-4CA9-80E0-6C84E293A590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5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E256D9-F6AA-462D-A67C-0B162DAFDDB6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5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F0E417-434A-4BD3-A91B-E1BBCA9B2FB1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5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184885-C4C0-4034-B88E-618FB4CEE491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5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B41315-C90C-481C-B8D9-DFEC5D7213F1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5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035232-86BC-4619-BD03-B39199E5D48E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714375" cy="304800"/>
    <xdr:sp macro="" textlink="">
      <xdr:nvSpPr>
        <xdr:cNvPr id="95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B6C8CA-66E4-490A-A433-AF2550DCF782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5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413656-45ED-4B92-BC6F-972F4E9924B0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5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46B05C-BE4A-4AC7-B334-B1C71B158C1F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5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47B04F-8B1F-484A-8DF8-4245A874DE74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5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3A7699-DA80-4108-A5D9-874AF9D9E34C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5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6E989E-FBED-4EBD-8433-1500AE90C281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714375" cy="304800"/>
    <xdr:sp macro="" textlink="">
      <xdr:nvSpPr>
        <xdr:cNvPr id="95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FBF615-5346-4AC7-AB2C-2AAA9DAE5E61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5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790CD7-6618-4955-9AA0-51ECDFEFBDC1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5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32FBD9-F95C-45B0-B658-ADA9FDC92A89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5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7D54A5-6936-4B9E-915E-4B7A3FBC4BD6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5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8FB2F6-7C76-40E7-AA0C-3DE4ECE96631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5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A60344-5091-4488-AC0E-077323D0379E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5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554551-AF83-4F93-BB57-51D89A40D3E9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5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9A7E27-A375-4438-A3E4-7BCE41E235B5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5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FB040B-4FF7-441B-B82E-B6D7E1D00513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5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42B271-1FF8-4D60-BCBC-929D135A5ACE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5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09A6BE-3B1F-4124-BA10-2C1D4DE54B15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5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743C4B-F302-42FF-9220-7E1D8D0B100C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5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B5D84C-7FD2-451E-B83E-A2DCDFE52BF0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5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4431ED-6076-4679-9F70-80B26751D197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5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BF9C9E-3E7A-4F9E-B5A4-C1845A0C692F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5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02AD12-185F-448A-B575-DA8176992DE3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5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6B3189-F446-43E5-8361-21B08E3CD11A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5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8DC3D3-9E1C-4560-AEB9-CC3B4745663D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5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6A92FC-BBB9-41E7-9061-08F7128293E5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5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F368CE-B7D9-4403-AB71-7114EA96D0D3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95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016842-01D3-41EB-976E-9C0F9C43FE56}"/>
            </a:ext>
          </a:extLst>
        </xdr:cNvPr>
        <xdr:cNvSpPr>
          <a:spLocks noChangeAspect="1" noChangeArrowheads="1"/>
        </xdr:cNvSpPr>
      </xdr:nvSpPr>
      <xdr:spPr bwMode="auto">
        <a:xfrm>
          <a:off x="93726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5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7A7033-2D0C-4511-AE31-152DA37A53F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5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E08AD5-4075-4365-B8E7-E5D9404B640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5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E6B32A-CBB9-47CD-BF75-7C8F1F590FB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5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5709F1-35A1-48D0-9C96-0BB8B040CD2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5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2ACC01-259C-48C9-8E2A-65BF655F65D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5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4770F8-EEA7-4D76-A9A9-1044F0648AC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5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DA0D15-0F13-41AA-BE33-69D1EDA0BF1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5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B3482B-1182-40F2-8804-24FC7A842AF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714375" cy="304800"/>
    <xdr:sp macro="" textlink="">
      <xdr:nvSpPr>
        <xdr:cNvPr id="95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ED00C6-374B-4B14-93FC-A2361D623DA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5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6FAFED-9CA9-414E-B7EF-633741AB915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5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09A4EA-515B-4DCC-8798-A04009157E6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5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BB66D4-931C-4308-AA8A-2DD5E962B24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5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A0B18E-64E4-44FF-9971-316C7F64BDC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5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11D8E4-1468-4FA7-AF83-CD70D7D20A3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714375" cy="304800"/>
    <xdr:sp macro="" textlink="">
      <xdr:nvSpPr>
        <xdr:cNvPr id="95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4E759B-FF7D-45C1-AC66-C386B153CC7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5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AE71C8-5D39-4327-9DDB-3B356248C9E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5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A52AEB-9944-4319-8D78-3EB4088EEEB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5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B6F1C5-4FE2-4A20-9812-52A05D005A4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5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81F6A0-0CA1-4B3F-991A-E9A608343DF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5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3DBE17-E03A-4E1C-B394-BDAB7B280BD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5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95942F-5B80-4995-B4D3-9C1E16D7095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5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73E9B0-7A3E-4A2B-8E31-61657B28008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5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527A27-410D-47ED-A9BE-AD42280EE4E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5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DBFC93-5C8E-4DB4-A618-52A4230B93A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5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16997F-0624-4504-8781-AB33698D4FB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5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221887-D11D-4E2D-974D-21165E9708A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5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23AD10-710F-441E-A41F-CEA91168512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5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99D93D-C355-4626-B670-E69C856C41D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5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33422A-370E-48B9-9D83-CFE5E94020F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5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64110E-1E5E-421D-859A-67485E8AF99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5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9D29CB-4F4D-464C-969C-90DB439E4B7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5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B707DA-6D2A-4C47-A2DC-9638C9B5618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5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86C873-9312-4CA5-8611-AD16EF979B7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5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C0EA7B-E21B-425B-9A5E-594440A333D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5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6D5991-E3C8-4EF7-A8B1-465467BF325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5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44C9CF-2B66-4BA5-8467-B85CDE89E9C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5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5E86CB-DA83-4F60-9C1B-C91EB561964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5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81F78C-E3C4-4C0B-86F5-9DEA4160E1B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5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6EF712-D3AC-4A08-989C-087AD60ADAC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5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C7593A-470D-445E-BA2E-10CC121F971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5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303750-57A7-464D-B3B8-117439A21A3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5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9D5451-458E-486F-9180-3A2B3C0A292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5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891E74-37E8-41E0-AD74-D27F13663B2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5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DA1768-453D-4786-B15C-6423F17165C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5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07338D-81FB-420B-8884-37068080D3E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5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E61887-003D-4496-9B23-B93E2AC48FD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5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574F85-EF03-4579-8FB1-ACFA9236762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5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68F42F-408A-4A09-95A8-5BCC7B15788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5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C08BF2-3DE4-4475-9751-DE62AA8A0C2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5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54C1D8-143D-4499-9473-56F9A0BFCEA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1A3511-9C6C-4B6B-8168-9672CC3F871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FC0FE3-AC18-47B1-B781-6BFBDAB1686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DB5A7F-B95A-4598-8C8F-AEB6B3BB439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2087FF-E34E-4C59-8901-D28D01D6EA8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43DB2B-AC24-406D-B8F6-EEDF5994FC8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CF94EB-FC9F-4BBE-ADB0-FFF5B45F64F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3C21DA-7B2A-4946-93C3-A2B889AF6E4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B209DE-8A08-4134-AB11-8953CFA2A29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B124E3-03A3-4EEA-8B46-04D2D949AB5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311CDD-9322-4F53-9ED2-13588C1B153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9EE12E-4D70-4480-8744-4C34C02D31A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7F37C7-FFE5-49F0-BEAF-23171DE95B9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0A0BC1-D67E-40A9-8122-66BF103A215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B9DA1A-4376-40BE-9330-F9390D12C91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C05354-FBB1-4677-83F0-21B568F0FEC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2F10A2-B559-462B-923F-8133CE86B62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77728D-1B33-4529-B437-85B7A2B679B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E53565-2716-4E93-BED5-44EE5AD0CE3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45A35A-B671-45CC-808E-2462335A52D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B3A965-3357-426E-BBDB-64380F794F0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8DC0A1-5BC8-4EFA-8F7C-1E9D7D78BB4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4A3A3A-6C81-41AC-9751-CDF1207D7A6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61418F-29CA-4DC4-8FE8-DDCFFF5354C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BE82B4-05A5-42A3-BD28-9D6DCAB3528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BD5097-17D4-4686-A3F2-607B3533A3C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05E62D-FE35-4C18-9970-93FCC8C4DA9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2DB5F1-3C95-4D16-9772-11B7655805A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CF3A80-E845-4ECB-98E6-EBF63DDA30A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E42B04-8D9E-457A-B4D7-47C5DA257F7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152BAF-AD0B-4606-B2CE-958498ABFD7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C806A7-8177-4FB6-8EF6-1168A8188FD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8EA230-5BAD-44C6-83F5-8C73F306BC7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993012-847D-472F-84B7-68017C7E85C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152256-CF61-469D-8E74-675666703E5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78BAD9-A2FA-42B2-8E5B-A659F8B7D6D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D93AD9-3164-471C-931C-D5F7F691D70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BDBEFF-275A-4398-9620-4BBB23FA589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485753-87E5-4C40-AFA5-28672830653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289AEF-C918-4183-82FA-44BFEAF4FC8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5230B7-838E-4049-96E9-BC530046D1F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DDE321-94A4-4658-B317-BAE5EE9CE3D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2112AE-3911-436F-A00A-0C4EE45CAAF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972094-6886-4183-8115-55080D5D441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E8B760-98DB-48A5-BE84-F0624656840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DD9E89-FDFC-4606-9B31-2B392C53589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514A23-BA9B-41C8-901A-A41CC1D4F6E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60EC64-BA13-4622-8049-18B8AFC8FB1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B63ED8-EA42-435F-92E2-B3FB5075D65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0F018D-D5D7-4BAD-94ED-38CC3F9D124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273C82-BB96-44AA-8BF5-90899D88636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2734DB-48C3-4FC9-90EE-0252C7CF363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6FFD4E-515A-4513-BD76-B170D7EED64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F55CEA-1D55-4DBE-84B1-3DD11776554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F19ADD-0D17-4410-8CF8-B4F000323B8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9EA9C1-A181-4A5C-81C4-37729D2D04E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4DB582-E8C1-463E-8A2F-2D99AA3F713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3BB2B5-5857-40E5-B195-271C2CD42C8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00300B-F798-4074-BEC1-69EA8655EDC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3C64A3-6F1D-421A-9327-8F125DFDD3E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47FE8B-593B-4A4E-8777-FC7A4DCF38F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CE79A5-C6C9-4DD6-B721-12CE358025C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0E8E4D-79F3-4051-AE6C-05C2E690583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EEEE21-0D38-4C34-8E59-F4A0AC88A56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2EB520-05FC-4A63-AFF9-4CD2E4897C0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843A7C-0684-491A-B3F9-02372E7E1EB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728CB0-2DF2-49FF-BE39-7CB50927DD3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52F305-1CFB-4F92-92C9-F15CE8D4ED6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6459D9-45FE-4B7B-BBD4-909B8F46313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BBC554-0001-4696-BCC9-57F05BB3CEC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220E3E-7C36-4D95-80BA-442E5453733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E297D3-5CA0-4D73-8126-2809E4D33BC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474D71-1D55-4725-891D-B47114B7205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A32C1A-199D-425D-B8CE-D43E301D8C5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F178F7-82D6-4C42-BE84-7BFE1F60033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268CC1-3A83-4D8A-B398-3A0B3E6B913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C0E882-2CC6-433F-AB99-1DC0CAE2794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126648-74DF-4256-BA42-84A6FEEF7B3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C8EBF8-5E99-4AD1-AB8F-82188821884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6C24C3-2C74-420A-A5A3-BD1D5E6360C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376A82-2CB6-4E9E-9132-EDF431F3FBB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84EAE8-230C-4177-B5C0-FEA7B0ABD39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EE8EC1-1DF7-4954-B0F8-38FB07A1338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579458-2A7C-40A8-8B85-AC2D45AE418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47EAB6-9675-4AE8-82B4-A70A65BE85D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8F8297-A1A2-43BB-BD11-BA5A22929DA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3C180A-3477-43BE-9A3D-CC0CFB22633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628DF7-6261-4B5A-880E-18AA6CA97B0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9A8829-C8A3-48BE-A901-00128DA9D79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DF4488-D730-41D0-B759-813A3D7ECB9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5E0672-0025-48FB-B966-319F1C6BA03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185800-FB6C-4ECB-80C6-5E9671C0AA7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938299-CBD7-4FBC-9BC5-E15C57469D29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FC1D76-0241-475C-B0EB-F4AD29B79C4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43D12A-3683-4325-8E65-AB5A15B88EF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B1C179-5909-40CE-864D-01BFA2E2B32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E1E882-994C-479A-9E2D-906452A7E4C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891E85-B4A5-41EC-A6CC-6632A039D13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1C0323-FE5B-4BFD-B23F-EF31BAE40C0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E491AA-B54E-4D51-B57A-E4952CE22EC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6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27D7DE-D2B3-4B3B-847E-B22C7B9DFC1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</xdr:row>
      <xdr:rowOff>0</xdr:rowOff>
    </xdr:from>
    <xdr:ext cx="304800" cy="304800"/>
    <xdr:sp macro="" textlink="">
      <xdr:nvSpPr>
        <xdr:cNvPr id="97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BF235B-2E94-4DC9-8070-DEEFC489550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714375" cy="304800"/>
    <xdr:sp macro="" textlink="">
      <xdr:nvSpPr>
        <xdr:cNvPr id="97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92CF26-B11A-44F2-ADBD-A4CC1B78C9F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7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7DF848-BCDF-4D9A-A525-B867684175E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7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C72197-7777-44EF-B439-3CC8274A25B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7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C90432-8460-44B5-93CB-FBEA21851F0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7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FFEA07-27E9-4C79-BA7F-C79968213FA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7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A05647-AF6F-445E-9349-2F2994A9E92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714375" cy="304800"/>
    <xdr:sp macro="" textlink="">
      <xdr:nvSpPr>
        <xdr:cNvPr id="97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C5E38E-E604-4C29-B535-FA84A543DFF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7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6E0D51-FA61-48A5-AC68-7E70DB303F1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7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8565EA-8C84-48BA-B0EA-613E6A6BB14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7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363898-6F7C-47EF-B93B-363E06005E4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7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2F0803-42A4-44F0-9588-92F24A9F6CE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7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D149F8-A7B5-46A4-ADB0-85843C1FFC5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7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C38D9B-6186-4CF2-B105-CC4A605F66F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7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234143-E5E0-4100-9C85-99C50089471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7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69B898-76C5-4B3B-B796-AE39A8F1AE6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7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F0E5C6-FA17-4D17-9811-4FCC6AAD6D0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7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85E101-E1D8-45E3-9000-FA126B58C04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7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A20AC9-DAC5-4C78-8074-A67F77720298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7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745124-0CD8-47E1-9ACE-47A34FD5163C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7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3CAA60-034D-4742-BC29-98DB60756BA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7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0DA8DF-5EB5-4715-B73C-BA7BF4E5B14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7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062C03-C9A5-4F4D-8D49-3521F004FF02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7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3C1746-63F7-4C69-AA9C-953A34166071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7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5DC30C-5828-4920-AC84-38788788715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7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3F2A0E-AF80-44FD-8680-A9BB70F6628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7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22526F-BF3B-496C-B0E7-CDF8444A2B0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7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E5D06C-512C-4893-84EA-DEBE6F65B93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714375" cy="304800"/>
    <xdr:sp macro="" textlink="">
      <xdr:nvSpPr>
        <xdr:cNvPr id="97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A77E79-6117-4B75-967D-C0B13E6184D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7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81AE26-7847-4843-ABE1-E62D8EF1716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7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7D9A08-82EC-4838-A29A-8AB9DC2287D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7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8C6741-55E9-4D9F-A219-8E0C209EF88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7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28BBDF-51AE-4DA6-AA9D-C2C83987DDF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7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8B0D50-8A6A-4DFF-B978-0C0B6CCAE5A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714375" cy="304800"/>
    <xdr:sp macro="" textlink="">
      <xdr:nvSpPr>
        <xdr:cNvPr id="97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F8FFF4-3FB1-4436-9CA0-65A1729BFC8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7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EE82A8-75A8-45CF-84F5-D4EE7BD5F43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7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9FC2E8-41EC-4DFC-94BC-43258F5B050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7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99A012-1408-4DAD-BCBE-C7126E267A0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7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A1DBF8-CA30-494C-BAC1-57274DD0F09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7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D675DC-93B7-4ECF-8314-C09FCB5CDFB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7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95B06F-C651-4B29-B1C1-DFE1111EAB2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7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FA8008-47AA-4C61-88C1-08B43FD69CB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7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44BCD5-BE5E-4310-A09E-0DF574AA20A4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7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6B7758-00C6-445A-8246-3D7F94A9BB03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7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7BAA69-4F7E-4714-918A-7BE1718922A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7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73B331-24A1-4D9A-B624-5416BAB08FD6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7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17E480-28A9-47D8-8AB1-622DACC9D915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7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4448E8-56F9-4C49-9972-C9798E0107F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7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17FD0A-F579-4ADE-94AE-6F2D00C3856D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7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23F50D-BF14-4AC1-8C2A-305D02992800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7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8E492F-3176-4830-8F62-74074B555D4B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7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501E41-DC73-4A11-ADAB-B73D180AE3C7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7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4299D3-07A5-4857-88E9-88D67EE476CA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7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42226A-F168-45EF-8B0A-BCC009EF12FF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7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7A48E8-4739-4C6E-93C3-21D7E32EB38E}"/>
            </a:ext>
          </a:extLst>
        </xdr:cNvPr>
        <xdr:cNvSpPr>
          <a:spLocks noChangeAspect="1" noChangeArrowheads="1"/>
        </xdr:cNvSpPr>
      </xdr:nvSpPr>
      <xdr:spPr bwMode="auto">
        <a:xfrm>
          <a:off x="91344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F07F57-68A2-4029-9BC6-5DB8625B6F9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89BEFF-3771-4678-866E-F4C9316B453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33BFD6-99DC-4EF5-9417-A7FD0128E91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422A68-750F-49A1-A49B-83B173C6805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F3C5E1-FA1E-41CC-965D-21B052A3EBE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0A53B6-F300-42B0-8B4B-B99E4573B76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023011-FA08-49CE-A1BC-C68C836F762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E9A5AC-A223-4C53-B7B4-55AEEB7AED5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F2D7C4-E993-42A1-B295-8B7EFD4D101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52C77F-EFCC-46F3-9542-8050DABAB2B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97C9DC-57EF-415E-B005-7C675F5C516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46140B-8960-46AA-873E-F57F3D5F1AE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D257F3-7DE4-4775-8EA4-3BABAA78AB8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D82775-ACAE-421A-8141-790EE93078D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C40125-66F4-4778-8B69-9B30CC3748E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E8B01B-E100-4C7E-8E2D-75BC6D07396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D11A8E-C533-46BA-B89F-9B39EAA4860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180437-DB70-43DA-81EA-6A01BA0256A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95761D-A8EB-47C5-B3C4-6E985B52F8A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B69735-B86A-451A-8B2B-D296480EAB4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37A19D-CA54-4C36-A327-7ECCFD50AAD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DAE79C-74E0-4FD9-BC96-78FD7540D70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8C5193-F96E-4653-A5FC-45511ECDEAD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5D88BC-4FC2-4A52-AE86-4C887F8BBA9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954313-5C9C-424B-8908-8706A8F5214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130C47-3D18-4CC0-A240-2236FAD6D04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48823E-EC25-4C80-ACAA-981B00E0D0A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A64CCB-2D78-442D-948A-852D949875D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CE1DE8-17FB-4CF7-AD2B-F6B790A2D85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C0A3CE-C6C6-4828-B4C0-91FA950C4E5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CFB72B-9AEF-4FE2-94E1-0C3B599D91A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273BE7-7A5D-40A6-B83D-423BDEF4D7C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9C59DF-A96B-4C91-85E0-986C7FAD7E6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C4D0F9-B81D-4E0A-A588-758C27414DB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88C547-57EC-4142-BAB4-1093CD0757D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CC4CB0-6C72-4804-9FDE-1A3570E8092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94E42B-0EBF-48E0-A45C-5CB3B60219F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221AC2-6482-446E-BE9B-551C9DD2B49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1C1E1F-0EAD-4726-90DA-070B8AE61BC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D67D9C-596B-4B6E-AE69-40A77A87354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DD4396-7276-495A-B92F-839C1E0B4FF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8C3B6C-905D-4A55-B64C-0CCB5C3F9C3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45D991-54C3-46CE-AA4A-F3F071654BA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D9F554-D353-4123-9C73-0C91800A27F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7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C04ACD-28B3-4A02-9929-59F6D9F05C1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D366CC-307B-47BF-828D-29E53680DC9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3A6B63-1E75-468D-9099-3039C7EDA2C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10452D-220E-4E8C-9744-5EB06CAA232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1F73E9-B967-4A44-B73A-EF824DDB016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2140A0-BC7A-42DA-A1AF-D1C484F79DD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919E10-69DC-43C8-86A6-D22D1607E2C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276486-2795-4A4B-9675-04C87AE3152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2B3FF4-7070-4E85-A142-66285A09831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053D1B-5531-4378-9CD1-51851A439E9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4BBB0B-0349-401B-B515-EB12EC882C4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41DB24-8AC0-49A6-8F0C-ECE5905B10F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F4BBD0-76DF-4848-80F4-924DB48DB99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174C90-A79B-405A-BCEE-3753E9F0743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8C25E7-474E-4ED7-9CA1-51C2466FAFD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059043-8431-4DDD-A21A-75669B08E57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692E10-6077-4F05-A93C-45D801535F4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F7CAD6-1FB7-49AF-AC53-90648CCDCA2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289C21-8D04-46C5-8C59-E8CC0827C93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1D71E5-F3D5-441F-8704-5A5D94C3DCC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371C2B-4B95-417C-B109-5F24A4E6DD3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2B2616-6E6C-47FE-AC7D-C4D2A9B8ABE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C749E7-58FB-4D87-8A7C-FE19049F54F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B0ACD6-7C9F-4D1A-BCBC-12CDBEFDCF5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EF3948-AAEA-417F-B9BF-149719BD7D8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B5C807-6DF2-4BCF-9B50-BD201F7680F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C7C16B-D18F-4199-8563-3EA5AA3558D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FDA834-BAB8-48CD-88F8-84E94CEE5D4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0B1BA7-8046-45DB-9295-A6497E0459E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95FFEA-59CE-4A0D-B378-92211F6D0ED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2944C9-C11E-4C38-8180-445551E8D58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4FF7BD-9D50-4E56-B3F1-F5347993D6B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ACA1DD-4F31-48C9-BF49-21D559D8D1C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DABDBE-D6FB-43A5-A326-8C8157EA4F1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88F03C-2B1E-405D-ABDA-ABE5DA5A72A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E3D668-91BD-40DF-9910-8FCB66D9141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64012C-4ACC-4106-87B6-6ABDC27DCD2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DBC982-0092-4739-8137-A92FB4A960A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D85214-BC55-412D-9AD7-19BFBE00C8F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CA9256-A0E9-426F-9A51-8799A0FD5EA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D0893A-6413-4F66-A75F-D1915DE4D23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AE8863-EA8B-44BF-9E0C-19729B10085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DC4C6C-D015-45AF-8BF1-D6E0D73B789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A4FE1D-7A33-4977-AB60-8C2FB9A39A5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D2E160-0CEB-444A-B042-EB8E2B91504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A0457C-4AC3-47D5-9362-F22463BBF9A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C251A4-9536-4F71-8930-D9292BB4BC6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5E420C-F24F-4085-B004-932B4F15D06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A48363-4881-43C2-9CC7-FB00FB9AE97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8301C8-65A3-4979-8B48-FAD6DF020F2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CDDD03-F679-40BF-9A0F-C3A5E6FE7FF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609D49-B335-44B8-B968-9A2F76AF4B5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2A6F8D-4BCF-4958-8B9D-174872C793B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53766D-B69D-4905-B6A0-218D9AA4A97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4E6D2D-BED5-44A9-A69C-176731F36F6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6E30CB-1CB7-4CCD-836D-1D466EC5E60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880AF9-0A51-42CC-B404-90A99D733AF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93E677-5849-47C7-9FB5-289DDAFAAF5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9313DA-25F4-4CF4-A7CB-38029A1294A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777957-5A1F-4285-82A2-10453C73E4F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6AEB4C-C111-487E-AF32-950A8CC3FA4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6BF227-D036-49D8-8761-345F9C61171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E5FA87-4DED-4B9A-8F26-90D34F24635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CD8911-F754-42E1-93C8-C89E7C84B47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69B1FF-151B-4B4C-A68A-1655D321F87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03F02F-2888-428F-909A-E13C496F00A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B4B791-F8EB-4FAA-84DB-34423CFB329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353AA2-7554-4F91-BB54-FDA289B8453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7E5B00-5F8D-40C5-B8EC-294C18B4B39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52A995-6772-4830-AE98-0AD054E41AA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6CEDF2-D583-4BA6-B7FC-006FAE46A4D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6AC33A-7220-47BA-BCAE-B24CB73368B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B5A2C0-3697-4122-A846-E7E3D80132A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5F01E3-92EC-4323-8C2B-5083C60972C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4279F7-7DC5-4217-AE78-49A6D31B439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A5B797-7948-4528-BE2F-518AD154F4D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DA9067-70A9-40F7-A2C2-B804FCC29B7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209649-EE44-4839-8F03-BBC89425930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9ADAB2-623B-4A33-BD53-72A8B2E0048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ECC904-0FDD-4497-9A11-99A85AD4D87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45B7FA-1287-49E2-A978-E0BBDCE2EE0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15D8C5-0D2C-4C14-9376-7069F292E71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ED509E-8BEA-499D-B374-66FEA538D05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5F61B5-6B3A-49CD-8D23-F2CD4AB98D4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0D725E-E91C-4041-83F4-A9426158D36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D53195-4389-44A0-9254-87A1FC268DB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39E5E0-EEF9-41B4-87B6-093ECE41F1E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B20E34-8618-4B14-8C26-48CA6D3F5DA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50A36B-1770-426E-85AB-8DF9E752D78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2B1309-BA90-4CC1-89FD-D55C6B4C5A4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205EB3-2056-44F0-8D33-C7F2B3C3B62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8AC896-A5ED-4F96-91C2-F3E78DFEBE9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94A6EB-2B26-42AE-83DC-0EFE3DC996D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96C0F7-9BB9-48B3-A6D6-0EF2989755B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EA988E-F594-4C11-AE60-74F475C6D50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82786E-44FF-4150-B7BE-4CC3C2647CC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AFD2BA-5261-454D-9FA8-704E1E0FE89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245171-643F-471B-9535-8CE5CE23911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020593-EDD4-4256-89BB-27602E1A36B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F2A671-3BEC-4E6B-A905-F7EE7D0F835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8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4FB563-01EB-4AC6-BDFA-1355A83DC70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9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24B700-6358-4780-AC0A-562C91BB6E2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9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D26710-A188-4012-B655-2DAE1D3D253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9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286004-2622-4461-B99A-4B914012F66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99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B7F57D-267D-4B1D-9516-D9B995814F4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9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588CBC-7EF8-4E47-A09D-45E1A0FCC40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9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76EAA9-5834-4915-BC24-8E277CD127B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9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785B0F-B2DC-4B81-BC09-80317D7D2A1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9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112AFE-0B42-41FB-B877-B580F97C7AF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9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04A211-8817-40D7-8221-D7D626AFB9C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9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A8712A-196F-408D-96AB-A7C397CFD6B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9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8C6C99-1D55-4307-91CF-274488EA68B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9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640F67-0A18-4463-81FC-EBCF6237239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9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B8910E-E8F6-4304-8B17-9E6E427A9E8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9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A18A2F-8417-4C91-B31D-25B2137A1E1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9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F4AB30-9240-4C0D-9136-3C28FB05EAC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9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C22EF2-3EA9-4128-9D69-7A87E6F28F2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9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D9C32F-6BED-4FA2-93DD-29A379346BA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9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74ABE1-B9BC-4800-B664-E6BB1C4CA48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9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9EB7A4-9433-438A-B4F5-5602013E6A9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9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960B39-AEEC-49BE-935F-9BB0BE4F746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9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EB4CC3-726F-468A-BB7E-69F122C05D4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9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D9CEEF-3483-455F-B78F-791E31D4F62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9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DF66F0-2165-4A6D-ADF4-ACD23EF0020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9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F84D17-058B-42D2-B217-98F722C9603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9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3A492F-36DF-461A-AA25-C1678512E74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9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D3A733-9887-4E9A-BB06-9947B99E641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9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1D1370-891B-455A-BAF2-D075D91AF46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9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36880E-019C-4865-81D3-7DE08663F58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9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D83296-59F9-4088-86A0-A376FC7BD8A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9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399C90-3754-4FFB-8BB5-624BCCD0471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9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DED8C6-5743-46DF-A856-FEF605D18F6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9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E19B89-9837-4D64-BB75-B3E7F42DBA7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9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FD36FB-3220-4E45-B5EE-1B1698F1F3D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9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443E0E-426F-4F20-BA04-96098FA3920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9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CDD069-2E7A-4E02-A21E-8FF20945052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9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050EBF-A059-4E9B-B9C5-2773F328317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9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881E68-74DD-4C3D-8798-C7BCF8E41B7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9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160650-F82A-4BD8-BB0C-1315E11092E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9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F70583-8BAF-4393-9BAC-F97852958A3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9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2E234C-1495-4EAA-8A0B-1BAA1660864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9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B51A13-6EA9-4D0A-AA38-A170EB8F3D6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9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4398D3-3F9A-4C07-84BA-E92E773A2D9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9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79B3BF-423C-4DE2-B1D2-E03418A2794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9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73C88A-E7D9-4A84-9343-466CF086EB3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9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7D76AC-3120-444E-AAF6-DCCD3E4EB6B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9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138501-BB3F-40E3-8F79-B28EA230BE2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9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AA601D-9456-4271-8178-6F8DF56C7E3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9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BBCC0E-CB09-41CE-BCF4-59655B796C6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9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4FC009-6F21-413A-AACA-97A638CA65A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9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9F167D-CAD4-4EEF-AA4D-E60388229EF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9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9C306A-03C5-4026-BFDE-03A8630C07F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9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2F42FC-15A1-4E68-AE18-EBEE1EE6D4E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9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30CAE5-D605-4C09-BACD-47CCCA90FDD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99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81BA9B-4767-4C24-8441-B3E7051BA8E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714375" cy="304800"/>
    <xdr:sp macro="" textlink="">
      <xdr:nvSpPr>
        <xdr:cNvPr id="99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A47800-1FC5-4E9F-AF90-625379154288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9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42AA30-9FB7-4771-96D4-355F320674A3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9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7D3A95-D76A-4621-A2BA-AD4F905DA2E8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9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0A8AEE-1B96-43E5-94A7-346A36938867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9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AE8061-B765-4D88-BC3D-0351955B26A2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9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DE082F-0C0E-4905-8C95-7CA2ED654C08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714375" cy="304800"/>
    <xdr:sp macro="" textlink="">
      <xdr:nvSpPr>
        <xdr:cNvPr id="99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85AB6A-0BC8-46E1-9979-4E61BAF30D39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9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D5EF08-D47C-43B2-90B7-50DCA3403005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9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E2D7A5-C84E-4ED2-A25B-03621BB2842C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9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9AAF18-5EFA-41EB-9D33-FBE869D78397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9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C9D676-FEB1-4013-9EA1-6685E4968AA3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9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F41007-D95C-4B86-8E9E-D48D39576E0D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9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8CECD0-3962-46B7-87D3-7D55FEFE2977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9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7C3EE1-DC6B-434E-8272-7CFAFE04C201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9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477724-10C5-4539-AB6A-AD33F7C67540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9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A89C41-E55B-4D22-93FF-911D84B43C3C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9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BC66DD-9A50-420B-962B-1E37C21E267A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9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94710A-F8D7-431B-AD44-06E551266CAA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9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A7B8D3-649D-4CE3-8FF6-DB9630B261A8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9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7E9E9B-547A-4FB4-82DA-184C1C4ED28D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9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6E1345-12D4-47D0-981B-58AF01914239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9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28BC82-7365-4692-974D-112446B2294F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9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89BFF2-4F59-41AE-9FDD-D7687494F7D8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9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A270E2-AE13-4E39-9EA4-1A3B0109A1BA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9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FFCB45-528C-405D-B966-2F96DFD124F0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9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435E67-2B55-4BC9-96B3-A08F23EB9BDB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9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A4478E-0234-40CE-BE47-1B66CF37C48B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714375" cy="304800"/>
    <xdr:sp macro="" textlink="">
      <xdr:nvSpPr>
        <xdr:cNvPr id="99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D3A74F-D2E9-4E97-A965-2E20241680F7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9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50A3DE-0D57-4B59-8A29-CCD4EC5732D7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9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7BCFC6-E904-4F8C-8D3E-E7A93A3C4B03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9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FF6DA2-97C5-443F-B52A-7E792122D8A5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9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7F5789-81BB-4567-B3EC-844CBD7C61B8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9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E1E7E9-0CC8-4687-BB04-773BB6C0A9E5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714375" cy="304800"/>
    <xdr:sp macro="" textlink="">
      <xdr:nvSpPr>
        <xdr:cNvPr id="99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5E0AD6-22B8-4B02-A298-9BAC9701280A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9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5FA72D-A42E-4E4F-8869-6080EAEBBC33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9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85BBB8-4D31-4F4C-B229-C7CF6B9CBBB0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9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81563E-41E6-4F94-8B99-5CE25E187377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9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A5E2FF-3A8B-48D4-A146-2ABB6CC3D52A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9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403DC7-8991-4BE6-845D-C6BDCAE8EACA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9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571A44-B6F4-4DD5-A3AA-3B603B5625E6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9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874504-2C4D-422B-8672-D287184FED9D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9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F732B4-E581-4640-981B-8E18E00ADA02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9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C0A82B-8CFB-44B7-ABC1-91AD3713431A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9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2D9D77-2895-48EF-87F9-E0878D2A810B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9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829899-22F6-462D-A5A2-797B0DB4C9F3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99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70C3E2-4FA3-41BF-9D3F-31DCB9FA1523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100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ADED5E-0CB9-471F-8333-B78F2995A4C3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100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C9FA56-1A5E-4139-9B59-4A33C0F25E6E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100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1C3B1A-C04A-455F-B472-2021FFEDAFDA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100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61C8D5-0A8F-48C1-996F-1EB3A8E68BBB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100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7D24D6-2B5D-4890-852B-B6A210526962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100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45498A-AD78-4914-8EA2-7B8B78174579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100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81511B-507C-4DD1-B53F-100FDD02850C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</xdr:row>
      <xdr:rowOff>0</xdr:rowOff>
    </xdr:from>
    <xdr:ext cx="304800" cy="304800"/>
    <xdr:sp macro="" textlink="">
      <xdr:nvSpPr>
        <xdr:cNvPr id="100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16C023-2D65-46BE-B2F5-4354F6DC5233}"/>
            </a:ext>
          </a:extLst>
        </xdr:cNvPr>
        <xdr:cNvSpPr>
          <a:spLocks noChangeAspect="1" noChangeArrowheads="1"/>
        </xdr:cNvSpPr>
      </xdr:nvSpPr>
      <xdr:spPr bwMode="auto">
        <a:xfrm>
          <a:off x="105632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EF9859-638E-451A-9D5A-7699D7CE4E5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58011C-347D-4FFF-9EE1-C15B2385C8D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9D90AB-FFD6-402B-A466-339B3FE56F3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E970FD-CC7A-4248-92DF-9F6A7D4D2E6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408BC3-8159-4A0E-B100-E5E0021C7D5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9AA4EB-7DE9-48B0-97B4-AA6D05E77A9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E2CDF5-7E39-4AA7-A5D7-DCE3BA9A856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7A5B8E-CD67-4B5E-8ACF-BBE28470463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714375" cy="304800"/>
    <xdr:sp macro="" textlink="">
      <xdr:nvSpPr>
        <xdr:cNvPr id="100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2FD449-93EA-40CE-80ED-A5FB7B8BB16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525951-23DD-4B38-B89D-28F71AC5639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638DBC-A554-47E3-9265-8FDD85EB5B8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09D448-6B8D-44EB-A01C-664164804AB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EB94F3-51EC-41B7-9EF9-471E803A610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DC353D-0F28-48AE-8BF2-ED2DBAEAB6A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714375" cy="304800"/>
    <xdr:sp macro="" textlink="">
      <xdr:nvSpPr>
        <xdr:cNvPr id="100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4E2A1B-225B-42C4-89D3-7EF04A6B911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4B8D55-16DE-4B8F-A3E0-A3E5924B923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E3B365-9214-4C01-97C2-AD16A67C109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665190-5144-425D-84BA-467317408DD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CF5F48-5906-4857-B948-888D85FF11F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BECF2F-C9F2-4996-876D-033A31E7862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0B2C99-FAD9-48EC-97DF-8FF5A095644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421096-EE80-49B2-9183-3E5D4754679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324415-09E6-4DDF-8D5E-51D8307D624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400273-3A3E-45CD-AF82-ECB63618C58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202B0D-5A6B-40AE-B5A9-057DAC513C8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714375" cy="304800"/>
    <xdr:sp macro="" textlink="">
      <xdr:nvSpPr>
        <xdr:cNvPr id="100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3EF794-EF00-4248-B680-968CEB73AF6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65949F-5ACD-43A5-AD9F-BA086E93626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81CE3E-8552-48A6-8C69-9CE89FFA027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65275D-ADE9-4CB9-BE77-ACDF1BEB3B5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597B44-9101-48C3-8A57-98379451621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74A84C-C855-42EA-B9B4-12540BECA0C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9B9956-2EF2-46A0-BDD8-B3950E54E44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E4B346-AD56-4155-A774-7D3D2FC3379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970C63-6902-41D0-9E6A-EA08A44504A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E43952-D0F4-4598-83BA-33470F3F2FD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AED32F-EFF8-4FBA-BA37-4717D7CEC45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BB7CD6-650C-429F-8EB7-B7E8F99C499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D5EA72-4A1E-4FC5-9FBE-CEFD5705D2F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E0FB65-9D6A-4E9A-AE85-057D28AEE2F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BF1F3F-3075-4088-B596-ED34B8141E9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F5BE87-29D9-4546-B85F-E3D66D37AA7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89E973-D77F-4158-8FFB-D60CD60363E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BEC5A5-5C1E-4C94-AF07-9D559F18AA5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A060A6-1B0D-4A2A-80E0-56864BD59B5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714375" cy="304800"/>
    <xdr:sp macro="" textlink="">
      <xdr:nvSpPr>
        <xdr:cNvPr id="100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B822A1-FFED-479B-9F88-8494DA84DC3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93B689-8736-4205-857E-A66DE93B9D5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339161-840B-4321-A342-04BCB297477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213817-239B-41C9-AD58-AC863AD3200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9785AD-65D1-4B9C-8E62-7C4E82FD718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5D8FC7-9606-43C2-8028-80CB55F266E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714375" cy="304800"/>
    <xdr:sp macro="" textlink="">
      <xdr:nvSpPr>
        <xdr:cNvPr id="100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CDF8DE-3AF0-45DC-8AFA-F06E189B691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D80605-6C99-4BEF-B96E-B1A92E83E52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8E3D2D-155D-4DA6-8F5A-24B31D2D34E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5252A6-471B-4FF0-A60D-4579D683706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58EB39-0648-4B22-BB7C-5B437279564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438EAA-AE67-41FF-BA30-22DCDD53D53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D082F8-D449-46AB-B569-256939E048D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749E8D-18F4-452D-90DC-56F8767CACE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EE40C2-F7F3-48D5-9152-A17BEC75247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4F7822-9144-4D7F-9DDD-5AAB27E3504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850521-CFB1-4123-8F1B-E8FA8208FF6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714375" cy="304800"/>
    <xdr:sp macro="" textlink="">
      <xdr:nvSpPr>
        <xdr:cNvPr id="100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CBE7DF-1D4F-4174-9723-F730EB0CA35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CB45E3-9868-4073-B8F5-4E722BFA5B7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B38BC2-FE46-47F5-89BE-D30CC974216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0B1799-CEE1-4DBE-ABEC-9A6E8A0A630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DCBA34-3AC3-43ED-BE73-275F18912CC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2860D9-FA7C-428F-BF13-D038CE4FAE3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D3B305-39F0-4CB1-A829-BFA5CD5147A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AA2B0E-F41E-4776-95C2-81FA3356796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1687DC-519A-4BAE-B3B5-72818280434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D8A43D-223E-4430-972D-584D97A0307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704C73-CAFD-4C9A-AE4D-58ED6D81D89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501691-25CD-4D75-ABC4-5371201C9C5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4C4EA2-6663-4CB0-B44D-2641A770E68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9E4603-8707-4C80-9D45-69F967EB849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0D210C-D910-4203-B2C1-C4B3A0299C5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364CF5-F9B0-40BF-8BB2-9617D850ACA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1561CD-659C-4F2B-A8A6-7F4AF628F59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4E3C4B-B24A-4D1C-9D68-9DFE662D768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29D1EC-CC8E-4DA6-8E56-1B0DC5A36C0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52D604-A6BA-482A-BACB-68402CF83E9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D74B6C-491E-41C2-B60C-7EC703E7D1F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836F42-22B6-4D7C-BD9A-EC0AABB9157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7FB74E-A7EB-4283-B234-6A90EDFC93D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AC83AF-AFF0-4BA0-B4D4-7FE81C0BD66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83B2A1-95BF-4965-A37E-A23A1A64CB4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BB325A-1BB1-4CC0-94CE-33E2F37AD1A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84CF11-6C30-4F3B-8C39-545968F3D17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E28775-C59A-4BD3-871A-D3AC6B901C3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77733E-2763-4F95-9F88-924C524C6B6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3EDC34-DA14-409C-8988-E1EBB9401D0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0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FF1CF3-4ED7-48E8-991F-80C64EA5697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1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4392B6-145E-404A-B361-9FE1BB3631D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1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BC1F58-F6C7-45C5-AC69-EAE309B81B6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1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2C8F1A-5335-44EC-80D9-B2ADC574FA6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1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E74272-92EA-46B8-BA21-7D7DB0FFE98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1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25C1B0-71F6-4C09-BC45-6FE0970DF05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1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4D3C9F-74F7-4002-B76F-135B69617E4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1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59782D-16A1-46D1-A6F5-4144A215385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1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FDFBAE-16C8-4D88-B52A-95047FF03EF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1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6D28EE-FA1F-4D76-A5D2-446B6EC8284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1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9A64B6-F403-46F3-9817-7B0EA5C2162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1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BB9EE2-F894-41DE-9994-5EBE1D5B87D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1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8F2D86-FD35-420F-8579-D4DE06C5C8E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1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F077A0-CCCB-474B-B491-DC5AEB73D1D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1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7DC35D-C008-4C94-93C6-EA33C327587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1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F16830-1F84-4818-AD2C-ADFCE270587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1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51A42C-086A-4189-9BD2-B3E7B0E6970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1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F49DF6-FD15-4023-9477-68C1B4265EE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1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1C2E28-A8CA-4FD1-A410-C869CB08E89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1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C7190D-95C0-42EC-9042-65975F1D3A4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1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9E2882-0773-4C1F-83B0-069F45E8B15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1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95EB33-B830-495B-AEC4-DBCCA963FF4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1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3D7415-2859-4D1A-8787-E91CA1C2945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1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EAEDC1-49F6-4933-B669-101664DC14C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1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6600BD-1ADE-4314-BFD6-ECDBA1F7F78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1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7CF499-99EA-47BE-ABA0-1A4A4B4284D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1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E4D2B1-B547-437E-92D9-B9A231D9BAE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1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2E6279-4CDE-4CFD-BB27-C1ED7E98E58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1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A9B243-1904-49FC-B1A0-BD8617A21C5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1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03CC58-9346-4C2D-9511-B85BC44290C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1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EBBDAA-ED34-4291-8F1A-10ACDE9E268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1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5B4A4C-B29E-4509-A4AE-E5F3604A194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1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A1A123-4E29-481A-997E-A986FEF2D66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1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04E107-C8C8-49B6-A307-238AE36B6AA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1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B99096-6177-41BD-AD69-BC7401B22BB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1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D91306-5811-4956-BDA0-E3196912B88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1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051D33-7015-48E1-8DCF-6919224C0A0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1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5DD336-79DF-4F1B-B656-D68DC468DF0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1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1DF0D7-BD9F-4DA4-A70B-F0A517E2D0C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1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FC61C7-849E-4EA4-818C-43668500DB8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1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FF6102-D318-4129-A06D-742E81ED352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1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0A9623-0EAC-4E06-BEC6-CE628019FBA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1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4348BD-B28D-4EE5-82E8-7ED39DE7E1A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1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8916C6-7E54-4597-A7AB-C05EEA455EA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1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E74255-13BB-4920-8FDF-68ED6EF7D8D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1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3D6289-5C96-492B-B930-E27DB7B040F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1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415796-94F9-4CE6-8FE2-4B511608130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1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A57757-615B-4669-839C-4A2777D0FD46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1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9979F0-220D-4440-B12C-B994F5AC427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1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128484-FBFB-49A0-9C4E-CE3F84BF61E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1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D1A219-0301-46C8-AD47-C7DB56223C5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1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EE9F3D-6405-464A-AB6B-84ABFD3DBF1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1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1FE82A-6B63-4AAE-996B-106802737E6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1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C5B6BC-E3E5-40D1-AD81-860DE9C72BC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1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DC2453-CE2D-40A9-8AFF-6F5446D3CE5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1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307428-24A8-4AEC-A797-6260796CF12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1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04AD2D-F30F-4FA1-945B-34FEE1ED642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1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C69AEB-2D70-44EE-AEDD-2C78B02C2E7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1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8542EF-C9CE-4C3A-A7BD-EB172B00A62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1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E8CE01-A55D-432B-8F38-A02CC8D0285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1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D56CC6-A61B-49D7-99B7-BBBAB1AEA69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1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D6A2FA-8E68-478E-BC96-594E7BD8AEC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</xdr:row>
      <xdr:rowOff>0</xdr:rowOff>
    </xdr:from>
    <xdr:ext cx="304800" cy="304800"/>
    <xdr:sp macro="" textlink="">
      <xdr:nvSpPr>
        <xdr:cNvPr id="101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9CCC49-7D0E-49A9-B93A-244A8BBAFFF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714375" cy="304800"/>
    <xdr:sp macro="" textlink="">
      <xdr:nvSpPr>
        <xdr:cNvPr id="101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DF33F1-8625-4EC4-A9AC-7D4769F1998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101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FA0F5F-B3CF-4310-9170-AEBA01EAA98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101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04ECDB-3CF0-4444-8ED0-67F9E64DF36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101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37CA6F-A0AA-4E69-A955-C326B18A87E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101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423847-13F8-4F1F-A4C8-31924123220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101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FAE0BE-5CA8-4214-ADF9-EF92B924B6D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714375" cy="304800"/>
    <xdr:sp macro="" textlink="">
      <xdr:nvSpPr>
        <xdr:cNvPr id="101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469BF3-B703-486D-ACDC-F9478581497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101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5F9F34-149E-4760-B155-01513126A6F0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101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EC9979-BB03-4A30-9AC1-5EA5AABC81A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101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DD59E2-731E-4743-B0BB-2146288D9F0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101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4EFE73-80F5-4396-BD13-8C8E820B6B1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101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43EA4B-5F4F-4406-B830-4E12D1C6DA3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101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D6F416-0A8D-4F16-B79A-BE9C1674F97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101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3B16EF-C52A-4505-9F1C-67073C6F7FB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101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B2320F-8A7D-4A40-B748-2B9C9F40572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101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4401F6-9912-4C7A-A600-21C235F1841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101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588DAC-5EF5-4735-B9CE-10F7E04CAE4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101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4074E0-1378-43F6-A478-E28DEDD2200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101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16884E-7270-454B-86BD-689E56C70BF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101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C8ABB6-81E8-4083-B38D-4D71BD8C7B1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101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C71A85-53F5-46F8-9D3F-6970A641993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101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448CF7-7586-481C-846B-55587E32D30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101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2732B3-97C7-463C-9BBB-BE9F38B22AB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101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27E3EE-36BF-4649-9FDE-B3AD69C55F6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101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F2A212-97C0-4BA4-86B8-33A088019E7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101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C87CF6-EED4-4C34-8D1E-74A94562DC37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101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72A2C4-9FFE-4D01-A36B-5ECF3956B66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714375" cy="304800"/>
    <xdr:sp macro="" textlink="">
      <xdr:nvSpPr>
        <xdr:cNvPr id="101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60CAA3-A496-4596-894D-6F385ED5C87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101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806E0E-F3A0-4E38-9C08-84FCCC1C78F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101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740F61-3675-428B-92BA-1CCA6172ACD1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101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14A7EA-D269-4A4F-ACA6-EB34F51914B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101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50AB97-A1F9-43DD-8CBD-CD121C0E630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101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0CB470-D60D-4010-922A-26171D781C1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714375" cy="304800"/>
    <xdr:sp macro="" textlink="">
      <xdr:nvSpPr>
        <xdr:cNvPr id="101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2BCEB8-126A-48DD-888C-45CB176952C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101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1CDB4C-1A92-41A0-A276-E0B61307E22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101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33727A-9F2D-45F5-A8BF-3E03F105C4D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101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3F5023-B2AA-417C-9E0A-F093B19A034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101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7BF301-A460-43D9-AA35-931362E83732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102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12DD74-FF72-4575-90B0-FFADEE995B0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102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46B190-6A1D-43E8-9D0D-F5D65E31BD4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102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11A49E-94D3-4A6E-833A-B62A0A2934D4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102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459E87-BFE9-4A0D-B510-C12744C0483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102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646A2C-B72C-4031-81F8-C1F2F5D76CD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102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40FCB9-F662-4804-AA96-A498BEA89A58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102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3E6D6F-EE46-4996-825A-315512ACB685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102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1C13B8-9166-4008-BB5D-587AD08ED06D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102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5D3122-41C7-4802-AFCD-EDD2A211EF3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102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B835ED-B943-40CB-B3FF-6FC20AD89F3F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102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7E2F90-8326-40BD-9CFA-3470D4E0624C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102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F7201F-C53C-43E4-853F-D50F55E6F253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102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C5463D-7A76-442F-ACA7-A07F6446E379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102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82FD66-0BC0-4BCF-8751-E46177BC99CA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102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BEB16F-8F65-4F21-964C-8BA6F76D091E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</xdr:row>
      <xdr:rowOff>0</xdr:rowOff>
    </xdr:from>
    <xdr:ext cx="304800" cy="304800"/>
    <xdr:sp macro="" textlink="">
      <xdr:nvSpPr>
        <xdr:cNvPr id="102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4807FD-8FEB-48BE-BBD8-D26B3E68D7FB}"/>
            </a:ext>
          </a:extLst>
        </xdr:cNvPr>
        <xdr:cNvSpPr>
          <a:spLocks noChangeAspect="1" noChangeArrowheads="1"/>
        </xdr:cNvSpPr>
      </xdr:nvSpPr>
      <xdr:spPr bwMode="auto">
        <a:xfrm>
          <a:off x="103251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0C800F-343A-4FFA-BD13-5BED6D2893A3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D991E4-17FE-4801-B054-289E5A2AE7DC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03883E-28BF-4DB1-88F2-AA140F269CB2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A0B85F-6116-4FED-93E7-31A9C2A1416B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42B1AE-3EB0-4B66-A8DE-4B3EE2FFFA03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D39AC5-EFCB-49A1-8FCA-C2D7363C537E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A26531-071A-4964-A88F-AFEC222ACF00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96C9EE-E6C1-4F4D-AC8F-E5DFB980BE3F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AD993D-DF8A-46F8-8770-93B827EABA23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2EAAED-FFF2-4E7A-865B-08C69391D935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936D5E-E0A5-46E6-893A-449DC90918B8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7F29E3-C854-4BD7-8505-164FD51F078B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C3E817-AC13-44AB-ADBD-CD3A4A664768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D45831-CD68-46A6-B0D4-0F24F2818CCE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DAC75E-7D39-4803-8B22-543F74814AD7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5915F2-385D-4B1B-A54E-8B46017BE2DD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FEF5C6-F46C-4462-B7B8-B4CF4341F53C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BFBD13-B7DC-45F8-ADA8-11D99B818B3A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95E39B-77DA-41DE-B583-F2E32C5B02B0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20BEAC-EA25-4841-A910-579575F11095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5F5531-294E-4357-AA86-A852B13184EF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3E625D-D79F-456E-AFC3-C1EECA35813F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D4EABD-9713-42DA-BBB7-4B70009C9281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1F8E8A-EA9A-48F5-BCBC-638158D98710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02A774-A918-4CCB-8CFC-97F605ABD196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B23C1F-8717-4825-A6E6-044B40DB92C9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2BC270-481E-433F-8EEE-063DAE26752E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D6F841-C92A-4F67-8FBA-64C0930603DA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9B1488-0D35-466E-B6EB-C2D3575DDDA4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82301D-6B2C-4E19-AB9F-0EEA401069B9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2373F2-2FD1-4BE7-9AAE-FDD41FEB9209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6EB99D-14F6-43B8-8A13-C1EC81F80C24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1665CE-D8CF-4DB0-9518-3BC6509989B0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84AFFC-7838-44EC-9B22-3997116708CA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655FF2-C53A-4CC2-970A-E89EEB5512C3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24D089-1C2D-41D4-8166-C87B29B18DFB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12D458-8F73-4B62-96E0-F952CEE3216A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B245DB-8320-4A8F-B041-6F64DF2BA73B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1AA972-0029-4761-ABA0-E3197BB2F094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CB70D9-8C73-4D1C-BB47-91465BD84CE2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C708FF-6335-4E65-B503-E798040F44E8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2EF5FB-33E7-4F15-82BB-2AF4E40AA051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2ADA44-418C-4DCC-9C87-9C05200C4D93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6FA2B0-7FD1-46EE-9B9B-CBABB02C4498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14900E-FBB3-4178-AED7-7CEDC3F1F5C9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2EFDF4-6935-4A27-80B7-AB1A81DD7F13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CD0BC0-F3F5-4968-85CE-3C604946A2CE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005C84-7C42-4179-AA31-90A9759192F2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93D975-C5FA-458C-87D0-FF0D3F50E538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C89B15-9B35-4C87-94C0-4EBDA4C8BFEA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765484-3630-4059-9DEF-DC82BE75985B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48270F-1184-4E6A-A24E-9DD50BD79163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895907-0513-4BC8-AD1F-E655C14B79A8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2772AC-A507-4350-A7AF-A0CF83B5E486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AB32E7-858A-4A6D-AB0A-582675E6E228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6D44EE-5ECC-411A-B771-135481319FEB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8A5452-ECDF-4C8B-84D9-60A81B0149E0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147167-E25C-4D27-B8FD-0BCEC3AC84D4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04A1D7-7D3C-4017-8763-3071DED399BF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3663AB-10DE-4807-8BB1-2C35AC451605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4269F8-7310-4958-B2BD-37091900D671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F30F95-1C6D-47E5-8C49-916F8BE5206B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BF1B9D-8ACA-43C7-B022-3692E3642FD1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D0DE75-1C4A-4BCA-BDE8-865846C1DB0B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83587F-EE09-4AEB-84B8-73CC4EED28DD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F114CB-7A31-40EF-B420-9BFA03680121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2EEDFE-ADB5-4884-B57F-77A5E25AB955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FF37BD-3F4B-4B67-86BF-7D0F1289C69D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791DDB-2AC1-4702-9F0E-5D41996E7F64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85F06C-0967-4379-A24E-9513B0EDC11F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2B9782-4282-4707-ACEE-D89E5DB417D7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48EB86-6EBC-4FE8-B723-B4EE059FA433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EBB464-7F1A-40AF-BBEB-2D48B9ACDEB2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EAFE99-3646-4A17-9B8D-EBE8B5B6D160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C477A3-596E-4838-A1E7-07983884E990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8C7DAF-D562-444B-A842-A5E5F4E0D2A7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F60A84-C5D1-4873-B6B6-4B0EB8CF8E82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E93C64-04F9-4479-BF4D-C946B35DDF67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E04A72-39D0-4440-B4BC-9152B4FA098E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36078F-A7A9-408E-A5ED-E537DEEBF1E0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506FF4-8AE8-4B3E-9054-D8823C27896B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03370A-4C62-4AF5-9C35-F2254DD0D386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34BEE2-50B6-4BFB-9A8E-7485B82D445E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2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ADD26D-94F9-4DEC-862E-E1354B66C6ED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3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CB9163-2B51-4678-96F8-88959F9947D7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3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720830-7DA3-4637-A2C8-17AE1C982E08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3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4E614D-E9E8-4F2E-BD2F-AC3C2B547579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3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0A75AF-F61C-4A05-B8A4-E9AC6E03EA26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3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A6374E-6350-4321-9899-0874899C3832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3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3ACEE9-6EBE-4B64-8D78-F1AF3C60741E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3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8A5B73-2664-44FA-BAD9-8A27D442B8D1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3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6F0EAC-6F2F-4321-A2E0-72BF5199C87E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3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7D2BFA-2F05-4FE5-8BF6-EF4E6DC1E48F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3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CB301E-73D2-423D-A6F6-606C354D4219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3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987919-70E8-4F0F-B6C8-4BAEFE9D7DCC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3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058F31-57C3-4529-93FA-A0F9739E4E73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3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8B9B44-1341-44DF-8A04-6AA60983EDDC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3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13E4FF-F667-4269-A55F-71D7542944D0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3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837A77-A74F-46D8-A14D-82F0D641EAF9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3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8EAEE6-2AE0-4315-8D52-60889C86EECE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3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168262-B0A9-444A-8074-2D19E16651A4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3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B6118D-7F32-4272-B5CB-1D46D4367276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3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1E6D9B-3780-49F6-9222-383E44A79219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3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0A5D20-6C9C-4FF9-B38A-67B25805535D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3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FBF8A8-7EF0-492A-82D6-C71B7BAD001F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3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B7FC63-E099-4337-AEA8-7DAE085DD249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3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42EF14-9347-4817-9E7F-BFC18B42C25C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3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5FE9A2-D0B8-4EDC-8360-7CF5E6C74415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3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DCB899-466C-4C2F-8694-0067FB027E5B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3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49DF38-1C77-465A-A5A7-848C4130EBCB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3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0BCE4A-50CA-48AB-A19E-9FBE2C147C34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3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614927-BB28-4222-A79C-9BE64F73A337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3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30109C-FE92-453F-944C-F08F70833199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3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934836-1188-424D-A638-6FADA233CE64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3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CF85D6-9EB6-4E7D-9AAC-42392C7F18A0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3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25668A-CAAF-41A0-8BE4-44284DB5F3B0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3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3FDD7D-2342-4E73-B45E-14696DB5880D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3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67A2FF-A611-462B-A06E-F2838E7552C2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3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65F973-20B1-457D-ABB4-9C7633A69EF9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3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A45E73-6058-4974-94F4-77D127663D3D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3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8C25F9-64CE-4896-9057-158AC3C7F8ED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3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180D7F-954A-4B2E-9C5A-2EA607B17B8A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3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F97E47-0333-4D5B-8779-9DAEC55EEB52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3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0DA97C-F724-44EF-BE87-60D674F6CECC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3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1307C7-54FA-4528-940E-623ED780126F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3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54188F-F5E6-41F9-883E-913CC2A73595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3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356200-A1E1-4F58-A9BE-ED08D8E8BE3B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3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3F6455-FE03-49DE-8519-0EFA025754DB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3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A3BBBF-10BE-4CDF-ADD4-17947D5D10AA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3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101706-3F40-462E-9161-852B9454AC8F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3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E21143-745F-4B40-9BF7-5CA538124319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3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26025C-9CED-44B4-8C4D-26511D113DB7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3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1AE367-3172-4343-8D18-A0BD0BCA231C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3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A31F0C-D67C-4F3B-AC7E-02A9B5603674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3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3B902A-5F7D-4211-9465-85FEEE13616B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3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152CDA-CE4B-4191-A0A1-A7FA915FE415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3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69FD20-7CCB-4D24-97E1-47BAD464A5E7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3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46B758-C03A-469D-B0C1-B1FB6CE0261F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3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489B03-DF26-4C97-B373-BA5032737BE1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3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AB6121-A5F4-47F3-9878-008DB379D952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3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3485D5-1526-43CE-AAC4-1A78A27713D0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3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C66FBC-B496-493C-B90E-25CBD9D0DBA7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3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99D55E-115C-4FF2-94A6-36CCE491CE1B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3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BD2AA2-53EC-4358-B5B9-0D903316CE10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3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0CF40E-07FF-4300-9963-99DAF3E303E5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3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FA8E28-32FE-4789-A3A9-645847846154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3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D02163-A2F3-4587-80EB-DECDF148FA42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3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AC5277-54E1-479E-96EA-0D92AB4C2B6E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4800"/>
    <xdr:sp macro="" textlink="">
      <xdr:nvSpPr>
        <xdr:cNvPr id="103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2E12B7-509E-41B0-A04D-EA9F41F0F2A1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103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2F9E90-7343-4D68-99D9-250F51CAF450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103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BC2703-DB66-4FA9-8129-8BE95715A959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103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CADBF7-A2B5-4092-964C-F4FAC5793B65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103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382513-CF60-4D5D-B868-0E8E506E0E46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103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789794-4351-4147-8409-93104A1AF157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103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451BD2-5293-405A-9A95-9F7AE1C2E2E0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103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21DEA1-C2CA-4521-96CD-E0E4FA4CE716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103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4B5CF0-B845-4D60-A053-D24F6CFC42F2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103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2C65D9-6CEA-4362-B551-B830F5257C7F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103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A0768A-EE55-4D8F-BCD6-8EC0FA0AE74A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103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C4862F-86E8-4942-99F1-2C994226BFC9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103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287553-F80E-4624-9034-94EFA04175D2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103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54A0E0-A3E4-47E9-9A06-B1816A0991C2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103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DF013E-A5EB-4013-85FC-97C6FA5C8968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103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F23079-B026-4E06-84B8-199BDD974045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103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0B6BFA-55B1-4354-AFDB-571948E2A548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103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9E171E-B384-4840-9EF0-4AE4AB19F4B4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103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678977-8A0C-40DE-9011-47FE6A14A94E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103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23550A-5DF0-4F0B-BB5D-3CA25D136D48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103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213B1A-A90A-4A81-9906-1F088B830AF3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103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1631D7-B383-4635-A46F-BDCF8D6E0869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103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7D90DA-315E-40B6-8E06-D4C3A83911A0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103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2A3DB6-BD57-4682-9D4B-2CDCF0820289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103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090C07-1BEC-4270-A137-3BA9C3BA5064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103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787EC9-B663-4B35-8AE0-2B2C9818C231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103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B80481-98C8-4A26-9CAD-8D75B6222AB0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103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7BCFBC-9F6E-420E-B20E-5F88BF1AC6C8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103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41E3CD-50C6-45C4-9209-93361C289027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103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ADF3CE-512D-44B6-8BB4-153B9B921DDF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103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B2DDCC-F0C4-426F-9225-8BC33E064828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103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F20516-8D02-4CF8-9823-89DDE5D0AF5A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103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15F847-6DAF-42BB-8065-73AF71580F2F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103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5731C0-9FD5-4B24-891F-B2B26518C439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103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1A42FC-8B79-463A-BF66-F5E3B1520655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103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D28E97-3817-4FCA-A79C-6DE35F26047F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104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3BE6E2-56CC-4577-8F0F-C8A8CA4D580F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104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6C4C12-05A9-46FA-8517-CE41D70CE3DD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104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AA3550-917C-45B6-B703-6B0AF00BF68D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104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6D4534-6E97-40F2-B25C-22A85F3B56D9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104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552426-5C8F-441E-81F1-7284922CDFB5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104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D9563C-E31A-4596-9FE7-678314E46C45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104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B54280-E811-4BB8-8C07-4005B3A09D65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104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91B2E8-FECA-4D9B-9D70-547D81572C79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104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0BFDF0-FE12-49CD-A205-875D46AA71DF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104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C0027B-E52D-44C3-8272-A68204538055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104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A50521-73E3-45EA-BDCF-EE64BCC0FA67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104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F36F7D-911C-489E-854D-873366B96F1E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104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D61857-419C-42F6-803F-1C79794AC3A8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104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E2CB77-CD56-4513-8B0E-EAEF38AA0323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4800"/>
    <xdr:sp macro="" textlink="">
      <xdr:nvSpPr>
        <xdr:cNvPr id="104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2E1AE0-69EB-4490-A90E-7A4ECAE51700}"/>
            </a:ext>
          </a:extLst>
        </xdr:cNvPr>
        <xdr:cNvSpPr>
          <a:spLocks noChangeAspect="1" noChangeArrowheads="1"/>
        </xdr:cNvSpPr>
      </xdr:nvSpPr>
      <xdr:spPr bwMode="auto">
        <a:xfrm>
          <a:off x="11553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DE4CEF-6F8F-406E-A7B1-D20EBBFEB597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A63F43-5EEC-48D5-9E6A-ED0A36A32B1E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4600DA-5D97-41F4-909D-284F20882A18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ABCFE9-5FFA-4A0F-9F61-437AD641AC64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A533E8-5D8C-41B8-8D17-F6BFD5756A63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0CD0BA-3695-42F5-8EBD-2268F01F0A65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998E8E-FE5E-4E9C-8074-9F7C00481999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D71D03-DF66-4787-B2DC-CE650AEE65C0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B3F365-641C-46C3-8E8C-85A64FCEA393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C1FA70-AE19-46F9-8C20-E24D9862D08C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1D3FD2-D9CC-4A51-A4D2-E1ECA2ED26FF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0014BE-2EC3-42B4-9DA1-7A3215E4E34D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B050D8-F03F-4B4E-876A-C1A66C6CA023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DB2455-CCF0-4CE6-8285-5F29C644283F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0EFE28-436F-4666-8F4F-D693F6E1240D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073382-7BEA-4C23-8D39-E74DAC41E341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277747-1AE4-4C65-B4EB-D715EC04BCE3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F39908-EE1E-41AA-B164-AAC13267255B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1B7036-17BD-4244-B760-88D02CB9A012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126E17-49DA-4CF8-A73D-CE9B3AA75361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2668F4-5497-41E5-B1AA-67CECF69D643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9848FF-F2B9-467F-A190-12102CF9A133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406A7C-4521-48FB-8015-DA3BB08B3D42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F522B8-F1B2-4D61-BEE0-0C9B0037007D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929039-4A0E-49B0-AE2A-AC00DEC177DC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32314E-8677-4B46-94B2-772DBA93EC37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3711B6-385F-4F2A-B924-FEC62F3F45A6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CB4EE3-C82B-4770-B01A-4C530920EB65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45BB2B-3A6A-4DCC-9D76-ECDEF9501BE2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B6B7B8-2E87-4A0F-8275-D241FEB9207D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75A095-AD8F-40FF-9D01-1E79AF76C206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D0CF3C-0B51-4886-A980-A24A8AA404A4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3BF750-2C0A-4C94-91DB-296133B7282A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167AE6-F501-4F69-9E37-9BDD1FADA719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9352ED-4E86-496D-B5CD-967CD1CC9F89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0E888C-6A12-41D9-B592-6A4BDD358397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5AF7F4-9E7E-43BB-9502-C07B71F84D84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1A855B-7528-464A-BFF0-60A284641D49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908503-A7B6-4FC3-BC10-D843F6E4502F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0F5BD5-8EEF-496A-807E-EEF0F3DC51AF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DB6EBB-7C26-4477-81D0-44B20E1B5E34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377E1C-92B0-4CBE-8779-D595BC5369B7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FDE32D-144D-430A-ABDD-323BEF7F58EB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B234A9-A071-4564-89A3-F8E137FBB595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D454C9-ABC3-49F0-B0E7-BBD66C4B35FE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15081C-85F2-425E-AA00-B1E1F2DA5DDF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49DB56-DB2E-4FD7-9D06-D23433E85925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2D7664-6392-48AE-A11E-7C868BEA0D78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7CA017-B1DC-4D4A-B7F7-DC6C794A1D55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666F1B-90BA-4EF2-BBB9-44951BABAE2F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8518AE-FB80-4DF5-92EC-64E5AEF70556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12E16D-5634-4191-B14E-F7FF4EB4D53A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7F432B-EF13-4A0A-AC60-708DD376092B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3FEA89-48EE-411A-8BEF-A1AE68E0886F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5931F0-CE69-4A3C-A25E-43D5132C2552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FDA85D-CDBD-4E09-A328-FF04A2581AAB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9CECCF-B399-429C-ADF9-68270D776E9A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7E3F76-39DA-4E01-8BF3-F02E53A4B7EF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56AF85-9CE2-431B-9714-6EA615C48542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4DAF3B-0132-4D83-9D22-2E9DC084CD80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AC76DB-C5A4-40E9-A99D-8D52C8DE9D65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4388A5-DCE7-484D-9143-AB183FC91AD1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A033B3-7CCD-4A3D-9C9E-78A6381DB336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D46630-9CC4-40DD-9597-670AEF342B62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8CE8FA-0361-47E8-990F-2863764669F3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98DED9-14F5-4091-94E2-5CE8A93B4BA0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0B0DB9-F147-48F5-9F17-03CB2282EF4D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DAAF65-A828-44E4-AEF8-6739D95A27AB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58B125-A51C-4270-B2C5-EB97E5F92DDC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0DF897-4378-4A6B-B042-F7904D029F06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6AC11E-DEF8-435A-A549-A47A57879F27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4436FE-8B3B-4759-8939-AEFD75CCA66E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8CC866-36F2-4AFF-9FAF-1260706EBE96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447955-1A15-4156-8752-D20717B43EE3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3EEE22-C7C5-4156-9BB3-21CD765E601C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D6A04F-6BCF-4891-A20F-6EEA8A0AD1CE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63C5BE-456E-4F07-BA8C-139E2CEFD921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6755B5-A6F8-4D6C-95BD-2D4AB2B23D72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7FD8C7-119B-49DA-9337-B7A20BC63FBE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9734DF-011B-458A-B54B-49C6CAA2CF6F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B01617-4268-475B-8C23-390155A7F954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CBE5C3-5885-4A81-AD36-D1138CDDF6EC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837F8E-2872-4C4D-BC93-EDECAE0E1CF1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842742-4634-4398-92B4-4DF03AC699D1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4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2DEC88-B973-41F8-B598-2E54030DE6B3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5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138D50-13DA-4018-80C4-7C2AE0821211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5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612718-F35E-475F-8822-4CA63A432FFD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5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B00B62-4F41-447D-A139-B884548AE0AE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5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92B8A3-17DE-4200-A7C9-6761C03C31B3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5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2EE4D5-C9B0-4029-A553-990312309328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5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ACEC1E-116A-4331-9AF9-3BB4C3E79DDC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5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00E2E7-B20A-4BB3-A80B-AFF1097325AA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5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E85DF7-75B7-4C69-BE10-895AA471F33B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5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4D09EF-632E-48E0-A3DD-0B00EB9385DC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5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F23D57-FFDD-4D3E-A3CF-774311FC860D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5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15570A-3A9E-4E39-B71A-23FA231D46AB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5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955F57-183C-4FD6-8549-36FDB64A9551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5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9299B8-04DB-4960-B252-47B33B191277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5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E99CFA-24F9-417A-9FE1-BF5687ADB6A4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5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8DD121-5E34-4990-878D-99C30E60BCA3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5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F98C5F-10A1-49DE-B6A9-783AAE5D98DA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5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F48522-B424-4C47-A775-18C4DE54841D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5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498CFF-954F-4D91-89E2-B40C9927402E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5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1600EF-C60C-4779-819C-1627F3E75028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5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1378ED-2D01-44D4-9FA2-F33F42834784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5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813EDE-E650-4D50-A2E9-B7B2271D0316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5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8E3E52-3657-4B19-BBF3-D42977A65409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5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E5960B-A2C0-4FEB-B9BA-918FBD4FB8BC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5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29C219-482E-48BC-872E-CCFFBFD1CE66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5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EA955D-2F44-489D-BFFC-B45E2C0C01E2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5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817448-8B3C-49B3-A890-BDF7DDFBC7FD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5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F7DB61-E757-41E3-85A5-39D0383F5A7E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5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C415EB-5469-4B9F-A9DF-F3B506DC6224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5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B92B76-7003-477C-A462-85165696FC1D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5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BD1B2E-37FF-42CA-950A-542AED04FBC3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5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FDAFE1-D82D-48CA-9863-1BE7B5309B4F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5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F644CA-E91A-429F-A5A8-07979904648E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5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98E932-6100-4AA5-A4E4-6E17DA4E2288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5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4D0D47-03AD-41CB-B3B2-829A8D27A978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5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D752A5-E98A-4BC9-A2BB-4CD3C5DC1C55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5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91923C-3D42-4780-AFA8-E71766A50D34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5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62A7C7-7763-4277-8E7A-FF862B9EA890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5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9EF37E-F268-4619-8757-685DB7542ED3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5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1882E1-F3EA-4E6C-B177-30A606AC3304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5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5BF240-C636-4F66-9744-08E58B4CFFE9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5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A5D1F0-CF8B-4CF1-BDC2-E86D607232AE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5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768452-BA2E-4C7B-87D6-FE639B8CC868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5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F07A08-71A4-4C14-88B7-58F1FA39AF00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5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9E03EA-C65B-416D-ADDD-FB2938811F74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5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252318-D289-4290-BA38-809C14003D08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5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24B118-E272-4E16-847B-CBDB6B58D884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5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24E939-C5AE-43D4-9F72-734B35201A4D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5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95832A-9D06-4096-BA4C-4EB5F2E68235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5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9EA313-CFAE-4E3F-B92A-A6DE4B86B64D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5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76D98A-A55D-4BB3-BC9D-806A1C5C7572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5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FA2FF6-5ACF-4D29-9914-EE3D6196A9CA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5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4731BD-2017-4B4A-B513-B1A39B9DFEE7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5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3F552A-3721-4363-AAE0-0D7EF5F5495C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5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90B038-173D-4A7B-A622-D1643C132DA4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5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6A463B-999A-43A7-82CF-345953FB2534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5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8BD5E4-5B59-43D3-BD55-D844592AEE2B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5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2ABE1B-6E80-486D-AF0D-64DAF3102406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5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51D7D1-4279-4D68-896B-41DAFD340D99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5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CD3EA8-3543-4B3E-89B0-0827C1F5F2EB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5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4CC146-C4B5-4981-A083-FAC4E3900008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5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FBCFC3-FFE4-4407-BB25-FA71D2240311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5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B5F120-8B3C-4331-8832-2BCE5880EFF3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5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EF7B3E-C865-4E5B-8DDB-D6C4A990C68E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304800" cy="304800"/>
    <xdr:sp macro="" textlink="">
      <xdr:nvSpPr>
        <xdr:cNvPr id="105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AB22E8-FE47-4FAE-BFF2-5592E402585D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5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DDA851-E898-4501-AED6-BAF0ED12A8B1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5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938864-C6EF-4F4A-B905-BF8A07C7EDD8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5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214B9F-1C7D-4327-A32D-AFBC12F13BF4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5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D04BD5-1AA3-4985-BAF7-6016BC6670B3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5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70FE3A-A521-4851-A9EC-4917FED3BED3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5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24F698-B762-4CE7-8D90-EA6FDE7EC14C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5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2EBA8E-96D7-4210-A4EF-56C0BD46C441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5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2165AF-748B-44E4-A637-D67FF98CDC9A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5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1D7077-1276-4D1D-9C88-2DC24581A341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5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4DEB22-5CC6-40C9-92E8-2EB483227E4D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5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B29AE3-1C6A-4FD0-B776-EF15E5537739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5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8D879B-AF3B-418E-8D35-6F678553B68E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5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E28418-4516-4EAF-B080-B9422570370B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5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CC67AE-F990-4030-869C-4D0C3C096286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5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0E6842-7D62-4218-A2AD-48F1B63E3BFE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5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004105-0E89-462D-B614-0BC605A07A49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5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E375CF-7B31-4748-AD67-028D237EADB7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5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5194B7-1E5A-4DB9-93A7-66C73D35B8EA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5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D8BFFB-DCFE-459A-A375-41DD898FFA39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5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20E082-9010-4163-ABD8-71236D8E7E0F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5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D387D2-4F7E-449D-9E68-60C1DEF62D28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5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E3DD6D-1F4A-4617-BA01-6D9B1871BB6A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5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852ADD-B798-4446-B803-21EF5DA2B0F5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5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8ACD6F-976D-4D71-942A-4C7789C76961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5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B88035-5819-4BF9-A0DC-8712B796B797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5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79C516-FFFD-4227-A11E-3705210A51FD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5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3843E9-2B28-427D-AE37-9B3CA25F4166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5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A0A79A-CE5C-46A3-B909-CB441C164C9B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5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240656-3DD8-4CF7-8D63-ED3940E9D356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5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B2FFBA-265E-48DC-B70E-01D1D41BA09F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5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11F671-53B0-48A2-9B8B-4E39DE8A01E0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5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77CA0F-7182-4B01-B921-66A8A3FA7815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5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A75EDB-8966-49DC-9808-6DB7BC357925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5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52EF7C-D370-4A23-BCE6-31E3EB1A8898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5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CACD95-B56E-489F-9DB4-47965FEBFAF9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5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CD09AB-11EA-47C2-9659-887F4241D75D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6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6FD78B-F0D4-482D-89A0-E27B128C8CBF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6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3F16DF-D910-4413-BB0F-8C10805A5DE9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6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2F7BB4-F427-4313-A200-09BE3EB084B0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6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A17F34-B68F-4332-94DF-185C4AB7E4E3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6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1BCFA8-3F69-4FF4-9CBA-5531BB39CCBB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6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2E0BD1-C7D8-4F7A-955D-2FF23CFB1724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6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2FE0E5-49B0-4FCC-B6CE-7D05A525E1D4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6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DA102A-D710-4DC4-93E4-8CCCCE3B220D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6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5AF4C9-5A00-4740-8309-BC7A3C407E29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6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DD8358-46AE-498E-8FE9-7F6D18608216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6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34ED82-84FD-4D5E-9BEF-DF2D497715D6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6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68A6D9-F062-4681-A538-30C5DF8FD704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6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9B11F6-AE0F-443F-AB21-FE20B2D5232C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</xdr:row>
      <xdr:rowOff>0</xdr:rowOff>
    </xdr:from>
    <xdr:ext cx="304800" cy="304800"/>
    <xdr:sp macro="" textlink="">
      <xdr:nvSpPr>
        <xdr:cNvPr id="106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75A619-50AE-4501-A444-AE23CFEEBA20}"/>
            </a:ext>
          </a:extLst>
        </xdr:cNvPr>
        <xdr:cNvSpPr>
          <a:spLocks noChangeAspect="1" noChangeArrowheads="1"/>
        </xdr:cNvSpPr>
      </xdr:nvSpPr>
      <xdr:spPr bwMode="auto">
        <a:xfrm>
          <a:off x="117919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43BE0B-FE74-40E7-89F7-67B4A158A9F0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B74FE2-593C-4DAE-9843-34C1D1823160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DA3045-F499-4832-AB8D-8CB76AA72FC1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D9F8B6-7FD5-4438-8192-522C5DBF7071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58CF5C-AD92-45E1-A345-85B08BADEE4E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89AEF9-4EA8-476E-8BC9-CD9C2690B597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7483E8-23D2-4228-954A-0CAC1426D70F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C89091-62D6-4C4A-9A34-942CAC9094FD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76ECA8-8060-417E-BF84-6DD52E3467D6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BF04AF-CB5C-4717-9E6E-AD4BEF4C158E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50C080-9DB1-45AC-964E-B5E23BB6F953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A1DDB2-CB21-43B9-A109-DA000E35C864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4F58C1-D98A-4B9C-8818-41D3EB392EFD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43C294-297C-4C4E-8EB9-2AE454BC781E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73B1B9-8710-4AFA-A564-147417950F4E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09BF16-9D9C-4D4F-8DEC-1FB03ABEA0E2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E08A54-28B8-42C4-81F7-CC862D6CA6CB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785F38-598B-4501-9A27-CF9F05F756A6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5F685D-F300-42E2-BCEB-457279871AD1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1C15D9-2604-4F36-B1D5-F4C62B1FAADD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BE66CC-8D24-47CA-8FF7-F3E6F3DFAF25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57F53A-F3C3-43A6-966E-60595F743D09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C5CAAC-E588-4581-ACE1-69CBE433910A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10C0ED-24C7-4715-A939-20891A9C7DE2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9F640E-2C50-44E2-98A3-2D4EE55E3489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B1F114-3832-41D4-95A4-265A10C17930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4124F6-0F84-43EA-9A3A-49F9BEA48A73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900338-0E07-4399-8B2E-99093BBD1B8F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2F2A2D-7743-4C0F-A919-52DD249E9B0E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036E89-559B-4B76-AC41-B766E3D0EC22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B33676-D71A-4C23-B0BD-C89CD84BB7F6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1F7388-50A3-4D22-943D-8693C2DE6995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4FF64B-EF63-4423-8D0F-5F4C918430F7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BD61A0-EEB0-4E21-A981-6FC97754E87D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8DC220-2A7E-4C83-86C6-C4FF0F5447B2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DCEED1-2010-4AE2-BFAE-D5B3BAB227A3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A932D6-EAD7-4DA2-B91E-561AC5902171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44EC3C-72C4-45CA-BB5A-C0FBE6A70651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AC5627-1B7E-4A78-8848-D14C2C64320E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DCF96B-234B-4A12-A7A0-05954BC55887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37C137-3024-495B-AF84-FCE3418C0865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C7D7B7-966D-4492-8032-CC2694C29A08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0B90E9-D68C-46F3-90C9-60B458DB9D77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6303EC-32BD-46DB-A4BD-724C8C8FE87D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AAEA90-C52C-458A-8AB2-A1D1F4F42ED9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C9ECD5-665D-4D01-ACE0-1F21EACF567E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E87223-DCCE-4E4E-BEA1-5C2E0F800D71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192CF5-EB12-4B4A-9165-5C9170B129C0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2977F3-82D0-44E2-8076-6348440F74A9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D696C6-3290-4D5F-B69F-D6D174FE74CA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30B701-8392-4582-A444-DD35CC209BCD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AEC8CD-1D45-4FD8-A2E9-77B951F10266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A9DD69-6754-43A2-AAD8-B4B0194BFE9B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4EFE3B-9CCF-4AE8-A086-D31E2DCACBBE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4D7344-F562-42D7-B566-A3FBABCB312C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5C2FBA-6FEB-4341-906B-1F2C21394ED1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5BF96B-FFA6-4383-99AE-519777AF6772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D449B7-4E0F-498A-A332-57C921EA375A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A8CCCC-F0B6-4510-9606-7C25E6FEA16C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F04252-7A6B-4A2D-8C27-F4116C6DDDCD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2208BF-D6C9-41A9-82BB-EB3B27F96E78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C6FBFC-2543-43D8-AC9C-8EEA76FEDB23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A8F642-5E9D-4ED1-99AA-767A2C96FE91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F1BC1C-7F43-4C8F-8D89-6DF17DE8B050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9253E8-85DD-4893-B62C-B9744557C0E4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74DB3F-7F6F-4D72-860C-097178F47BB4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44AB64-6029-4862-9CC1-95B897B0C249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BA4979-A903-43E9-A7ED-24645CFCB34B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DA4DBC-AC0D-424D-BB36-705258E5D0B3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7587AE-83F0-47C6-987B-48BECE1AC0C4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F66FD2-1571-4B9B-99E8-079B7EF7065B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FD6131-632B-4407-8099-69231BA68121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A04DEF-A3B4-4C20-8D2B-49744B1AD02E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C21FCB-CDD5-4950-AF3D-A31CF7FCAB29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A513DA-7EF4-477B-9004-4A8BA6B14A10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8AE866-39BA-46FA-BAF8-47C02293A368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BC934F-A328-46C4-92FA-960DA3B1C5D6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0D0325-A412-4470-8DE6-FA8F2B992D72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E4F956-8AF3-4A2A-9352-FCAE218FA78E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BD87B1-5EA7-42AC-979A-94EE05D751D2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FB8A43-72CC-48ED-8249-473FFAC4A74D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10EAE2-2076-4F4E-8CCA-0A13813FAF19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7304C6-1DD7-4B5C-943E-356910A4D03C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78DEE5-9E1C-4FB5-A98D-84051B360327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66843A-259E-49B0-B847-9D53937002FF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6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8281FD-236E-4DAE-8A5F-0ACB5F899CC8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7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D3CDBA-CC1D-4527-AD1B-60C8671CB755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7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F55F6A-3409-4E67-8319-9E33F27200E2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7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FC7B9F-DA09-4788-9A70-E2E4E81CEBC2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7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5D82A7-3D44-45ED-9F12-5DCA8C4C7857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7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5B3503-6653-4DC9-BEFD-21E6FFEB9A45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7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667E9E-DA62-45F0-8B38-21AE05F0B8F3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7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A64A7B-0E11-45F7-9A3B-8AA45A47B48F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7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5B9941-789D-40AC-B567-DA1B299FDECA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7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B87099-7B02-444E-A17D-8CEAF5EA5F47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7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2E8F02-DF9E-4199-8569-73CDB87C15DE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7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9C99B7-99D6-4DDE-8512-BF39480B0985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7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8651DE-1997-432E-A34B-11FE7526823A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7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86E2AB-C733-495A-9E11-61FC8F0EA821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7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BAC103-40A6-475A-A9FD-FDB74C9D957F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7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4D3B33-3A83-4DEB-9C74-A51767BBD80C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7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E70BA9-8A16-4D14-8063-F62DFAFCF33E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7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80BD01-A41A-4831-902A-8704792E312B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7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505BBF-9E1E-403E-93F1-E8CA4B8693F2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7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541699-A38A-4242-9CA4-75D5F804AD3F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7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62B227-2507-4C40-8D97-11AA1BBA9CD1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7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FC6C92-FE6C-4D78-BAE6-4CFDFE6F9C44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7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F0500A-0FA6-4D45-AA85-78C8C097583C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7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011B1C-118E-4A18-9515-94371B9A7E56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7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0064FF-39E4-4759-9201-94F39D52B358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7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E417DD-DD0E-4EA7-AADC-2EF6C6DBC923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7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A8FABA-12BC-43FD-ACBA-B42E645A6315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7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36251E-4BAE-43A5-AF08-EDC670FAF337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7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FDFF52-0F0E-43CC-BBCF-2B3AC8036468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7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4760EE-C5A9-4E0A-835E-1208939C6131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7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95157A-1F34-4C25-A49F-253C8A73E59D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7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608EFD-1BA5-40C6-9B17-FD938884B39D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7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5ABC1E-E504-44E4-BE70-8695DC69EA3E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7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C1F3DE-4021-4635-9810-286F64B371D1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7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A2F4FD-A147-48D6-B0AB-A795F1973C8A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7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AD1A5A-A8B1-41DF-BAC5-8B6AFC77AF63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7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12488A-401A-46E2-A8E8-BD0952B00669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7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C5BC00-8309-4395-A5CC-DEE221C1721C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7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2D08D8-D02B-4805-B306-E69684BC4E95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7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CFBFBE-80A1-40A7-A4B7-E226A12F9564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7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DBCAF7-BF7A-4A5C-9A86-775C5962098A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7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EC19CC-D337-4F46-A4CF-684D772378E8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7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81C488-214E-406E-A759-CD49B7C73F63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7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44BEF6-0E5C-4725-A321-6F722CAA20F8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7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411270-944C-41D9-A17B-577B5A00958D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7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9A566F-CAC2-4CB9-A877-811BE25DB4D7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7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6D0C01-9B08-468C-A11A-AF1780EE006B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7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99E9DD-3D60-47AC-85CB-28E65B827F3B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7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1B9351-AD5C-43F3-BA9B-5F02960D5A45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7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411EA0-6598-465B-9934-8B9CB57A9198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7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AD5E62-06D6-412D-B144-B0ABDE627D42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7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D1757E-5ADD-4B84-8FB4-41A26E9CD645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7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9A7733-00E4-4867-83DA-32F78444CCD9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7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7C68C7-8FB2-4F47-9554-B938F43D6345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7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C93B6A-A755-4A39-8A20-FCB29D2035BC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7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2AF7AE-D0F3-47F4-A40B-62446AC82524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7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5A3E3A-42EE-4DEA-9E34-F0939876F17D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7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545A06-FCFC-40F0-A297-866A74E8A979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7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2F9645-5C30-4925-9627-0DFCC35F355A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7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FA2262-FCC3-4587-A25D-59B916B48BC7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7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B4FFFC-0388-4D9E-8063-E9566E7F845A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7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F7E85C-E6CD-4768-8C1F-46505E8F7D67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7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85101F-A4F9-489D-8652-A11EE36B38CE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</xdr:row>
      <xdr:rowOff>0</xdr:rowOff>
    </xdr:from>
    <xdr:ext cx="304800" cy="304800"/>
    <xdr:sp macro="" textlink="">
      <xdr:nvSpPr>
        <xdr:cNvPr id="107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8F7CEE-0C25-466D-ABAA-2DC95DD60611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7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E705C9-8B4E-4083-9263-36392E2B46BA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7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473471-BCCC-446C-997C-16816D57EB0B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7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AFF41A-B391-4998-839E-CBF93AF3D048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7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99BB71-B079-4DA8-A003-4EA754F71709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7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B7C7F9-CC65-4FD1-823E-980677C8525A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7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D1467D-D601-44ED-8E15-114D06150311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7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BD7301-50DC-4012-A0DD-D73350E8F11B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7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777F78-703B-493E-91F6-DDAFBD4CBE0E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7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D0D111-D4AB-4604-BCBB-3829E6783665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7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03CE9A-4D55-449A-BD20-A394BE2A5224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7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16038E-97F5-4F28-9682-73A4B1340313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7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EA1A8B-9378-4C39-B0C4-8407387353B1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7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AADCE8-AAB4-405E-8A45-9D25B0817DE1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7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881DD0-E46A-4576-96A5-A388240EF77E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7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23EE90-837C-4141-9014-146CD9B2E3B9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7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9AAB4D-F276-4584-A1B5-2102D9D114EC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7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8AE54D-8C4D-413E-8FAC-5B97C91A5531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7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D60CD3-4168-4C61-ADCD-38C65046E50F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7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0AF5BB-DB9A-434A-8487-A7A0C8D2BD51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7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E4824A-C05A-4B72-940F-45AD0943E502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7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D677FB-03C9-49EA-A0B4-7CE02CC50FA4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7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0EFA97-DF90-4186-8CB8-8052412B921F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7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4C274F-085B-4BCA-B59C-E5BC28BDE514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7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80A36F-3373-4273-94CF-8C0FCA9B7EB6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7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ED97C8-2810-4457-8412-7B70ABB9E52C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7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042B1D-E533-4C2F-BE4A-746308E1DB41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7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2B6478-CAA0-40BE-932D-5EEDA86068BA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7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B9F86E-3EFB-443E-B1E3-353AF40EBB37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7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A03174-8BA2-48D6-9AEA-0F150414B6F5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7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13E8C1-ADE5-4FA2-9B26-1FEA63672DE6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7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A2AE89-340F-41B1-BF13-3C995C3BC647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7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B85FD5-466A-42DD-9911-C2E0D2F5479A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7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60AE3E-7290-4026-B6BC-59FDFBEE297C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7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CE59F9-507D-4794-A102-74AF1C1DF394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7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C4CE31-FF05-48F1-8B5E-1741A4746379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7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68459A-9099-4B3F-8D43-A4C1BEAA729D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7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55E80F-37C9-46BD-878D-B65165510BA8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8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6DEFBE-50C6-4EF3-BDB0-29EB390DC5AC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8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1CD57A-974E-44BB-BC47-B57604EC602A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8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E89486-FCCE-4569-9013-EFA499114CBF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8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470115-D0DF-4DEB-8AF3-F1E07D28FFE1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8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ABFC5C-F3D8-4808-ADCB-71DD768BF036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8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75830E-71E8-4A4A-B9C4-42687DB34A6F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8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034EE8-5D8C-421A-8739-8AB3278AA1A3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8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39037F-D6E0-43E5-9150-62EF0581F2BE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8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7B2D60-5495-4BCD-B1C5-90E1B71409F3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8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7F02C2-12EB-4C31-97D1-E5E2B5229EDC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8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71127E-8099-4B77-BD85-547560AA3838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8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4EF4F4-90D0-41FB-A44D-883BEDBCBFD6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</xdr:row>
      <xdr:rowOff>0</xdr:rowOff>
    </xdr:from>
    <xdr:ext cx="304800" cy="304800"/>
    <xdr:sp macro="" textlink="">
      <xdr:nvSpPr>
        <xdr:cNvPr id="108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71DDEE-AE36-4107-9D35-EA7955302D71}"/>
            </a:ext>
          </a:extLst>
        </xdr:cNvPr>
        <xdr:cNvSpPr>
          <a:spLocks noChangeAspect="1" noChangeArrowheads="1"/>
        </xdr:cNvSpPr>
      </xdr:nvSpPr>
      <xdr:spPr bwMode="auto">
        <a:xfrm>
          <a:off x="127825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D6A8FD-B564-4ECB-BA91-5932915DF868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5DA00E-5CC6-413E-998C-C391D23C2CE8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6D723D-A95C-40C2-96E5-D3ABF546D6C6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89AE93-33D5-4210-8D87-1F771E64918D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B9FA08-A097-4FB7-B8F2-9A6B8A73A877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AD055E-1398-45FA-82DA-577C1C0DC902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A1B388-EF02-4C88-90FA-CBD46E39EC0A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BF05B5-099B-45D6-BD12-7CB8FFA3B594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81E5AE-83A2-4FE7-B04F-FE1FFC225AC6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431F62-C729-4854-9C95-50F3F67239BB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C33F7D-628E-47D2-8AEE-ED1B768F2098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C5DC77-25D3-4500-9EE0-2BCE5EA9713B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A6BD87-83ED-4AAA-8D99-38F12C386233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19985A-7CC6-430E-B912-5458F7B47F6C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1DEC5C-FB6D-4EFC-9736-3637E68CA032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863DE2-1364-4C2C-B8A9-130787D83917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9C597C-38EC-4FD3-AE50-6BB765D7605F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BCC27A-8E1F-4A2D-9FB8-1669DB211578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210B81-647F-4120-B67D-2AE501DF45C4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0059CD-6AB4-4125-94CC-5D5F3DE83030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2A0FEF-BE69-419C-A624-47FEB4791A98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91B141-EB09-465F-95E0-339324672F71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9418DD-1826-4320-8FD8-B1D9FB0987D8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2EB1FA-F3A7-4A67-9324-9D099C261408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48DEFD-8B32-4413-BAFD-E60722DE4F47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33E00C-7B28-4812-A080-7065B9CBD8AA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EA1706-4377-4B86-9317-B0B521B3DC6B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25F7B9-D1B6-4362-B7E4-0F880014364C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CFF641-7DF7-4A7E-B0B5-7A1E23D83A25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A3A98F-6259-4E23-890F-91CC31A75918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201BF2-DF78-4160-A4CF-46380002E080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DC7FD8-1FB6-46FE-A29F-CF3D71CA250E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1A07D1-93EB-44EB-A7C3-137104F5E287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A63D29-06C4-4DA9-9EB0-DFB2CDD61FFB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796E31-8C68-4316-856F-9BF7D0B52B7A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B9724F-9A92-4AC2-A00B-C8276A0A24FD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232D68-7620-4BCC-81EA-B80C91935E1E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7D3431-9200-4D39-B89F-D2555FF9A617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F01CD0-D121-4C78-BC2D-D3AD8D4F4F93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7850AD-26CC-499E-86D8-8205B80E6B01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800B01-2751-4B2D-8F15-86768D5F7B12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FB3D2F-3073-4486-B06A-68EDB8A3587B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142F62-5CC0-48A5-B87E-C5D2BEFBF02D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0655FB-4FC5-4FF9-8F19-0EC8590CB3DD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183167-8FD2-4DE6-A393-A0109E4EC22E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A09CB2-48B2-404E-9520-52D024BA19B4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72D728-25E9-4691-8390-68994F2F41E2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DF9942-C2C6-443B-95EC-7DA2CFEC1E0C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748E7F-BC55-4B0B-9D27-E1CE49E9013E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6A5782-52E0-4506-924D-3190FDCA198C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3267EE-A8C0-48DC-AB0A-59D8FC926A9D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92C24F-60E7-40A4-979D-90CD2E03CC2A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A1BB5F-2428-4825-BAB7-3091B2D53F4E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C6445C-EA49-48EB-A164-6B9F3A550A27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667CA0-875E-47D8-A928-280CABCF05A3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A9BD8B-17D9-490E-917E-A288F3ACC99D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65969C-1237-4AAD-A53C-06DC5124F05A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AC8E7C-EB86-4A9A-BBC2-5BBB29696FAC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C4B974-B915-4086-B829-5798086973F4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DC0B67-AB65-4F7D-BE61-983F0698EEF5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CDF821-9F15-4B18-B4A4-4B45769DAD3C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3542A1-26B3-4537-9BE3-3CECAD1EF631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37A7B1-619C-48FF-9CD1-E5391CD8AA8D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AE28B7-2F92-408D-A3A5-EB090D56FA83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63D91B-3782-43AE-9ADE-9C9E74794031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B9A948-D3D1-44E4-977E-FF686D925791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292AD5-9C58-44C1-9395-D40B82078557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4C9E5A-3B0F-4D98-93CA-DC8166A1B0CF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048F97-A7A4-4C84-AF38-9C60F7514EF5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EDEB1B-E24F-4B03-9E31-DBE1E6C8602A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D27742-7F4B-441D-957B-E82BA7BFBE12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324F23-7924-4481-AC9A-9E152D6A63E0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F65E90-5C0E-4B41-A281-DFD4CBF02565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79FBFD-9E9B-4971-9838-EF14E194934F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62186F-69DB-4B5F-AEAC-A9B6D573423A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383974-2E69-4138-BAA8-7427C0C3484A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79C38E-C07E-435B-9FFE-EBAC00BD5506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46FE19-642C-4070-9405-5300837AC577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609468-0485-425E-8E45-121E5557CAB8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06716D-CFAD-4AF2-A2BA-9F338DEF3DF9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6E22A4-2663-409F-B884-066B4F384850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E173A5-EFCE-43BF-A808-077F207C3C5C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E82E61-317A-463F-B1F2-F21A8EAFEB7A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5076A5-E498-4DD4-9988-855596AD8101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161A2C-0641-4B8B-9803-1B5012B966D1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C00DBB-D2B8-47D7-B0FB-C4D1DFEE897B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8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C767A1-911D-439C-BE32-3A079EA87050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9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A7D6B7-6674-440F-85C6-889E0B1CA5DE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9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4C6DAB-A6C7-4A20-878B-0A7F55090CA1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9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8A1D90-53BF-42D5-B392-2B0B625B5B77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9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2C7037-2489-453C-9403-EFB50B166005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9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57ADFC-35E5-4D29-89E2-3C76592146C4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9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777FCD-DC2A-430C-A9C6-01425784F587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9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E2AA9F-D4ED-4ABA-87A7-5CDE626EAF47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9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C4193A-16D8-4061-9F5C-926AD4155ACB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9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4D532C-34EB-40B8-9C2D-F9172B3D6182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9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FD4ABE-8D60-4B90-B609-0AA86CC7D164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9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1BDBF5-73FC-4E58-9439-20C452E11D09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9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3B95B9-9BF8-4A39-BA39-D95CF226CD0D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9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C45E77-842F-46AD-9666-D4C99E90A962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9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DDA956-C948-43AF-9334-9FD5AF646768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9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96D7E5-751D-4BD1-B0D7-1F7BC366E3CB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9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5273C0-E268-4BF3-A013-CBB855594033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9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C392EF-C598-455D-8BB3-1A767794B7A5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9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17AE0A-425A-4326-B8F7-DFB47B8295A1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9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BA61BE-0620-4309-B210-0301DB0174AB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9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0C4D7A-A3D0-49A5-8C62-B118A5BD3EEE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9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7F57AE-C36E-452E-876A-6487EC9006DD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9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ABC12C-2B89-4248-9F97-708D3941C356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9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7D00D8-B9C1-4EA3-9103-45E3C1BBFB92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9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72467F-7432-48FB-9B67-FB80CFDF0291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9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47ED3B-99D5-44F4-9D5C-BB5F1488129F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9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7821F3-3DE9-418B-9AA9-0457CC852342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9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29B256-EE5E-4A8B-96CD-E2AB90904314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9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7281BB-24E1-4D07-917D-957B45787EF8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9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79E341-CEF4-401B-9107-D64328C59D3F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9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FD8E20-8FD6-4288-AF5E-8B1207BCD796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9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BD17FE-E5C3-4761-B244-F36650BE8D0E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9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849B40-80E3-42B0-B930-F4D0E5728072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9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6F8AE8-541A-4A36-9B47-F9EB04FC7058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9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671AFC-DF00-4DAA-AD74-638A7FF9D992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9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1EF348-41F0-406E-8F36-69128A60A816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9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2E8FD9-E505-4B9E-893F-35F2C3A46D3C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9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D82F98-94AB-4554-BDA6-AE5DE53A0B69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9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94D7A6-83B4-4FF1-9EEB-FBABA952BB71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9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DA4780-5CFF-402E-AA84-3AEE31751AB2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9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2A7759-FB2D-42C9-B04C-583EAA76464B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9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82A209-F932-4840-8529-CBA31D16DD11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9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8B798D-774B-4650-9861-2C55BB68B9E6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9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DCCA05-3D3A-4309-A28D-7C02EAD39519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9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FCB2E8-ECD1-42ED-AD26-565AF108770C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9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660891-6283-41E0-B0A4-ECC3F29C1840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9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0EA029-5109-4205-B0BA-59E8D87FF9DD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9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F49D9A-8944-4663-A46D-0FD41524C63D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9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D7D8EA-A78E-4D63-92E7-F311B3B022EE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9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6310A6-D451-4578-9697-0D1F1CB85A14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9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2C8C4C-7284-4EFE-B453-158D76C51213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9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BF3337-3E95-43AB-BD3B-9F4DF9A2AF04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9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CF6850-570B-4416-B199-B0505EF8F92E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9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B1C757-DE6C-44A9-8782-0461570E11EE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9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AC732B-52B0-4CE3-AB20-CDEFA1E0DE7A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9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6B6509-FA9E-4EB7-A2A7-E9BF0C9F4B04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9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8C4ECF-96E5-4AD2-BDB2-1F08200F040D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9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2CAD63-2C14-4714-8446-BD5E24C06D7C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9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699A1D-5796-4873-82C8-C249279F0080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9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2B55B5-FA8F-4DCC-92F8-382DDCAEEDBE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9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5D6CA9-71C7-4D6A-B015-EA4CE84CDFF0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7</xdr:row>
      <xdr:rowOff>0</xdr:rowOff>
    </xdr:from>
    <xdr:ext cx="304800" cy="304800"/>
    <xdr:sp macro="" textlink="">
      <xdr:nvSpPr>
        <xdr:cNvPr id="109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B449EA-6A56-47B0-9E87-2B66AAFF162B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145948</xdr:colOff>
      <xdr:row>6</xdr:row>
      <xdr:rowOff>99860</xdr:rowOff>
    </xdr:from>
    <xdr:ext cx="304800" cy="304800"/>
    <xdr:sp macro="" textlink="">
      <xdr:nvSpPr>
        <xdr:cNvPr id="109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EEBF7D-EA72-4BB8-BDCF-2DE771FE3788}"/>
            </a:ext>
          </a:extLst>
        </xdr:cNvPr>
        <xdr:cNvSpPr>
          <a:spLocks noChangeAspect="1" noChangeArrowheads="1"/>
        </xdr:cNvSpPr>
      </xdr:nvSpPr>
      <xdr:spPr bwMode="auto">
        <a:xfrm>
          <a:off x="13176148" y="137621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9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DE1A6D-C5FD-4A33-A3EB-61EAAFD67E98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9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6483B9-240B-4608-A31F-41630DECA58B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9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A13EFB-BDE5-4F48-A4D2-AFB760D869B4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9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9BA8F8-FFC8-415A-BCB3-39F9386E43AD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9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B8114C-3082-4D5E-96C5-493358588A53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9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1C4700-A9D4-4CF2-B961-252DFA7134AA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9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C7E49B-DF7A-4B66-8D70-AE090CA6DE1B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9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B61A87-BDC2-4F8F-A0C9-BFF0F8C6BC6A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9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B47577-73B1-46E6-828A-5640DDB40957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9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71153B-C584-4FA4-94F7-86BA723DECB9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9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94D592-D5AB-4E9D-89A4-E48DDCF555C8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9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0CB2D2-2868-4022-9F41-788507A8A3A0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9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6D93E7-2C0D-4848-99B5-B5F6095C5768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9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39DE83-C46A-455B-A989-8446478855FE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9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F1C14F-C547-460C-912E-9D3969225291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9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4BD2B9-7755-4CDB-A4DA-D2E47CBA2AE3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9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8BD2FD-B9EF-4886-85AD-44C49CD1BBD7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9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D6E76C-EB43-47BF-B0AD-23829A003713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9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89F06C-CD2F-464C-BF26-20FD859FD588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9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54FD30-CF2A-425E-B150-4D73CE41F067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9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6DE136-FA04-433F-95CE-9E819AE02C45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9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A4FA66-8E99-4844-9268-0AF2B28B0E13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9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19D908-BC30-49A6-990F-20143DA2228E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9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0915F8-53D4-406E-A045-FE45BADAA236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9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DA9B33-2E43-415E-9841-B5BF2F98C220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9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C0F139-154E-4F46-A5EA-DCFA5CFCE725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9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E70E11-4708-47F1-B473-671515B376FA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9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93D4B3-7F50-4C91-BCF1-6F290F7F8898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9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B75E00-15B7-4543-AB9F-7511E20A064D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9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EC6A1E-98E1-4BD6-B863-7F17F5E62054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9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6B2BEA-FFEE-49EA-B450-3380F3D7AF0D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9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2BD326-1462-4CC2-82BD-92992229F753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9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8A4621-8577-40EC-B146-ABA7D3BA9B2D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9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402D7E-294E-4A23-94BB-B0E28A29D3AA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9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8938B5-592B-49CE-BB7E-4744ADBFE784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9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79357B-9BCC-42E9-A141-10AF61CCB0DA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9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77C8A4-FF40-4E34-B302-92018C6AD56B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09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EBD1CC-7A79-44AB-8B49-E595F13784C7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10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8FA0F1-7A88-484F-B6A4-586B2AE377F0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10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C5005C-F6F8-4B32-B135-F27A6E2F2080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10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2EF0A2-0BF4-43D7-9B42-3B02592E2807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10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64A7F5-7B32-4330-8766-EFF851A6C3D8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10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861D20-57D8-454D-A3B1-7CC5412D6FC2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10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A4182F-9138-4661-BD52-4D09810C3B44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10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8A1B78-3AC8-4BBC-83EA-2A9A7EAC8807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10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F1017C-A096-45A0-94B2-F37277B08AD5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10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6CCD23-01BE-460D-BBC1-8A7E2F879F44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10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DD3CED-2AE1-460A-9CAF-B7F780F25DB6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26</xdr:col>
      <xdr:colOff>0</xdr:colOff>
      <xdr:row>5</xdr:row>
      <xdr:rowOff>0</xdr:rowOff>
    </xdr:from>
    <xdr:ext cx="304800" cy="304800"/>
    <xdr:sp macro="" textlink="">
      <xdr:nvSpPr>
        <xdr:cNvPr id="110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5D15FE-131E-4144-B6E5-791A6433C906}"/>
            </a:ext>
          </a:extLst>
        </xdr:cNvPr>
        <xdr:cNvSpPr>
          <a:spLocks noChangeAspect="1" noChangeArrowheads="1"/>
        </xdr:cNvSpPr>
      </xdr:nvSpPr>
      <xdr:spPr bwMode="auto">
        <a:xfrm>
          <a:off x="130302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714375" cy="304800"/>
    <xdr:sp macro="" textlink="">
      <xdr:nvSpPr>
        <xdr:cNvPr id="110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DDD369-13F1-4572-8CF0-7ABEFAF1015C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110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726AA3-9B04-4E7A-BB81-5DC61239FD38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110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43ADF9-EE82-4BEE-8719-61E2E76EDCAE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110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E893AE-D71C-4321-AED0-71BA96EC2BE0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110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F52F64-9A39-4A23-9A0B-8B7FB4DE3360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110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D490F2-3F77-4D4F-BAFA-785837F46C1B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714375" cy="304800"/>
    <xdr:sp macro="" textlink="">
      <xdr:nvSpPr>
        <xdr:cNvPr id="110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136E70-9257-4400-AC24-4AB7FDBE780E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110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125E0A-0582-4CD0-A9ED-497495BF5C10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110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19E0A5-8127-4021-B7DF-178294A3F689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110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9E8E87-9B41-4C72-8ECB-563917AEECCE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110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7B3CB1-7C82-469F-B585-12498AD6A302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110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7574DF-2310-477C-B208-EF1499B41802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110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469DD8-C9F0-4A8D-9603-4FF10974E406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110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687DAB-3F2B-45DD-AB10-9C7EB41A5DB2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110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4DC844-3D86-4F8D-8B21-E114B136CD21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110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DFBDE1-1872-46C8-A8D5-C5E20D877A51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110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21C730-4B65-4FD6-AC00-A5A761F029F6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110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77CA61-DF26-40D5-A0C8-B97BCF3910D1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110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82F3E0-0621-4AEA-8EA3-121FB50BF0C0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110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5A0499-396B-46AE-968B-F6BCAFF659C1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110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4EC1EE-8C3E-4318-9385-EB9E779FA591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110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DB987D-5C81-478E-AC0E-E9E11584FA92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110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5B1FCB-A6C6-4484-9890-0A04D24A8851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110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D028E3-63CF-4DB5-8D00-7E8FCF2F4728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110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925C42-9CF3-4F0C-87E8-3EBC7FFA4493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110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0C84EC-D3F4-4866-B2A1-D05ED9DFCBB8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110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7596AE-9BEF-4314-AD51-2ADC8AAEA62E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714375" cy="304800"/>
    <xdr:sp macro="" textlink="">
      <xdr:nvSpPr>
        <xdr:cNvPr id="110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A3BF10-1D92-4EF8-81C9-77F298BA5188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110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AAB2FA-0A8D-4D25-B4A8-DDF1C88AC711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110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470F2C-0EDC-40E5-9BFD-8F02CBA38D5C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110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E09469-0330-4671-97DA-A980F87A0D6E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110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97075E-FE3A-4AA3-BDAD-8654A9368FB4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110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7C880A-86E9-4543-9046-4BB3FA46DBEB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714375" cy="304800"/>
    <xdr:sp macro="" textlink="">
      <xdr:nvSpPr>
        <xdr:cNvPr id="110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F53E9E-5592-493F-8116-BC8453314E8D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110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65268E-2A1B-4318-8A36-7269D3C6CB5D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110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B026DC-C4B6-4921-AB05-93660A7242D5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110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E96EBA-194F-449C-9989-C31227B80C68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110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466E0F-B30E-4A24-B21E-316D73481F76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110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8B9B37-CAEA-4D14-8ACE-B0E7F26ED6BE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110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E73DE0-2257-4150-8DCD-F961A5423418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110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C124C1-0E36-4D0B-A166-28179B4C89E4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110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F5FA0C-E065-48F5-8E33-61DDC2E4AACF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110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E7D28A-FB2F-467E-AF82-536274106599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110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95D480-38C3-434E-8403-7BD40B9C21E4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110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A13062-B165-4534-9072-2BF6F39E6317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110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8D35CD-9842-48AB-B8E0-00101579DE9A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110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9BCF14-E307-43C9-8D72-F1DC8E3B7DD7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110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FCF09D-6E0C-44C1-8043-9F7E482D8C30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110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072BE7-221E-49B8-9074-3F48E2E1719D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110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2ED907-0564-4406-A155-67BEEDEFCB85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110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62386A-B396-442F-BD7D-4314A5CF7D35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110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974885-FD61-4BFA-8D9C-BEC220C694AC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110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BB40FC-0655-4095-A4F1-0E7618D5592B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29</xdr:col>
      <xdr:colOff>0</xdr:colOff>
      <xdr:row>5</xdr:row>
      <xdr:rowOff>0</xdr:rowOff>
    </xdr:from>
    <xdr:ext cx="304800" cy="304800"/>
    <xdr:sp macro="" textlink="">
      <xdr:nvSpPr>
        <xdr:cNvPr id="110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08C8A9-91F6-4DC9-87F6-81BE14E5696A}"/>
            </a:ext>
          </a:extLst>
        </xdr:cNvPr>
        <xdr:cNvSpPr>
          <a:spLocks noChangeAspect="1" noChangeArrowheads="1"/>
        </xdr:cNvSpPr>
      </xdr:nvSpPr>
      <xdr:spPr bwMode="auto">
        <a:xfrm>
          <a:off x="142970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0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86974E-67AF-40D5-93FB-C4CE4ED2D1C1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0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170B35-E9B5-4164-9268-D85E0F42890A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0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20E908-B4D9-4E7A-966B-82EA6AC5B701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0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437437-C5B9-4C35-8589-EEB604576898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0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097355-F6CE-4937-85E3-5C112EA07B50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0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921963-0080-40C7-89A0-34B79274328A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0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2F6E1C-39FF-41EC-A92D-71273DDF42F1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0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5EB492-7370-4A23-A2E6-FFE8CE70DB61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714375" cy="304800"/>
    <xdr:sp macro="" textlink="">
      <xdr:nvSpPr>
        <xdr:cNvPr id="110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EE2DEA-F1FB-42AF-B89C-6763CD4707EB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0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D783D2-474E-4929-B160-DBF81B1A7BB9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0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359AD4-0C83-47F7-961B-CA04AD13722B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0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AEFED1-8416-470B-8198-CF8D3FCA60DE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0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F44993-2ED3-44BB-BF4B-734955374815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0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E22053-811E-44E7-A4A3-CE6C9201B0CA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714375" cy="304800"/>
    <xdr:sp macro="" textlink="">
      <xdr:nvSpPr>
        <xdr:cNvPr id="110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56C781-2DE1-4885-BCFE-98F1ACDA852C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0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708A36-F861-4B81-BDA5-9E4DD698F739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0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1F1E24-5941-43C1-8C0D-408A9422AB1E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0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DE3CA7-41AF-462B-BF4F-6F8991F95605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0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F270E4-F128-4E64-B93A-66DC77A3C233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0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7F08A2-61A2-46A7-BC1F-835B8E27CC75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0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41E9F7-412D-44D9-A34C-449F8FE3DEA0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0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057D6E-C592-4A5F-A375-7E7C8E76641F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0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5075FB-15A2-416C-862F-301A5F65CA65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0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36AB63-DAC2-4C5A-89F4-A5981D0BCB44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0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684988-D1D1-484F-850D-12B7D56C3F78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714375" cy="304800"/>
    <xdr:sp macro="" textlink="">
      <xdr:nvSpPr>
        <xdr:cNvPr id="110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1A4DB2-29F9-4FCA-9FF4-6A322020797E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0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061DB1-8193-4B6F-90A8-6958EDBEF6E2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0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9CEE4E-7D92-4FDB-B0B7-8E04C1D7A11C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0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FADEEA-47FA-45DA-A70E-FD315B018F13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0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10FC54-F97B-4FFC-B824-C62588F3F925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0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CA271F-1A95-4E46-A21A-0D5E53570693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0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ABA7E7-388E-44FF-B903-0DEE718332E6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0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FFC9FB-236C-4E0A-9D77-6B92969FADE8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0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A7F16A-0278-406F-8B43-4E88BE5594A1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0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C887B2-F5CB-4486-AAC6-C28C9E7E6489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F031FB-61BB-4058-AA9C-1E925D811E08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14B4C9-1212-4200-88ED-8428ED611B2A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60586C-1ACE-4FC2-9688-5651422579FC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0B0222-7953-415C-847C-B181787F182E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60E708-7EEC-48E1-96BA-84310821F322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33EBB7-4FF0-48E7-B62E-F399A7B2247D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5C3EE5-6C6D-4C79-B8EE-5C639A4A8453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1B6BDD-8365-47CC-9EE6-4C977EC39512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A812D5-E7C3-43A0-B138-845B88F9F00D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714375" cy="304800"/>
    <xdr:sp macro="" textlink="">
      <xdr:nvSpPr>
        <xdr:cNvPr id="111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B980F5-25BD-4E84-A5E7-F7A533F49E6F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BE591D-DC99-4FAD-8B9B-FF81F05458AF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2A10B1-9234-4548-9541-CCC38A86D88B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CFCF79-E65D-41F0-ADDE-A00E308794E2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4B3D42-14F5-4CBC-B6F5-4C0AEC87628B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377EF8-3B47-47E3-AF93-E7188E8FE068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714375" cy="304800"/>
    <xdr:sp macro="" textlink="">
      <xdr:nvSpPr>
        <xdr:cNvPr id="111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C739FD-1B80-4287-8C3D-4C46A5568D01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DC9183-3816-4551-8E80-8C9222824F1B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1D954C-2D44-4553-9CD1-E17CF818896E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BEC532-6A1A-4137-A107-9AC49CD9A108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FB1946-32A0-448F-B025-65DB3CDF29EF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29EF02-A722-4AB5-B722-A7E088BD45B7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1328F9-3769-4183-98AB-EE7BD44499BA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F79641-BE3C-4E9A-BFEF-A6591C007E2C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C89D3E-D184-4709-95C9-E2B7F562C7A4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3581C3-2E48-435D-B2D2-B371D974FA7F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91EF90-6293-4BC3-B9B1-FC61EEF5E1F9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714375" cy="304800"/>
    <xdr:sp macro="" textlink="">
      <xdr:nvSpPr>
        <xdr:cNvPr id="111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2B0ACA-E767-4334-8D90-777F33DDE2B5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ACB48E-62C7-4D42-9509-1429EF034069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6B323D-85FB-490C-B76B-FCD4543FAA06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1E728D-FA0A-44F3-85BA-5B8FE2E805B2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5062CF-EB4D-4B32-A839-0FFF2EC40611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58782D-7EF1-4775-AFE0-81D2B93732C9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A03999-4748-4347-A939-DEFA09E8CAA4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413862-AEE8-46F9-97A5-E2F6CAF6A491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3270AB-E142-4496-A832-500EA40CE83B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351A41-170F-459E-8BA8-5D4020B3B729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1A2DF3-AD55-4125-B6C0-B87D35FA9B11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65A15D-4B5E-471A-B919-55B6D1F6FFA5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688707-8EAF-42E4-B6F3-8E9CB3F6B4C2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9C4AD0-9218-4BF3-A417-60942A1B721D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E72FB7-06BC-4923-8D30-7924138A514E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81B740-C33A-4220-A75B-A065B6F37CCB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4B1B27-0D98-4001-90FA-AA687C3CD08C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D50A0A-A7F4-4C16-B741-AD5BE9B0102B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9FAE70-6433-402E-A200-55790E88813F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2E8812-D5F1-4262-A5C1-EE53F71FB91F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1968B3-6F30-43CA-92C9-0D65EBDD3E44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F9EBE4-1060-4401-AE84-85F8D1AC23C1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16E532-C39C-44A3-8044-650A9C663DE4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E8E8DD-78F8-4169-AF33-258B5A5EDC65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29B784-E6B8-45BC-84F6-02E26E367E9E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6F2532-88E0-40B8-B3B6-80961F9E4366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88C331-07CB-484A-AC1D-B4EEEF44C14B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1AE5D9-C901-4F5D-A888-BFE01F8A0841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A7AD97-DC4E-4A8C-9A7B-A7D3B23D9725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9CF1C4-FE26-4463-8B35-D14A5BE16577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44DE9A-55EA-400B-A7D5-D4E43E255293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D512C3-4D87-4866-BAFB-487DD5D79485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86A867-8AA4-477A-873A-CC8D7C10C638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2CF0DA-FC9A-411E-A328-F5060BCC6848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3317FF-3A8C-41E0-ADC5-E9B516078B87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F48875-F22F-4E9C-B972-ED310B047D5C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9D8F07-736D-47EC-AD83-AA3387EBB4F5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459BCE-14BB-49AB-AEBC-6D0D79185C84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1E884A-01FB-4834-B404-2E71CCEE5914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4A2785-7632-48AA-A25B-EF1A4049B61C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218DF8-1413-48E5-9522-1B8B345D78F9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DF0360-985E-437D-B5C5-1C5C46B3D257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4D90DC-ADE4-4D02-8863-6C43FABCEE45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C60C78-9B8A-4F9A-9C6B-3398D91C8C84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9DFF28-15A2-409B-8301-34F8217E5613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ACA9A2-54AC-4B06-9D40-4A3913D8DD0A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91767C-438D-4076-97FD-E11F67F3CED9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B9F4C7-3B01-44C8-85FB-2FF6B9B67CC1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E0DC83-1FF2-402C-9121-A62B6AED15F0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338566-A90F-4EAA-8E72-34F8F5C2E78F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E488AD-B285-450F-A5F3-335BC4AF79EA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C0F5BC-5AA5-4AA6-9338-685A7999F10C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406FB8-5445-4B2C-B845-3034AFDA22FD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D206B3-FB34-496F-9FBD-02086B51D6DF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5833B4-EC8F-4538-B9B2-FBD6A8C4BC12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79D426-B125-403B-AC1A-8839C5BF4AD5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6AE1E0-727A-4443-9F1E-0EBAB9C8F1E3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0DC251-9B38-45FC-A9ED-32F2FCFB5A27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62E9F2-3BA7-4EE3-8E34-F0D8062244FB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C75B19-4B5E-4BCA-9DB1-DCDD5175174A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B0F747-658F-4184-A751-CE9EC3C771B2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C2541A-176A-4F3E-A1B5-57447A2A0F0C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FCE33E-E02E-4287-908F-C04F81CFD657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364473-B918-415B-8875-5FE67FF1BC69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E98E35-3ADD-4EF1-9B85-331E82730008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D0F4DC-1343-45B2-A219-F6185CFAC143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5CDC45-EDA8-4FCB-9980-A466CE33A036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44F621-68D4-433A-87D9-60FB79E65422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B6F7F8-7C14-4779-ADB2-451DD449D4BA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46D0DE-6C05-4667-A72C-6E59682EB177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5E59C9-0C60-4633-83D1-56F39420BD31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49EA25-51FF-4A30-BC89-C024426DE35F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D0A3BD-5F66-4524-9406-A9FD82CB2E90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1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4742D7-F811-41A4-8642-FAC39C835775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2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4A5505-874B-4F6E-A48A-1203A2522FFF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2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7D49EE-53C5-47F9-BC26-22CE8CEDEDDF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2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A12B87-67BF-45FF-BE62-03616A18D49E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2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E7967C-4D83-402D-8C03-43BB412986A8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2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A72857-681D-497B-A727-8D0288D9879F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2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809018-798C-4007-B7ED-D2C3D79CD9A1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2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988B02-4820-409B-99F9-F3874C6B261F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2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B367BE-FD72-4EC7-9C67-2EEECCFB8903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2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6BBB4F-788A-473C-85FA-05765D09D192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2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DAE048-0519-45BE-8C0F-56B98D1973C4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2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3BD4F8-C611-46C9-B089-48E022935765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2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34BE7A-AA61-41EC-B393-644CF8A0A311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2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73F1C2-39FC-4800-BF2B-2EBFFD2EE520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2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1F35A4-1327-4469-89DE-2BEFAC736471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2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602664-9890-45D9-92C0-ADBD622E897E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2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F1F883-8BEA-4E5C-BDF4-38042408BE08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2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E1ABCC-B9B7-4CB9-AE01-9A0EE4A24FA9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2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AD3C97-6A3D-4CA6-A4FE-56E4F7FD8A0E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2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746CD1-9902-40E5-A779-D68160B48263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7</xdr:row>
      <xdr:rowOff>0</xdr:rowOff>
    </xdr:from>
    <xdr:ext cx="304800" cy="304800"/>
    <xdr:sp macro="" textlink="">
      <xdr:nvSpPr>
        <xdr:cNvPr id="112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B168BD-3640-42DB-9A5C-7BEF35B8716D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46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714375" cy="304800"/>
    <xdr:sp macro="" textlink="">
      <xdr:nvSpPr>
        <xdr:cNvPr id="112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055616-F0B1-40B5-AD66-AD9FD58E8235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12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353CD1-5090-47EE-8D32-A94B777C6C09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12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0E3DD0-DC02-45F0-9B03-60659C3F5717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12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379D0E-D956-4A70-8912-971FCE0477D3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12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39C058-7ED9-4112-89BF-8472CCFBF6BD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12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355603-C25F-4F8E-998B-41B6153C3FE4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714375" cy="304800"/>
    <xdr:sp macro="" textlink="">
      <xdr:nvSpPr>
        <xdr:cNvPr id="112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633ED0-D38F-49F5-B3C5-BA7F0BC14459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12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4B5B9A-5ADB-4823-9645-3B383CE96CB6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12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0DDC8B-AF8D-44E1-9A79-D5AE07B374A3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12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32B7C8-6F50-4E31-93B2-67E752777E06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12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C2F378-7363-4BEB-815F-45AC059C28F6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12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2E201A-71B7-4E16-B0DA-E33B69CE50FC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12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07E034-7093-4B7C-9BB7-14E86D66BD64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12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A6330B-929D-4E01-97F6-8AEFE0D22DB8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12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DA8B61-1B92-4F34-8087-C8A42E48CF8E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12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D292C7-D41A-4ECD-A981-8C43DB88062B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12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1450E7-2748-406C-BE4D-0DD94F10D5AA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12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948D11-50E7-4C87-B651-3AAA572B80DC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12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60C7D6-1F43-4600-9D38-0A47452B4A0F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12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73AA98-3AD1-4E70-A2E3-31FFC89F3F00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12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3204D2-95EF-49C5-9A54-DEE193ED8DEE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12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88E9A8-21E0-4536-BFAE-3F5E238AAD38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12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A74084-BCA6-47BD-A942-09C7E7F905DD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12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554C44-8BFB-4D62-8D13-790F95F58DC4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12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3B9380-2FB0-41EA-9D9B-A5957AF4A197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12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0B1842-8904-48C8-B4CC-6B2B94F11C2C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12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E8A877-8228-4A4A-8165-A5DE6263B178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714375" cy="304800"/>
    <xdr:sp macro="" textlink="">
      <xdr:nvSpPr>
        <xdr:cNvPr id="112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DB27D5-89C0-40A8-AB28-DF99B1F299D7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12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975205-3A23-4D3A-9A49-666A80F394EB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12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09C875-5A36-4771-B40E-D114916F1FA1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12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24625A-3727-45E1-AAF3-5EFC48E1C470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12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A89500-7B63-4FEC-847C-C761CD4DEF9D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12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96721F-58ED-409B-A2CC-DA3FB863DBAD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714375" cy="304800"/>
    <xdr:sp macro="" textlink="">
      <xdr:nvSpPr>
        <xdr:cNvPr id="112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36F859-BD30-47C0-82C9-B61AC48F0F89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12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454FF7-EA3F-4687-9F22-AF8A4CD8B3C3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12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10E1A6-39B1-4538-A106-712D1F658632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12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249842-8682-49B0-9C66-ABF0E3DA71FB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12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C7451B-11CF-48F2-8025-CF97B5FF61A8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12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96259C-5F2E-461A-A44C-237217743EEB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12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45A43C-61E2-42FA-B095-3ED6A9034F0A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12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8C94D0-56ED-485A-8684-E8D328283BAA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12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1EF7A9-234E-4107-89BE-8D7EB2123C6C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12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6D5118-AF2F-4397-8800-B50359E98342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12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D39CA9-68A6-44E6-BF78-A9BA548C04FA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12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F65A41-4997-4555-8253-134E8F1A20A2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12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B508C4-816B-47F0-A9A4-B5F034204742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12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5AD2FE-027B-4651-BF7C-DD1CC0E81E7D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12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133CCC-5D84-4139-8486-B9CC41870485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12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BF33CE-8540-4C61-88BA-9CBF7BD2C666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12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EBB0DE-0610-4C45-8FAB-F8CE6BB2D5CB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12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821232-4E15-4F59-9292-895C9FBDD944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12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40978B-54A0-4E11-A9B2-5E966F00EBF3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12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4A6D97-5E8C-4A3C-B533-813A51DAA8EF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28</xdr:col>
      <xdr:colOff>0</xdr:colOff>
      <xdr:row>5</xdr:row>
      <xdr:rowOff>0</xdr:rowOff>
    </xdr:from>
    <xdr:ext cx="304800" cy="304800"/>
    <xdr:sp macro="" textlink="">
      <xdr:nvSpPr>
        <xdr:cNvPr id="112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83703A-8FAF-4307-9AF7-D914D1CC17E4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B0D9A3-5022-4EE6-BC8B-339A6EA03058}">
  <dimension ref="A1:AL124"/>
  <sheetViews>
    <sheetView tabSelected="1" workbookViewId="0">
      <pane xSplit="1" topLeftCell="B1" activePane="topRight" state="frozen"/>
      <selection pane="topRight" activeCell="AO15" sqref="AO15"/>
    </sheetView>
  </sheetViews>
  <sheetFormatPr defaultRowHeight="15" x14ac:dyDescent="0.25"/>
  <cols>
    <col min="1" max="1" width="51.42578125" customWidth="1"/>
    <col min="2" max="2" width="5.5703125" customWidth="1"/>
    <col min="3" max="3" width="0" hidden="1" customWidth="1"/>
    <col min="4" max="4" width="13.140625" customWidth="1"/>
    <col min="5" max="6" width="3.5703125" customWidth="1"/>
    <col min="7" max="7" width="10.7109375" bestFit="1" customWidth="1"/>
    <col min="8" max="8" width="3.5703125" bestFit="1" customWidth="1"/>
    <col min="9" max="9" width="3.5703125" customWidth="1"/>
    <col min="10" max="10" width="10.7109375" customWidth="1"/>
    <col min="11" max="11" width="3.5703125" bestFit="1" customWidth="1"/>
    <col min="12" max="12" width="3.5703125" customWidth="1"/>
    <col min="13" max="13" width="10.7109375" customWidth="1"/>
    <col min="14" max="15" width="3.5703125" bestFit="1" customWidth="1"/>
    <col min="16" max="16" width="10.7109375" customWidth="1"/>
    <col min="17" max="17" width="3.5703125" bestFit="1" customWidth="1"/>
    <col min="18" max="18" width="3.5703125" customWidth="1"/>
    <col min="19" max="19" width="10.7109375" customWidth="1"/>
    <col min="20" max="20" width="3.5703125" bestFit="1" customWidth="1"/>
    <col min="21" max="21" width="4.140625" bestFit="1" customWidth="1"/>
    <col min="22" max="22" width="10.7109375" customWidth="1"/>
    <col min="23" max="23" width="3.5703125" bestFit="1" customWidth="1"/>
    <col min="24" max="24" width="4.140625" bestFit="1" customWidth="1"/>
    <col min="25" max="25" width="10.7109375" customWidth="1"/>
    <col min="26" max="26" width="3.7109375" bestFit="1" customWidth="1"/>
    <col min="27" max="27" width="4.7109375" bestFit="1" customWidth="1"/>
    <col min="28" max="28" width="10.7109375" customWidth="1"/>
    <col min="29" max="29" width="3.5703125" bestFit="1" customWidth="1"/>
    <col min="30" max="30" width="4" bestFit="1" customWidth="1"/>
    <col min="31" max="31" width="10.7109375" customWidth="1"/>
    <col min="32" max="32" width="4.7109375" bestFit="1" customWidth="1"/>
    <col min="33" max="33" width="5.7109375" bestFit="1" customWidth="1"/>
    <col min="34" max="34" width="11.7109375" bestFit="1" customWidth="1"/>
    <col min="35" max="35" width="10.42578125" bestFit="1" customWidth="1"/>
    <col min="36" max="36" width="6.140625" customWidth="1"/>
    <col min="37" max="37" width="16.28515625" customWidth="1"/>
  </cols>
  <sheetData>
    <row r="1" spans="1:37" ht="1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</row>
    <row r="2" spans="1:37" ht="1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</row>
    <row r="3" spans="1:37" ht="15" customHeight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</row>
    <row r="4" spans="1:37" ht="15" customHeight="1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</row>
    <row r="5" spans="1:37" ht="15" customHeight="1" x14ac:dyDescent="0.25">
      <c r="A5" s="2" t="s">
        <v>0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</row>
    <row r="6" spans="1:37" ht="24.75" customHeight="1" x14ac:dyDescent="0.25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</row>
    <row r="7" spans="1:37" x14ac:dyDescent="0.25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</row>
    <row r="8" spans="1:37" x14ac:dyDescent="0.2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</row>
    <row r="9" spans="1:37" ht="15.75" x14ac:dyDescent="0.2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</row>
    <row r="10" spans="1:37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</row>
    <row r="11" spans="1:37" x14ac:dyDescent="0.25">
      <c r="A11" s="7" t="s">
        <v>1</v>
      </c>
      <c r="B11" s="8" t="s">
        <v>2</v>
      </c>
      <c r="C11" s="8"/>
      <c r="D11" s="8"/>
      <c r="E11" s="8" t="s">
        <v>3</v>
      </c>
      <c r="F11" s="8"/>
      <c r="G11" s="8"/>
      <c r="H11" s="9" t="s">
        <v>4</v>
      </c>
      <c r="I11" s="10"/>
      <c r="J11" s="11"/>
      <c r="K11" s="9" t="s">
        <v>5</v>
      </c>
      <c r="L11" s="10"/>
      <c r="M11" s="11"/>
      <c r="N11" s="9" t="s">
        <v>6</v>
      </c>
      <c r="O11" s="10"/>
      <c r="P11" s="11"/>
      <c r="Q11" s="9" t="s">
        <v>7</v>
      </c>
      <c r="R11" s="10"/>
      <c r="S11" s="11"/>
      <c r="T11" s="9" t="s">
        <v>8</v>
      </c>
      <c r="U11" s="10"/>
      <c r="V11" s="11"/>
      <c r="W11" s="9" t="s">
        <v>9</v>
      </c>
      <c r="X11" s="10"/>
      <c r="Y11" s="11"/>
      <c r="Z11" s="9" t="s">
        <v>10</v>
      </c>
      <c r="AA11" s="10"/>
      <c r="AB11" s="11"/>
      <c r="AC11" s="9" t="s">
        <v>11</v>
      </c>
      <c r="AD11" s="10"/>
      <c r="AE11" s="11"/>
      <c r="AF11" s="8" t="s">
        <v>12</v>
      </c>
      <c r="AG11" s="8"/>
      <c r="AH11" s="8"/>
      <c r="AI11" s="12" t="s">
        <v>13</v>
      </c>
      <c r="AJ11" s="12"/>
      <c r="AK11" s="12"/>
    </row>
    <row r="12" spans="1:37" x14ac:dyDescent="0.25">
      <c r="A12" s="13" t="s">
        <v>14</v>
      </c>
      <c r="B12" s="14">
        <f>B13+B14+B15</f>
        <v>9586.0300000000007</v>
      </c>
      <c r="C12" s="15"/>
      <c r="D12" s="16"/>
      <c r="E12" s="17"/>
      <c r="F12" s="18"/>
      <c r="G12" s="19"/>
      <c r="H12" s="20"/>
      <c r="I12" s="21"/>
      <c r="J12" s="22"/>
      <c r="K12" s="21"/>
      <c r="L12" s="21"/>
      <c r="M12" s="21"/>
      <c r="N12" s="23"/>
      <c r="O12" s="24"/>
      <c r="P12" s="25"/>
      <c r="Q12" s="23"/>
      <c r="R12" s="24"/>
      <c r="S12" s="25"/>
      <c r="T12" s="23"/>
      <c r="U12" s="24"/>
      <c r="V12" s="25"/>
      <c r="W12" s="26"/>
      <c r="X12" s="27"/>
      <c r="Y12" s="28"/>
      <c r="Z12" s="26"/>
      <c r="AA12" s="27"/>
      <c r="AB12" s="28"/>
      <c r="AC12" s="23"/>
      <c r="AD12" s="24"/>
      <c r="AE12" s="25"/>
      <c r="AF12" s="14">
        <f>9586.03</f>
        <v>9586.0300000000007</v>
      </c>
      <c r="AG12" s="15"/>
      <c r="AH12" s="16"/>
      <c r="AI12" s="29">
        <f>9586.03</f>
        <v>9586.0300000000007</v>
      </c>
      <c r="AJ12" s="29"/>
      <c r="AK12" s="29"/>
    </row>
    <row r="13" spans="1:37" x14ac:dyDescent="0.25">
      <c r="A13" s="30" t="s">
        <v>15</v>
      </c>
      <c r="B13" s="31">
        <f>13836</f>
        <v>13836</v>
      </c>
      <c r="C13" s="32"/>
      <c r="D13" s="33"/>
      <c r="E13" s="34"/>
      <c r="F13" s="35"/>
      <c r="G13" s="36"/>
      <c r="H13" s="37"/>
      <c r="I13" s="38"/>
      <c r="J13" s="39"/>
      <c r="K13" s="38"/>
      <c r="L13" s="38"/>
      <c r="M13" s="38"/>
      <c r="N13" s="23"/>
      <c r="O13" s="24"/>
      <c r="P13" s="25"/>
      <c r="Q13" s="23"/>
      <c r="R13" s="24"/>
      <c r="S13" s="25"/>
      <c r="T13" s="23"/>
      <c r="U13" s="24"/>
      <c r="V13" s="25"/>
      <c r="W13" s="26"/>
      <c r="X13" s="27"/>
      <c r="Y13" s="28"/>
      <c r="Z13" s="26"/>
      <c r="AA13" s="27"/>
      <c r="AB13" s="28"/>
      <c r="AC13" s="23"/>
      <c r="AD13" s="24"/>
      <c r="AE13" s="25"/>
      <c r="AF13" s="31"/>
      <c r="AG13" s="32"/>
      <c r="AH13" s="33"/>
      <c r="AI13" s="40"/>
      <c r="AJ13" s="40"/>
      <c r="AK13" s="40"/>
    </row>
    <row r="14" spans="1:37" x14ac:dyDescent="0.25">
      <c r="A14" s="30" t="s">
        <v>16</v>
      </c>
      <c r="B14" s="31">
        <f>642.76</f>
        <v>642.76</v>
      </c>
      <c r="C14" s="32"/>
      <c r="D14" s="33"/>
      <c r="E14" s="34"/>
      <c r="F14" s="35"/>
      <c r="G14" s="36"/>
      <c r="H14" s="37"/>
      <c r="I14" s="38"/>
      <c r="J14" s="39"/>
      <c r="K14" s="38"/>
      <c r="L14" s="38"/>
      <c r="M14" s="38"/>
      <c r="N14" s="23"/>
      <c r="O14" s="24"/>
      <c r="P14" s="25"/>
      <c r="Q14" s="23"/>
      <c r="R14" s="24"/>
      <c r="S14" s="25"/>
      <c r="T14" s="23"/>
      <c r="U14" s="24"/>
      <c r="V14" s="25"/>
      <c r="W14" s="26"/>
      <c r="X14" s="27"/>
      <c r="Y14" s="28"/>
      <c r="Z14" s="26"/>
      <c r="AA14" s="27"/>
      <c r="AB14" s="28"/>
      <c r="AC14" s="23"/>
      <c r="AD14" s="24"/>
      <c r="AE14" s="25"/>
      <c r="AF14" s="31"/>
      <c r="AG14" s="32"/>
      <c r="AH14" s="33"/>
      <c r="AI14" s="41"/>
      <c r="AJ14" s="41"/>
      <c r="AK14" s="41"/>
    </row>
    <row r="15" spans="1:37" x14ac:dyDescent="0.25">
      <c r="A15" s="30" t="s">
        <v>17</v>
      </c>
      <c r="B15" s="31">
        <f>-4892.73</f>
        <v>-4892.7299999999996</v>
      </c>
      <c r="C15" s="32"/>
      <c r="D15" s="33"/>
      <c r="E15" s="34"/>
      <c r="F15" s="35"/>
      <c r="G15" s="36"/>
      <c r="H15" s="37"/>
      <c r="I15" s="38"/>
      <c r="J15" s="39"/>
      <c r="K15" s="42"/>
      <c r="L15" s="43"/>
      <c r="M15" s="44"/>
      <c r="N15" s="23"/>
      <c r="O15" s="24"/>
      <c r="P15" s="25"/>
      <c r="Q15" s="23" t="s">
        <v>18</v>
      </c>
      <c r="R15" s="24"/>
      <c r="S15" s="25"/>
      <c r="T15" s="23"/>
      <c r="U15" s="24"/>
      <c r="V15" s="25"/>
      <c r="W15" s="26"/>
      <c r="X15" s="27"/>
      <c r="Y15" s="28"/>
      <c r="Z15" s="26"/>
      <c r="AA15" s="27"/>
      <c r="AB15" s="28"/>
      <c r="AC15" s="23"/>
      <c r="AD15" s="24"/>
      <c r="AE15" s="25"/>
      <c r="AF15" s="31"/>
      <c r="AG15" s="32"/>
      <c r="AH15" s="33"/>
      <c r="AI15" s="41"/>
      <c r="AJ15" s="41"/>
      <c r="AK15" s="41"/>
    </row>
    <row r="16" spans="1:37" x14ac:dyDescent="0.25">
      <c r="A16" s="45" t="s">
        <v>19</v>
      </c>
      <c r="B16" s="46">
        <f>4186449.06</f>
        <v>4186449.06</v>
      </c>
      <c r="C16" s="47"/>
      <c r="D16" s="48"/>
      <c r="E16" s="49"/>
      <c r="F16" s="50"/>
      <c r="G16" s="51"/>
      <c r="H16" s="52"/>
      <c r="I16" s="53"/>
      <c r="J16" s="54"/>
      <c r="K16" s="53"/>
      <c r="L16" s="53"/>
      <c r="M16" s="53"/>
      <c r="N16" s="55"/>
      <c r="O16" s="56"/>
      <c r="P16" s="57"/>
      <c r="Q16" s="49"/>
      <c r="R16" s="50"/>
      <c r="S16" s="51"/>
      <c r="T16" s="49"/>
      <c r="U16" s="50"/>
      <c r="V16" s="51"/>
      <c r="W16" s="55"/>
      <c r="X16" s="56"/>
      <c r="Y16" s="57"/>
      <c r="Z16" s="55"/>
      <c r="AA16" s="56"/>
      <c r="AB16" s="57"/>
      <c r="AC16" s="58"/>
      <c r="AD16" s="58"/>
      <c r="AE16" s="58"/>
      <c r="AF16" s="46">
        <f>AH27</f>
        <v>646750.72000000009</v>
      </c>
      <c r="AG16" s="47"/>
      <c r="AH16" s="48"/>
      <c r="AI16" s="59">
        <f>AK27</f>
        <v>4833199.78</v>
      </c>
      <c r="AJ16" s="59"/>
      <c r="AK16" s="59"/>
    </row>
    <row r="17" spans="1:37" x14ac:dyDescent="0.25">
      <c r="A17" s="60" t="s">
        <v>20</v>
      </c>
      <c r="B17" s="61">
        <f>2036201.14</f>
        <v>2036201.14</v>
      </c>
      <c r="C17" s="62"/>
      <c r="D17" s="63"/>
      <c r="E17" s="64"/>
      <c r="F17" s="65"/>
      <c r="G17" s="66"/>
      <c r="H17" s="67"/>
      <c r="I17" s="68"/>
      <c r="J17" s="69"/>
      <c r="K17" s="68"/>
      <c r="L17" s="68"/>
      <c r="M17" s="68"/>
      <c r="N17" s="70"/>
      <c r="O17" s="71"/>
      <c r="P17" s="72"/>
      <c r="Q17" s="64"/>
      <c r="R17" s="65"/>
      <c r="S17" s="66"/>
      <c r="T17" s="64"/>
      <c r="U17" s="65"/>
      <c r="V17" s="66"/>
      <c r="W17" s="70"/>
      <c r="X17" s="71"/>
      <c r="Y17" s="72"/>
      <c r="Z17" s="70"/>
      <c r="AA17" s="71"/>
      <c r="AB17" s="72"/>
      <c r="AC17" s="73"/>
      <c r="AD17" s="73"/>
      <c r="AE17" s="73"/>
      <c r="AF17" s="61">
        <f>AF103</f>
        <v>477715.56999999995</v>
      </c>
      <c r="AG17" s="62"/>
      <c r="AH17" s="63"/>
      <c r="AI17" s="74">
        <f>AJ103</f>
        <v>2513916.71</v>
      </c>
      <c r="AJ17" s="74"/>
      <c r="AK17" s="74"/>
    </row>
    <row r="18" spans="1:37" x14ac:dyDescent="0.25">
      <c r="A18" s="45" t="s">
        <v>21</v>
      </c>
      <c r="B18" s="75">
        <f>B16-B17+B12</f>
        <v>2159833.9499999997</v>
      </c>
      <c r="C18" s="76"/>
      <c r="D18" s="77"/>
      <c r="E18" s="78"/>
      <c r="F18" s="79"/>
      <c r="G18" s="80"/>
      <c r="H18" s="81"/>
      <c r="I18" s="82"/>
      <c r="J18" s="83"/>
      <c r="K18" s="82"/>
      <c r="L18" s="82"/>
      <c r="M18" s="82"/>
      <c r="N18" s="84"/>
      <c r="O18" s="85"/>
      <c r="P18" s="86"/>
      <c r="Q18" s="78"/>
      <c r="R18" s="79"/>
      <c r="S18" s="80"/>
      <c r="T18" s="78"/>
      <c r="U18" s="79"/>
      <c r="V18" s="80"/>
      <c r="W18" s="84"/>
      <c r="X18" s="85"/>
      <c r="Y18" s="86"/>
      <c r="Z18" s="84"/>
      <c r="AA18" s="85"/>
      <c r="AB18" s="86"/>
      <c r="AC18" s="87"/>
      <c r="AD18" s="87"/>
      <c r="AE18" s="87"/>
      <c r="AF18" s="75">
        <f>AF16-AF17</f>
        <v>169035.15000000014</v>
      </c>
      <c r="AG18" s="76"/>
      <c r="AH18" s="77"/>
      <c r="AI18" s="88">
        <f>AI16-AI17+AI12</f>
        <v>2328869.1</v>
      </c>
      <c r="AJ18" s="88"/>
      <c r="AK18" s="88"/>
    </row>
    <row r="19" spans="1:37" x14ac:dyDescent="0.25">
      <c r="A19" s="89"/>
      <c r="B19" s="89"/>
      <c r="C19" s="89"/>
      <c r="D19" s="89"/>
      <c r="E19" s="89"/>
      <c r="F19" s="89"/>
      <c r="G19" s="89"/>
      <c r="H19" s="89"/>
      <c r="I19" s="89"/>
      <c r="J19" s="89"/>
      <c r="K19" s="89"/>
      <c r="L19" s="89"/>
      <c r="M19" s="89"/>
      <c r="N19" s="89"/>
      <c r="O19" s="89"/>
      <c r="P19" s="89"/>
      <c r="Q19" s="89"/>
      <c r="R19" s="89"/>
      <c r="S19" s="89"/>
      <c r="T19" s="89"/>
      <c r="U19" s="89"/>
      <c r="V19" s="89"/>
      <c r="W19" s="89"/>
      <c r="X19" s="89"/>
      <c r="Y19" s="89"/>
      <c r="Z19" s="89"/>
      <c r="AA19" s="89"/>
      <c r="AB19" s="89"/>
      <c r="AC19" s="89"/>
      <c r="AD19" s="89"/>
      <c r="AE19" s="89"/>
      <c r="AF19" s="89"/>
      <c r="AG19" s="89"/>
      <c r="AH19" s="89"/>
      <c r="AI19" s="89"/>
      <c r="AJ19" s="89"/>
      <c r="AK19" s="89"/>
    </row>
    <row r="20" spans="1:37" x14ac:dyDescent="0.25">
      <c r="A20" s="90"/>
      <c r="B20" s="90"/>
      <c r="C20" s="90"/>
      <c r="D20" s="90"/>
      <c r="E20" s="90"/>
      <c r="F20" s="90"/>
      <c r="G20" s="90"/>
      <c r="H20" s="90"/>
      <c r="I20" s="90"/>
      <c r="J20" s="90"/>
      <c r="K20" s="90"/>
      <c r="L20" s="90"/>
      <c r="M20" s="90"/>
      <c r="N20" s="90"/>
      <c r="O20" s="90"/>
      <c r="P20" s="90"/>
      <c r="Q20" s="90"/>
      <c r="R20" s="90"/>
      <c r="S20" s="90"/>
      <c r="T20" s="90"/>
      <c r="U20" s="90"/>
      <c r="V20" s="90"/>
      <c r="W20" s="90"/>
      <c r="X20" s="90"/>
      <c r="Y20" s="90"/>
      <c r="Z20" s="90"/>
      <c r="AA20" s="90"/>
      <c r="AB20" s="90"/>
      <c r="AC20" s="90"/>
      <c r="AD20" s="90"/>
      <c r="AE20" s="90"/>
      <c r="AF20" s="90"/>
      <c r="AG20" s="90"/>
      <c r="AH20" s="90"/>
      <c r="AI20" s="90"/>
      <c r="AJ20" s="90"/>
      <c r="AK20" s="90"/>
    </row>
    <row r="21" spans="1:37" x14ac:dyDescent="0.25">
      <c r="A21" s="91" t="s">
        <v>22</v>
      </c>
      <c r="B21" s="8" t="s">
        <v>2</v>
      </c>
      <c r="C21" s="8"/>
      <c r="D21" s="8"/>
      <c r="E21" s="9" t="s">
        <v>3</v>
      </c>
      <c r="F21" s="10"/>
      <c r="G21" s="11"/>
      <c r="H21" s="9" t="s">
        <v>4</v>
      </c>
      <c r="I21" s="10"/>
      <c r="J21" s="11"/>
      <c r="K21" s="9" t="s">
        <v>5</v>
      </c>
      <c r="L21" s="10"/>
      <c r="M21" s="11"/>
      <c r="N21" s="9" t="s">
        <v>6</v>
      </c>
      <c r="O21" s="10"/>
      <c r="P21" s="11"/>
      <c r="Q21" s="9" t="s">
        <v>7</v>
      </c>
      <c r="R21" s="10"/>
      <c r="S21" s="11"/>
      <c r="T21" s="9" t="s">
        <v>8</v>
      </c>
      <c r="U21" s="10"/>
      <c r="V21" s="11"/>
      <c r="W21" s="9" t="s">
        <v>9</v>
      </c>
      <c r="X21" s="10"/>
      <c r="Y21" s="11"/>
      <c r="Z21" s="9" t="s">
        <v>10</v>
      </c>
      <c r="AA21" s="10"/>
      <c r="AB21" s="11"/>
      <c r="AC21" s="9" t="s">
        <v>11</v>
      </c>
      <c r="AD21" s="10"/>
      <c r="AE21" s="11"/>
      <c r="AF21" s="8" t="s">
        <v>12</v>
      </c>
      <c r="AG21" s="8"/>
      <c r="AH21" s="8"/>
      <c r="AI21" s="92" t="s">
        <v>23</v>
      </c>
      <c r="AJ21" s="12" t="s">
        <v>13</v>
      </c>
      <c r="AK21" s="12"/>
    </row>
    <row r="22" spans="1:37" x14ac:dyDescent="0.25">
      <c r="A22" s="93"/>
      <c r="B22" s="94" t="s">
        <v>24</v>
      </c>
      <c r="C22" s="95"/>
      <c r="D22" s="96" t="s">
        <v>25</v>
      </c>
      <c r="E22" s="96" t="s">
        <v>26</v>
      </c>
      <c r="F22" s="96" t="s">
        <v>27</v>
      </c>
      <c r="G22" s="96" t="s">
        <v>25</v>
      </c>
      <c r="H22" s="96" t="s">
        <v>26</v>
      </c>
      <c r="I22" s="96" t="s">
        <v>27</v>
      </c>
      <c r="J22" s="96"/>
      <c r="K22" s="96" t="s">
        <v>26</v>
      </c>
      <c r="L22" s="96" t="s">
        <v>27</v>
      </c>
      <c r="M22" s="96"/>
      <c r="N22" s="96" t="s">
        <v>26</v>
      </c>
      <c r="O22" s="96" t="s">
        <v>27</v>
      </c>
      <c r="P22" s="96"/>
      <c r="Q22" s="96" t="s">
        <v>26</v>
      </c>
      <c r="R22" s="96" t="s">
        <v>27</v>
      </c>
      <c r="S22" s="96"/>
      <c r="T22" s="96" t="s">
        <v>26</v>
      </c>
      <c r="U22" s="96" t="s">
        <v>27</v>
      </c>
      <c r="V22" s="96"/>
      <c r="W22" s="96" t="s">
        <v>26</v>
      </c>
      <c r="X22" s="96" t="s">
        <v>27</v>
      </c>
      <c r="Y22" s="96"/>
      <c r="Z22" s="96" t="s">
        <v>26</v>
      </c>
      <c r="AA22" s="96" t="s">
        <v>27</v>
      </c>
      <c r="AB22" s="96"/>
      <c r="AC22" s="96" t="s">
        <v>26</v>
      </c>
      <c r="AD22" s="96" t="s">
        <v>27</v>
      </c>
      <c r="AE22" s="96"/>
      <c r="AF22" s="96" t="s">
        <v>26</v>
      </c>
      <c r="AG22" s="96" t="s">
        <v>27</v>
      </c>
      <c r="AH22" s="96" t="s">
        <v>25</v>
      </c>
      <c r="AI22" s="92"/>
      <c r="AJ22" s="97" t="s">
        <v>24</v>
      </c>
      <c r="AK22" s="97" t="s">
        <v>25</v>
      </c>
    </row>
    <row r="23" spans="1:37" x14ac:dyDescent="0.25">
      <c r="A23" s="98" t="s">
        <v>28</v>
      </c>
      <c r="B23" s="99">
        <v>158</v>
      </c>
      <c r="C23" s="100"/>
      <c r="D23" s="101">
        <f>17760.02+186880+2455.53+1205.11</f>
        <v>208300.65999999997</v>
      </c>
      <c r="E23" s="102"/>
      <c r="F23" s="102"/>
      <c r="G23" s="101"/>
      <c r="H23" s="102"/>
      <c r="I23" s="103"/>
      <c r="J23" s="101"/>
      <c r="K23" s="102"/>
      <c r="L23" s="103"/>
      <c r="M23" s="101"/>
      <c r="N23" s="102"/>
      <c r="O23" s="102"/>
      <c r="P23" s="101"/>
      <c r="Q23" s="102"/>
      <c r="R23" s="103"/>
      <c r="S23" s="101"/>
      <c r="T23" s="102"/>
      <c r="U23" s="103"/>
      <c r="V23" s="101"/>
      <c r="W23" s="102"/>
      <c r="X23" s="102"/>
      <c r="Y23" s="101"/>
      <c r="Z23" s="102"/>
      <c r="AA23" s="102"/>
      <c r="AB23" s="101"/>
      <c r="AC23" s="102"/>
      <c r="AD23" s="103"/>
      <c r="AE23" s="101"/>
      <c r="AF23" s="102"/>
      <c r="AG23" s="103"/>
      <c r="AH23" s="104"/>
      <c r="AI23" s="105"/>
      <c r="AJ23" s="106">
        <v>158</v>
      </c>
      <c r="AK23" s="107">
        <f>208300.66</f>
        <v>208300.66</v>
      </c>
    </row>
    <row r="24" spans="1:37" x14ac:dyDescent="0.25">
      <c r="A24" s="30" t="s">
        <v>29</v>
      </c>
      <c r="B24" s="99">
        <v>5872</v>
      </c>
      <c r="C24" s="100"/>
      <c r="D24" s="101">
        <f>3713342.03</f>
        <v>3713342.03</v>
      </c>
      <c r="E24" s="102">
        <f>-10</f>
        <v>-10</v>
      </c>
      <c r="F24" s="102">
        <v>9</v>
      </c>
      <c r="G24" s="108">
        <f>40+40+120+20+115920+40+127.33</f>
        <v>116307.33</v>
      </c>
      <c r="H24" s="102">
        <v>-8</v>
      </c>
      <c r="I24" s="103">
        <v>20</v>
      </c>
      <c r="J24" s="108">
        <f>20+60+80+80+80+80+180+114720+280</f>
        <v>115580</v>
      </c>
      <c r="K24" s="102">
        <v>-7</v>
      </c>
      <c r="L24" s="103">
        <v>17</v>
      </c>
      <c r="M24" s="108">
        <f>80+40+80+40+80+360+80+80+60+80+80+40+80+40+1700+20+80+80+80+80+80+80+80+80</f>
        <v>3580</v>
      </c>
      <c r="N24" s="102">
        <v>-16</v>
      </c>
      <c r="O24" s="102">
        <v>9</v>
      </c>
      <c r="P24" s="108">
        <f>520+120+400+80+20+30+80+20+116620+100+60+160</f>
        <v>118210</v>
      </c>
      <c r="Q24" s="102">
        <v>-16</v>
      </c>
      <c r="R24" s="103">
        <v>13</v>
      </c>
      <c r="S24" s="108">
        <f>100+140+100+100+80+160+80+80+20+60+40+100+140+40+220+620</f>
        <v>2080</v>
      </c>
      <c r="T24" s="102">
        <v>-21</v>
      </c>
      <c r="U24" s="103">
        <v>132</v>
      </c>
      <c r="V24" s="108">
        <f>20+80+20+20+100+115940+40+280+40+40</f>
        <v>116580</v>
      </c>
      <c r="W24" s="102">
        <v>-22</v>
      </c>
      <c r="X24" s="102">
        <v>347</v>
      </c>
      <c r="Y24" s="108">
        <f>240+140+120+80+65+90+20+280</f>
        <v>1035</v>
      </c>
      <c r="Z24" s="102">
        <v>-29</v>
      </c>
      <c r="AA24" s="102">
        <v>721</v>
      </c>
      <c r="AB24" s="108">
        <f>160+65+120+80+20+60+120+80+40+80+20+120+120+140+125200+20</f>
        <v>126445</v>
      </c>
      <c r="AC24" s="102">
        <v>-14</v>
      </c>
      <c r="AD24" s="109">
        <v>175</v>
      </c>
      <c r="AE24" s="108">
        <f>180+140+60+20+20+4680+1480</f>
        <v>6580</v>
      </c>
      <c r="AF24" s="102">
        <f>-10-8-7-16-16-21-22-29-14</f>
        <v>-143</v>
      </c>
      <c r="AG24" s="109">
        <f>9+20+17+9+13+132+347+721+175</f>
        <v>1443</v>
      </c>
      <c r="AH24" s="104">
        <f>0+G24+J24+M24+P24+S24+V24+Y24+AB24+AE24</f>
        <v>606397.33000000007</v>
      </c>
      <c r="AI24" s="110">
        <f>AH24/AH27</f>
        <v>0.93760596045412981</v>
      </c>
      <c r="AJ24" s="111">
        <f>5872+AF24+AG24</f>
        <v>7172</v>
      </c>
      <c r="AK24" s="112">
        <f>3713342.03+AH24</f>
        <v>4319739.3599999994</v>
      </c>
    </row>
    <row r="25" spans="1:37" x14ac:dyDescent="0.25">
      <c r="A25" s="113" t="s">
        <v>30</v>
      </c>
      <c r="B25" s="99"/>
      <c r="C25" s="100"/>
      <c r="D25" s="101">
        <f>263771.64</f>
        <v>263771.64</v>
      </c>
      <c r="E25" s="102"/>
      <c r="F25" s="102"/>
      <c r="G25" s="108">
        <f>3456.99+2528.85+1258.22+447.4</f>
        <v>7691.46</v>
      </c>
      <c r="H25" s="102"/>
      <c r="I25" s="103"/>
      <c r="J25" s="108">
        <f>2097.79+989.67+2306.35</f>
        <v>5393.8099999999995</v>
      </c>
      <c r="K25" s="102"/>
      <c r="L25" s="103"/>
      <c r="M25" s="108">
        <f>2670.71+1353.08+748.68</f>
        <v>4772.47</v>
      </c>
      <c r="N25" s="102"/>
      <c r="O25" s="102"/>
      <c r="P25" s="108">
        <f>994.9+25.38+2243.52</f>
        <v>3263.8</v>
      </c>
      <c r="Q25" s="102"/>
      <c r="R25" s="103"/>
      <c r="S25" s="108">
        <f>766.4+2494.19+209.71+1884.67</f>
        <v>5354.97</v>
      </c>
      <c r="T25" s="102"/>
      <c r="U25" s="103"/>
      <c r="V25" s="108">
        <f>573.82+1968.57+184.59+1703.34</f>
        <v>4430.32</v>
      </c>
      <c r="W25" s="102"/>
      <c r="X25" s="102"/>
      <c r="Y25" s="108">
        <f>397.83+2362.86+161.21+2538.73</f>
        <v>5460.63</v>
      </c>
      <c r="Z25" s="102"/>
      <c r="AA25" s="102"/>
      <c r="AB25" s="108">
        <f>282.95+1202.2+129.87+1317.95</f>
        <v>2932.9700000000003</v>
      </c>
      <c r="AC25" s="102"/>
      <c r="AD25" s="103"/>
      <c r="AE25" s="108">
        <f>94.92-256.33-73.63+1288</f>
        <v>1052.96</v>
      </c>
      <c r="AF25" s="102"/>
      <c r="AG25" s="103"/>
      <c r="AH25" s="104">
        <f>0+G25+J25+M25+P25+S25+V25+Y25+AB25+AE25</f>
        <v>40353.39</v>
      </c>
      <c r="AI25" s="110">
        <f>AH25/AH27</f>
        <v>6.2394039545870153E-2</v>
      </c>
      <c r="AJ25" s="103"/>
      <c r="AK25" s="112">
        <f>263771.64+AH25</f>
        <v>304125.03000000003</v>
      </c>
    </row>
    <row r="26" spans="1:37" x14ac:dyDescent="0.25">
      <c r="A26" s="103" t="s">
        <v>31</v>
      </c>
      <c r="B26" s="99"/>
      <c r="C26" s="100"/>
      <c r="D26" s="101">
        <f>1034.73</f>
        <v>1034.73</v>
      </c>
      <c r="E26" s="102"/>
      <c r="F26" s="102"/>
      <c r="G26" s="101"/>
      <c r="H26" s="102"/>
      <c r="I26" s="103"/>
      <c r="J26" s="101"/>
      <c r="K26" s="102"/>
      <c r="L26" s="103"/>
      <c r="M26" s="101"/>
      <c r="N26" s="102"/>
      <c r="O26" s="102"/>
      <c r="P26" s="101"/>
      <c r="Q26" s="102"/>
      <c r="R26" s="103"/>
      <c r="S26" s="101"/>
      <c r="T26" s="102"/>
      <c r="U26" s="103"/>
      <c r="V26" s="101"/>
      <c r="W26" s="102"/>
      <c r="X26" s="102"/>
      <c r="Y26" s="101"/>
      <c r="Z26" s="102"/>
      <c r="AA26" s="102"/>
      <c r="AB26" s="101"/>
      <c r="AC26" s="102"/>
      <c r="AD26" s="103"/>
      <c r="AE26" s="101"/>
      <c r="AF26" s="102"/>
      <c r="AG26" s="103"/>
      <c r="AH26" s="104">
        <f>0+G26</f>
        <v>0</v>
      </c>
      <c r="AI26" s="105">
        <f>AH26/AH27</f>
        <v>0</v>
      </c>
      <c r="AJ26" s="114"/>
      <c r="AK26" s="107">
        <f>1034.73+AH26</f>
        <v>1034.73</v>
      </c>
    </row>
    <row r="27" spans="1:37" x14ac:dyDescent="0.25">
      <c r="A27" s="115" t="s">
        <v>32</v>
      </c>
      <c r="B27" s="116">
        <f>SUM(B23:C26)</f>
        <v>6030</v>
      </c>
      <c r="C27" s="117"/>
      <c r="D27" s="118">
        <f>SUM(D23:D26)</f>
        <v>4186449.06</v>
      </c>
      <c r="E27" s="116">
        <f>B27+E24+F24</f>
        <v>6029</v>
      </c>
      <c r="F27" s="117"/>
      <c r="G27" s="118">
        <f>SUM(G23:G26)</f>
        <v>123998.79000000001</v>
      </c>
      <c r="H27" s="119">
        <f>E27+H24+I24</f>
        <v>6041</v>
      </c>
      <c r="I27" s="119"/>
      <c r="J27" s="118">
        <f>SUM(J24:J26)</f>
        <v>120973.81</v>
      </c>
      <c r="K27" s="119">
        <f>H27+K24+L24</f>
        <v>6051</v>
      </c>
      <c r="L27" s="119"/>
      <c r="M27" s="118">
        <f>SUM(M24:M26)</f>
        <v>8352.4700000000012</v>
      </c>
      <c r="N27" s="120">
        <f>K27+N24+O24</f>
        <v>6044</v>
      </c>
      <c r="O27" s="121"/>
      <c r="P27" s="118">
        <f>SUM(P24:P26)</f>
        <v>121473.8</v>
      </c>
      <c r="Q27" s="120">
        <f>N27+Q24+R24</f>
        <v>6041</v>
      </c>
      <c r="R27" s="121"/>
      <c r="S27" s="118">
        <f>SUM(S24:S26)</f>
        <v>7434.97</v>
      </c>
      <c r="T27" s="120">
        <f>Q27+T24+U24</f>
        <v>6152</v>
      </c>
      <c r="U27" s="121"/>
      <c r="V27" s="118">
        <f>SUM(V24:V26)</f>
        <v>121010.32</v>
      </c>
      <c r="W27" s="120">
        <f>T27+W24+X24</f>
        <v>6477</v>
      </c>
      <c r="X27" s="121"/>
      <c r="Y27" s="118">
        <f>SUM(Y24:Y26)</f>
        <v>6495.63</v>
      </c>
      <c r="Z27" s="120">
        <f>W27+Z24+AA24</f>
        <v>7169</v>
      </c>
      <c r="AA27" s="121"/>
      <c r="AB27" s="118">
        <f>SUM(AB23:AB26)</f>
        <v>129377.97</v>
      </c>
      <c r="AC27" s="119">
        <f>Z27+AC24+AD24</f>
        <v>7330</v>
      </c>
      <c r="AD27" s="119"/>
      <c r="AE27" s="118">
        <f>SUM(AE24:AE26)</f>
        <v>7632.96</v>
      </c>
      <c r="AF27" s="119">
        <f>B27+AF24+AG24</f>
        <v>7330</v>
      </c>
      <c r="AG27" s="119"/>
      <c r="AH27" s="118">
        <f>SUM(AH23:AH26)</f>
        <v>646750.72000000009</v>
      </c>
      <c r="AI27" s="122">
        <f>AH27/AH27</f>
        <v>1</v>
      </c>
      <c r="AJ27" s="123">
        <f>SUM(AJ23:AJ26)</f>
        <v>7330</v>
      </c>
      <c r="AK27" s="124">
        <f>SUM(AK23:AK26)</f>
        <v>4833199.78</v>
      </c>
    </row>
    <row r="28" spans="1:37" x14ac:dyDescent="0.25">
      <c r="A28" s="125"/>
      <c r="B28" s="125"/>
      <c r="C28" s="125"/>
      <c r="D28" s="125"/>
      <c r="E28" s="125"/>
      <c r="F28" s="125"/>
      <c r="G28" s="125"/>
      <c r="H28" s="125"/>
      <c r="I28" s="125"/>
      <c r="J28" s="125"/>
      <c r="K28" s="125"/>
      <c r="L28" s="125"/>
      <c r="M28" s="125"/>
      <c r="N28" s="125"/>
      <c r="O28" s="125"/>
      <c r="P28" s="125"/>
      <c r="Q28" s="125"/>
      <c r="R28" s="125"/>
      <c r="S28" s="125"/>
      <c r="T28" s="125"/>
      <c r="U28" s="125"/>
      <c r="V28" s="125"/>
      <c r="W28" s="125"/>
      <c r="X28" s="125"/>
      <c r="Y28" s="125"/>
      <c r="Z28" s="125"/>
      <c r="AA28" s="125"/>
      <c r="AB28" s="125"/>
      <c r="AC28" s="125"/>
      <c r="AD28" s="125"/>
      <c r="AE28" s="125"/>
      <c r="AF28" s="125"/>
      <c r="AG28" s="125"/>
      <c r="AH28" s="125"/>
      <c r="AI28" s="125"/>
      <c r="AJ28" s="125"/>
      <c r="AK28" s="125"/>
    </row>
    <row r="29" spans="1:37" x14ac:dyDescent="0.25">
      <c r="A29" s="125"/>
      <c r="B29" s="125"/>
      <c r="C29" s="125"/>
      <c r="D29" s="125"/>
      <c r="E29" s="125"/>
      <c r="F29" s="125"/>
      <c r="G29" s="125"/>
      <c r="H29" s="125"/>
      <c r="I29" s="125"/>
      <c r="J29" s="125"/>
      <c r="K29" s="125"/>
      <c r="L29" s="125"/>
      <c r="M29" s="125"/>
      <c r="N29" s="125"/>
      <c r="O29" s="125"/>
      <c r="P29" s="125"/>
      <c r="Q29" s="125"/>
      <c r="R29" s="125"/>
      <c r="S29" s="125"/>
      <c r="T29" s="125"/>
      <c r="U29" s="125"/>
      <c r="V29" s="125"/>
      <c r="W29" s="125"/>
      <c r="X29" s="125"/>
      <c r="Y29" s="125"/>
      <c r="Z29" s="125"/>
      <c r="AA29" s="125"/>
      <c r="AB29" s="125"/>
      <c r="AC29" s="125"/>
      <c r="AD29" s="125"/>
      <c r="AE29" s="125"/>
      <c r="AF29" s="125"/>
      <c r="AG29" s="125"/>
      <c r="AH29" s="125"/>
      <c r="AI29" s="125"/>
      <c r="AJ29" s="125"/>
      <c r="AK29" s="125"/>
    </row>
    <row r="30" spans="1:37" ht="15.75" x14ac:dyDescent="0.25">
      <c r="A30" s="5" t="s">
        <v>33</v>
      </c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</row>
    <row r="31" spans="1:37" x14ac:dyDescent="0.25">
      <c r="A31" s="126"/>
      <c r="B31" s="126"/>
      <c r="C31" s="126"/>
      <c r="D31" s="126"/>
      <c r="E31" s="126"/>
      <c r="F31" s="126"/>
      <c r="G31" s="126"/>
      <c r="H31" s="126"/>
      <c r="I31" s="126"/>
      <c r="J31" s="126"/>
      <c r="K31" s="126"/>
      <c r="L31" s="126"/>
      <c r="M31" s="126"/>
      <c r="N31" s="126"/>
      <c r="O31" s="126"/>
      <c r="P31" s="126"/>
      <c r="Q31" s="126"/>
      <c r="R31" s="126"/>
      <c r="S31" s="126"/>
      <c r="T31" s="126"/>
      <c r="U31" s="126"/>
      <c r="V31" s="126"/>
      <c r="W31" s="126"/>
      <c r="X31" s="126"/>
      <c r="Y31" s="126"/>
      <c r="Z31" s="126"/>
      <c r="AA31" s="126"/>
      <c r="AB31" s="126"/>
      <c r="AC31" s="126"/>
      <c r="AD31" s="126"/>
      <c r="AE31" s="126"/>
      <c r="AF31" s="126"/>
      <c r="AG31" s="126"/>
      <c r="AH31" s="126"/>
      <c r="AI31" s="126"/>
      <c r="AJ31" s="126"/>
      <c r="AK31" s="126"/>
    </row>
    <row r="32" spans="1:37" x14ac:dyDescent="0.25">
      <c r="A32" s="127" t="s">
        <v>20</v>
      </c>
      <c r="B32" s="8" t="s">
        <v>2</v>
      </c>
      <c r="C32" s="8"/>
      <c r="D32" s="8"/>
      <c r="E32" s="128" t="s">
        <v>3</v>
      </c>
      <c r="F32" s="129"/>
      <c r="G32" s="129"/>
      <c r="H32" s="128" t="s">
        <v>4</v>
      </c>
      <c r="I32" s="129"/>
      <c r="J32" s="130"/>
      <c r="K32" s="128" t="s">
        <v>5</v>
      </c>
      <c r="L32" s="129"/>
      <c r="M32" s="130"/>
      <c r="N32" s="128" t="s">
        <v>6</v>
      </c>
      <c r="O32" s="129"/>
      <c r="P32" s="130"/>
      <c r="Q32" s="9" t="s">
        <v>7</v>
      </c>
      <c r="R32" s="10"/>
      <c r="S32" s="11"/>
      <c r="T32" s="9" t="s">
        <v>8</v>
      </c>
      <c r="U32" s="10"/>
      <c r="V32" s="11"/>
      <c r="W32" s="9" t="s">
        <v>9</v>
      </c>
      <c r="X32" s="10"/>
      <c r="Y32" s="11"/>
      <c r="Z32" s="9" t="s">
        <v>10</v>
      </c>
      <c r="AA32" s="10"/>
      <c r="AB32" s="11"/>
      <c r="AC32" s="9" t="s">
        <v>11</v>
      </c>
      <c r="AD32" s="10"/>
      <c r="AE32" s="11"/>
      <c r="AF32" s="8" t="s">
        <v>12</v>
      </c>
      <c r="AG32" s="8"/>
      <c r="AH32" s="8"/>
      <c r="AI32" s="131" t="s">
        <v>23</v>
      </c>
      <c r="AJ32" s="12" t="s">
        <v>13</v>
      </c>
      <c r="AK32" s="12"/>
    </row>
    <row r="33" spans="1:37" x14ac:dyDescent="0.25">
      <c r="A33" s="132" t="s">
        <v>34</v>
      </c>
      <c r="B33" s="133">
        <f>SUM(B34:D41)</f>
        <v>291683.03000000003</v>
      </c>
      <c r="C33" s="133"/>
      <c r="D33" s="133"/>
      <c r="E33" s="134">
        <f>SUM(E34:G41)</f>
        <v>16540.830000000002</v>
      </c>
      <c r="F33" s="135"/>
      <c r="G33" s="136"/>
      <c r="H33" s="134">
        <f>SUM(H34:J41)</f>
        <v>9994.66</v>
      </c>
      <c r="I33" s="135"/>
      <c r="J33" s="136"/>
      <c r="K33" s="134">
        <f>SUM(K34:M41)</f>
        <v>22394.66</v>
      </c>
      <c r="L33" s="135"/>
      <c r="M33" s="136"/>
      <c r="N33" s="134">
        <f>SUM(N34:P41)</f>
        <v>20217.91</v>
      </c>
      <c r="O33" s="135"/>
      <c r="P33" s="136"/>
      <c r="Q33" s="134">
        <f>SUM(Q34:S41)</f>
        <v>11771.41</v>
      </c>
      <c r="R33" s="135"/>
      <c r="S33" s="136"/>
      <c r="T33" s="134">
        <f>SUM(T34:V41)</f>
        <v>15994.66</v>
      </c>
      <c r="U33" s="135"/>
      <c r="V33" s="136"/>
      <c r="W33" s="134">
        <f>SUM(W34:Y41)</f>
        <v>16187.58</v>
      </c>
      <c r="X33" s="135"/>
      <c r="Y33" s="136"/>
      <c r="Z33" s="134">
        <f>SUM(Z34:AB41)</f>
        <v>15994.66</v>
      </c>
      <c r="AA33" s="135"/>
      <c r="AB33" s="136"/>
      <c r="AC33" s="134">
        <f>SUM(AC34:AE41)</f>
        <v>16457.16</v>
      </c>
      <c r="AD33" s="135"/>
      <c r="AE33" s="136"/>
      <c r="AF33" s="133">
        <f>SUM(AF34:AH41)</f>
        <v>145553.53</v>
      </c>
      <c r="AG33" s="133"/>
      <c r="AH33" s="133"/>
      <c r="AI33" s="137">
        <f>AF33/AF103</f>
        <v>0.30468659415894694</v>
      </c>
      <c r="AJ33" s="138">
        <f>SUM(AJ34:AK41)</f>
        <v>437236.56</v>
      </c>
      <c r="AK33" s="138"/>
    </row>
    <row r="34" spans="1:37" x14ac:dyDescent="0.25">
      <c r="A34" s="139" t="s">
        <v>35</v>
      </c>
      <c r="B34" s="140">
        <f>72200.64</f>
        <v>72200.639999999999</v>
      </c>
      <c r="C34" s="140"/>
      <c r="D34" s="140"/>
      <c r="E34" s="23">
        <v>0</v>
      </c>
      <c r="F34" s="24"/>
      <c r="G34" s="25"/>
      <c r="H34" s="23">
        <v>0</v>
      </c>
      <c r="I34" s="24"/>
      <c r="J34" s="25"/>
      <c r="K34" s="23">
        <v>0</v>
      </c>
      <c r="L34" s="24"/>
      <c r="M34" s="25"/>
      <c r="N34" s="23">
        <v>0</v>
      </c>
      <c r="O34" s="24"/>
      <c r="P34" s="25"/>
      <c r="Q34" s="23">
        <v>0</v>
      </c>
      <c r="R34" s="24"/>
      <c r="S34" s="25"/>
      <c r="T34" s="23">
        <v>0</v>
      </c>
      <c r="U34" s="24"/>
      <c r="V34" s="25"/>
      <c r="W34" s="23">
        <v>0</v>
      </c>
      <c r="X34" s="24"/>
      <c r="Y34" s="25"/>
      <c r="Z34" s="23">
        <v>0</v>
      </c>
      <c r="AA34" s="24"/>
      <c r="AB34" s="25"/>
      <c r="AC34" s="23">
        <v>0</v>
      </c>
      <c r="AD34" s="24"/>
      <c r="AE34" s="25"/>
      <c r="AF34" s="140">
        <f>0+E34+H34+K34+N34+Q34+T34+W34+Z34+AC34</f>
        <v>0</v>
      </c>
      <c r="AG34" s="140"/>
      <c r="AH34" s="140"/>
      <c r="AI34" s="141">
        <f>AF34/AF103</f>
        <v>0</v>
      </c>
      <c r="AJ34" s="142">
        <f>72200.64+AF34</f>
        <v>72200.639999999999</v>
      </c>
      <c r="AK34" s="142"/>
    </row>
    <row r="35" spans="1:37" x14ac:dyDescent="0.25">
      <c r="A35" s="143" t="s">
        <v>36</v>
      </c>
      <c r="B35" s="140">
        <v>36000</v>
      </c>
      <c r="C35" s="140"/>
      <c r="D35" s="140"/>
      <c r="E35" s="144">
        <f>6000</f>
        <v>6000</v>
      </c>
      <c r="F35" s="145"/>
      <c r="G35" s="146"/>
      <c r="H35" s="23">
        <v>0</v>
      </c>
      <c r="I35" s="24"/>
      <c r="J35" s="25"/>
      <c r="K35" s="23">
        <f>6000+6000</f>
        <v>12000</v>
      </c>
      <c r="L35" s="24"/>
      <c r="M35" s="25"/>
      <c r="N35" s="23">
        <f>6000</f>
        <v>6000</v>
      </c>
      <c r="O35" s="24"/>
      <c r="P35" s="25"/>
      <c r="Q35" s="23">
        <f>6000</f>
        <v>6000</v>
      </c>
      <c r="R35" s="24"/>
      <c r="S35" s="25"/>
      <c r="T35" s="23">
        <f>6000</f>
        <v>6000</v>
      </c>
      <c r="U35" s="24"/>
      <c r="V35" s="25"/>
      <c r="W35" s="23">
        <f>6000</f>
        <v>6000</v>
      </c>
      <c r="X35" s="24"/>
      <c r="Y35" s="25"/>
      <c r="Z35" s="23">
        <f>6000</f>
        <v>6000</v>
      </c>
      <c r="AA35" s="24"/>
      <c r="AB35" s="25"/>
      <c r="AC35" s="23">
        <f>6000</f>
        <v>6000</v>
      </c>
      <c r="AD35" s="24"/>
      <c r="AE35" s="25"/>
      <c r="AF35" s="140">
        <f t="shared" ref="AF35:AF41" si="0">0+E35+H35+K35+N35+Q35+T35+W35+Z35+AC35</f>
        <v>54000</v>
      </c>
      <c r="AG35" s="140"/>
      <c r="AH35" s="140"/>
      <c r="AI35" s="141">
        <f>AF35/AF103</f>
        <v>0.11303797362099796</v>
      </c>
      <c r="AJ35" s="142">
        <f>36000+AF35</f>
        <v>90000</v>
      </c>
      <c r="AK35" s="142"/>
    </row>
    <row r="36" spans="1:37" x14ac:dyDescent="0.25">
      <c r="A36" s="139" t="s">
        <v>37</v>
      </c>
      <c r="B36" s="140">
        <v>41057.96</v>
      </c>
      <c r="C36" s="140"/>
      <c r="D36" s="140"/>
      <c r="E36" s="23">
        <f>1260</f>
        <v>1260</v>
      </c>
      <c r="F36" s="24"/>
      <c r="G36" s="25"/>
      <c r="H36" s="23">
        <f>925</f>
        <v>925</v>
      </c>
      <c r="I36" s="24"/>
      <c r="J36" s="25"/>
      <c r="K36" s="23">
        <f>1325</f>
        <v>1325</v>
      </c>
      <c r="L36" s="24"/>
      <c r="M36" s="25"/>
      <c r="N36" s="23">
        <f>925</f>
        <v>925</v>
      </c>
      <c r="O36" s="24"/>
      <c r="P36" s="25"/>
      <c r="Q36" s="23">
        <f>925</f>
        <v>925</v>
      </c>
      <c r="R36" s="24"/>
      <c r="S36" s="25"/>
      <c r="T36" s="23">
        <f>925</f>
        <v>925</v>
      </c>
      <c r="U36" s="24"/>
      <c r="V36" s="25"/>
      <c r="W36" s="23">
        <f>1117.92</f>
        <v>1117.92</v>
      </c>
      <c r="X36" s="24"/>
      <c r="Y36" s="25"/>
      <c r="Z36" s="23">
        <f>925</f>
        <v>925</v>
      </c>
      <c r="AA36" s="24"/>
      <c r="AB36" s="25"/>
      <c r="AC36" s="23">
        <f>1387.5</f>
        <v>1387.5</v>
      </c>
      <c r="AD36" s="24"/>
      <c r="AE36" s="25"/>
      <c r="AF36" s="140">
        <f t="shared" si="0"/>
        <v>9715.42</v>
      </c>
      <c r="AG36" s="140"/>
      <c r="AH36" s="140"/>
      <c r="AI36" s="141">
        <f>AF36/AF103</f>
        <v>2.0337247956979925E-2</v>
      </c>
      <c r="AJ36" s="142">
        <f>41057.96+AF36</f>
        <v>50773.38</v>
      </c>
      <c r="AK36" s="142"/>
    </row>
    <row r="37" spans="1:37" x14ac:dyDescent="0.25">
      <c r="A37" s="139" t="s">
        <v>38</v>
      </c>
      <c r="B37" s="140">
        <v>97597.28</v>
      </c>
      <c r="C37" s="140"/>
      <c r="D37" s="140"/>
      <c r="E37" s="23">
        <v>4846.41</v>
      </c>
      <c r="F37" s="24"/>
      <c r="G37" s="25"/>
      <c r="H37" s="23">
        <f>4846.41</f>
        <v>4846.41</v>
      </c>
      <c r="I37" s="24"/>
      <c r="J37" s="25"/>
      <c r="K37" s="23">
        <f>4846.41</f>
        <v>4846.41</v>
      </c>
      <c r="L37" s="24"/>
      <c r="M37" s="25"/>
      <c r="N37" s="23">
        <f>4846.41</f>
        <v>4846.41</v>
      </c>
      <c r="O37" s="24"/>
      <c r="P37" s="25"/>
      <c r="Q37" s="23">
        <f>4846.41</f>
        <v>4846.41</v>
      </c>
      <c r="R37" s="24"/>
      <c r="S37" s="25"/>
      <c r="T37" s="23">
        <f>4846.41</f>
        <v>4846.41</v>
      </c>
      <c r="U37" s="24"/>
      <c r="V37" s="25"/>
      <c r="W37" s="23">
        <f>4846.41</f>
        <v>4846.41</v>
      </c>
      <c r="X37" s="24"/>
      <c r="Y37" s="25"/>
      <c r="Z37" s="23">
        <f>4846.41</f>
        <v>4846.41</v>
      </c>
      <c r="AA37" s="24"/>
      <c r="AB37" s="25"/>
      <c r="AC37" s="23">
        <f>4846.41</f>
        <v>4846.41</v>
      </c>
      <c r="AD37" s="24"/>
      <c r="AE37" s="25"/>
      <c r="AF37" s="140">
        <f t="shared" si="0"/>
        <v>43617.69</v>
      </c>
      <c r="AG37" s="140"/>
      <c r="AH37" s="140"/>
      <c r="AI37" s="141">
        <f>AF37/AF103</f>
        <v>9.1304727622756793E-2</v>
      </c>
      <c r="AJ37" s="142">
        <f>97597.28+AF37</f>
        <v>141214.97</v>
      </c>
      <c r="AK37" s="142"/>
    </row>
    <row r="38" spans="1:37" x14ac:dyDescent="0.25">
      <c r="A38" s="139" t="s">
        <v>39</v>
      </c>
      <c r="B38" s="140">
        <v>26669.75</v>
      </c>
      <c r="C38" s="140"/>
      <c r="D38" s="140"/>
      <c r="E38" s="23">
        <v>4434.42</v>
      </c>
      <c r="F38" s="24"/>
      <c r="G38" s="25"/>
      <c r="H38" s="23">
        <f>4223.25</f>
        <v>4223.25</v>
      </c>
      <c r="I38" s="24"/>
      <c r="J38" s="25"/>
      <c r="K38" s="23">
        <f>4223.25</f>
        <v>4223.25</v>
      </c>
      <c r="L38" s="24"/>
      <c r="M38" s="25"/>
      <c r="N38" s="23">
        <f>4223.25+4223.25</f>
        <v>8446.5</v>
      </c>
      <c r="O38" s="24"/>
      <c r="P38" s="25"/>
      <c r="Q38" s="23">
        <v>0</v>
      </c>
      <c r="R38" s="24"/>
      <c r="S38" s="25"/>
      <c r="T38" s="23">
        <f>4223.25</f>
        <v>4223.25</v>
      </c>
      <c r="U38" s="24"/>
      <c r="V38" s="25"/>
      <c r="W38" s="23">
        <f>4223.25</f>
        <v>4223.25</v>
      </c>
      <c r="X38" s="24"/>
      <c r="Y38" s="25"/>
      <c r="Z38" s="23">
        <f>4223.25</f>
        <v>4223.25</v>
      </c>
      <c r="AA38" s="24"/>
      <c r="AB38" s="25"/>
      <c r="AC38" s="23">
        <f>4223.25</f>
        <v>4223.25</v>
      </c>
      <c r="AD38" s="24"/>
      <c r="AE38" s="25"/>
      <c r="AF38" s="140">
        <f t="shared" si="0"/>
        <v>38220.42</v>
      </c>
      <c r="AG38" s="140"/>
      <c r="AH38" s="140"/>
      <c r="AI38" s="141">
        <f>AF38/AF103</f>
        <v>8.0006644958212275E-2</v>
      </c>
      <c r="AJ38" s="142">
        <f>26669.75+AF38</f>
        <v>64890.17</v>
      </c>
      <c r="AK38" s="142"/>
    </row>
    <row r="39" spans="1:37" x14ac:dyDescent="0.25">
      <c r="A39" s="139" t="s">
        <v>40</v>
      </c>
      <c r="B39" s="140">
        <f>8289</f>
        <v>8289</v>
      </c>
      <c r="C39" s="140"/>
      <c r="D39" s="140"/>
      <c r="E39" s="23">
        <v>0</v>
      </c>
      <c r="F39" s="24"/>
      <c r="G39" s="25"/>
      <c r="H39" s="23">
        <v>0</v>
      </c>
      <c r="I39" s="24"/>
      <c r="J39" s="25"/>
      <c r="K39" s="23">
        <v>0</v>
      </c>
      <c r="L39" s="24"/>
      <c r="M39" s="25"/>
      <c r="N39" s="23">
        <v>0</v>
      </c>
      <c r="O39" s="24"/>
      <c r="P39" s="25"/>
      <c r="Q39" s="23">
        <v>0</v>
      </c>
      <c r="R39" s="24"/>
      <c r="S39" s="25"/>
      <c r="T39" s="23">
        <v>0</v>
      </c>
      <c r="U39" s="24"/>
      <c r="V39" s="25"/>
      <c r="W39" s="23">
        <v>0</v>
      </c>
      <c r="X39" s="24"/>
      <c r="Y39" s="25"/>
      <c r="Z39" s="23">
        <v>0</v>
      </c>
      <c r="AA39" s="24"/>
      <c r="AB39" s="25"/>
      <c r="AC39" s="23">
        <v>0</v>
      </c>
      <c r="AD39" s="24"/>
      <c r="AE39" s="25"/>
      <c r="AF39" s="140">
        <f t="shared" si="0"/>
        <v>0</v>
      </c>
      <c r="AG39" s="140"/>
      <c r="AH39" s="140"/>
      <c r="AI39" s="141">
        <f>AF39/AF103</f>
        <v>0</v>
      </c>
      <c r="AJ39" s="142">
        <f>8289+AF39</f>
        <v>8289</v>
      </c>
      <c r="AK39" s="142"/>
    </row>
    <row r="40" spans="1:37" x14ac:dyDescent="0.25">
      <c r="A40" s="139" t="s">
        <v>41</v>
      </c>
      <c r="B40" s="140">
        <f>7863.4</f>
        <v>7863.4</v>
      </c>
      <c r="C40" s="140"/>
      <c r="D40" s="140"/>
      <c r="E40" s="23">
        <v>0</v>
      </c>
      <c r="F40" s="24"/>
      <c r="G40" s="25"/>
      <c r="H40" s="23">
        <v>0</v>
      </c>
      <c r="I40" s="24"/>
      <c r="J40" s="25"/>
      <c r="K40" s="23">
        <v>0</v>
      </c>
      <c r="L40" s="24"/>
      <c r="M40" s="25"/>
      <c r="N40" s="23">
        <v>0</v>
      </c>
      <c r="O40" s="24"/>
      <c r="P40" s="25"/>
      <c r="Q40" s="23">
        <v>0</v>
      </c>
      <c r="R40" s="24"/>
      <c r="S40" s="25"/>
      <c r="T40" s="23">
        <v>0</v>
      </c>
      <c r="U40" s="24"/>
      <c r="V40" s="25"/>
      <c r="W40" s="23">
        <v>0</v>
      </c>
      <c r="X40" s="24"/>
      <c r="Y40" s="25"/>
      <c r="Z40" s="23">
        <v>0</v>
      </c>
      <c r="AA40" s="24"/>
      <c r="AB40" s="25"/>
      <c r="AC40" s="23">
        <v>0</v>
      </c>
      <c r="AD40" s="24"/>
      <c r="AE40" s="25"/>
      <c r="AF40" s="140">
        <f t="shared" si="0"/>
        <v>0</v>
      </c>
      <c r="AG40" s="140"/>
      <c r="AH40" s="140"/>
      <c r="AI40" s="141">
        <f>AF40/AF103</f>
        <v>0</v>
      </c>
      <c r="AJ40" s="142">
        <f>7863.4+AF40</f>
        <v>7863.4</v>
      </c>
      <c r="AK40" s="142"/>
    </row>
    <row r="41" spans="1:37" x14ac:dyDescent="0.25">
      <c r="A41" s="139" t="s">
        <v>42</v>
      </c>
      <c r="B41" s="140">
        <f>2005</f>
        <v>2005</v>
      </c>
      <c r="C41" s="140"/>
      <c r="D41" s="140"/>
      <c r="E41" s="23">
        <v>0</v>
      </c>
      <c r="F41" s="24"/>
      <c r="G41" s="25"/>
      <c r="H41" s="23">
        <v>0</v>
      </c>
      <c r="I41" s="24"/>
      <c r="J41" s="25"/>
      <c r="K41" s="23">
        <v>0</v>
      </c>
      <c r="L41" s="24"/>
      <c r="M41" s="25"/>
      <c r="N41" s="23">
        <v>0</v>
      </c>
      <c r="O41" s="24"/>
      <c r="P41" s="25"/>
      <c r="Q41" s="23">
        <v>0</v>
      </c>
      <c r="R41" s="24"/>
      <c r="S41" s="25"/>
      <c r="T41" s="23">
        <v>0</v>
      </c>
      <c r="U41" s="24"/>
      <c r="V41" s="25"/>
      <c r="W41" s="23">
        <v>0</v>
      </c>
      <c r="X41" s="24"/>
      <c r="Y41" s="25"/>
      <c r="Z41" s="23">
        <v>0</v>
      </c>
      <c r="AA41" s="24"/>
      <c r="AB41" s="25"/>
      <c r="AC41" s="23">
        <v>0</v>
      </c>
      <c r="AD41" s="24"/>
      <c r="AE41" s="25"/>
      <c r="AF41" s="140">
        <f t="shared" si="0"/>
        <v>0</v>
      </c>
      <c r="AG41" s="140"/>
      <c r="AH41" s="140"/>
      <c r="AI41" s="141">
        <f>AF41/AF103</f>
        <v>0</v>
      </c>
      <c r="AJ41" s="142">
        <f>2005+AF41</f>
        <v>2005</v>
      </c>
      <c r="AK41" s="142"/>
    </row>
    <row r="42" spans="1:37" x14ac:dyDescent="0.25">
      <c r="A42" s="132" t="s">
        <v>43</v>
      </c>
      <c r="B42" s="133">
        <f>SUM(B43:D45)</f>
        <v>380413.85</v>
      </c>
      <c r="C42" s="133"/>
      <c r="D42" s="133"/>
      <c r="E42" s="133">
        <f>SUM(E43:G45)</f>
        <v>0</v>
      </c>
      <c r="F42" s="133"/>
      <c r="G42" s="133"/>
      <c r="H42" s="133">
        <f>SUM(H43:J45)</f>
        <v>0</v>
      </c>
      <c r="I42" s="133"/>
      <c r="J42" s="133"/>
      <c r="K42" s="133">
        <f>SUM(K43:M45)</f>
        <v>0</v>
      </c>
      <c r="L42" s="133"/>
      <c r="M42" s="133"/>
      <c r="N42" s="133">
        <f>SUM(N43:P45)</f>
        <v>25000</v>
      </c>
      <c r="O42" s="133"/>
      <c r="P42" s="133"/>
      <c r="Q42" s="133">
        <f>SUM(Q43:S45)</f>
        <v>25000</v>
      </c>
      <c r="R42" s="133"/>
      <c r="S42" s="133"/>
      <c r="T42" s="133">
        <f>SUM(T43:V45)</f>
        <v>40000</v>
      </c>
      <c r="U42" s="133"/>
      <c r="V42" s="133"/>
      <c r="W42" s="133">
        <f>SUM(W43:Y45)</f>
        <v>0</v>
      </c>
      <c r="X42" s="133"/>
      <c r="Y42" s="133"/>
      <c r="Z42" s="133">
        <f>SUM(Z43:AB45)</f>
        <v>0</v>
      </c>
      <c r="AA42" s="133"/>
      <c r="AB42" s="133"/>
      <c r="AC42" s="133">
        <f>SUM(AC43:AE45)</f>
        <v>0</v>
      </c>
      <c r="AD42" s="133"/>
      <c r="AE42" s="133"/>
      <c r="AF42" s="133">
        <f>SUM(AF43:AH45)</f>
        <v>90000</v>
      </c>
      <c r="AG42" s="133"/>
      <c r="AH42" s="133"/>
      <c r="AI42" s="137">
        <f>AF42/AF103</f>
        <v>0.18839662270166327</v>
      </c>
      <c r="AJ42" s="138">
        <f>SUM(AJ43:AK45)</f>
        <v>470413.85</v>
      </c>
      <c r="AK42" s="138"/>
    </row>
    <row r="43" spans="1:37" x14ac:dyDescent="0.25">
      <c r="A43" s="139" t="s">
        <v>44</v>
      </c>
      <c r="B43" s="140">
        <f>214077.5</f>
        <v>214077.5</v>
      </c>
      <c r="C43" s="140"/>
      <c r="D43" s="140"/>
      <c r="E43" s="23">
        <v>0</v>
      </c>
      <c r="F43" s="24"/>
      <c r="G43" s="25"/>
      <c r="H43" s="23">
        <v>0</v>
      </c>
      <c r="I43" s="24"/>
      <c r="J43" s="25"/>
      <c r="K43" s="23">
        <v>0</v>
      </c>
      <c r="L43" s="24"/>
      <c r="M43" s="25"/>
      <c r="N43" s="23">
        <f>25000</f>
        <v>25000</v>
      </c>
      <c r="O43" s="24"/>
      <c r="P43" s="25"/>
      <c r="Q43" s="23">
        <f>25000</f>
        <v>25000</v>
      </c>
      <c r="R43" s="24"/>
      <c r="S43" s="25"/>
      <c r="T43" s="23">
        <f>40000</f>
        <v>40000</v>
      </c>
      <c r="U43" s="24"/>
      <c r="V43" s="25"/>
      <c r="W43" s="23">
        <v>0</v>
      </c>
      <c r="X43" s="24"/>
      <c r="Y43" s="25"/>
      <c r="Z43" s="23">
        <v>0</v>
      </c>
      <c r="AA43" s="24"/>
      <c r="AB43" s="25"/>
      <c r="AC43" s="23">
        <v>0</v>
      </c>
      <c r="AD43" s="24"/>
      <c r="AE43" s="25"/>
      <c r="AF43" s="140">
        <f>E43+H43+K43+N43+Q43+T43+W43+Z43+AC43</f>
        <v>90000</v>
      </c>
      <c r="AG43" s="140"/>
      <c r="AH43" s="140"/>
      <c r="AI43" s="141">
        <f>AF43/AF103</f>
        <v>0.18839662270166327</v>
      </c>
      <c r="AJ43" s="142">
        <f>214077.5+AF43</f>
        <v>304077.5</v>
      </c>
      <c r="AK43" s="142"/>
    </row>
    <row r="44" spans="1:37" x14ac:dyDescent="0.25">
      <c r="A44" s="139" t="s">
        <v>45</v>
      </c>
      <c r="B44" s="140">
        <f>151996.63</f>
        <v>151996.63</v>
      </c>
      <c r="C44" s="140"/>
      <c r="D44" s="140"/>
      <c r="E44" s="23">
        <v>0</v>
      </c>
      <c r="F44" s="24"/>
      <c r="G44" s="25"/>
      <c r="H44" s="23">
        <v>0</v>
      </c>
      <c r="I44" s="24"/>
      <c r="J44" s="25"/>
      <c r="K44" s="23">
        <v>0</v>
      </c>
      <c r="L44" s="24"/>
      <c r="M44" s="25"/>
      <c r="N44" s="23">
        <v>0</v>
      </c>
      <c r="O44" s="24"/>
      <c r="P44" s="25"/>
      <c r="Q44" s="23">
        <v>0</v>
      </c>
      <c r="R44" s="24"/>
      <c r="S44" s="25"/>
      <c r="T44" s="23">
        <v>0</v>
      </c>
      <c r="U44" s="24"/>
      <c r="V44" s="25"/>
      <c r="W44" s="23">
        <v>0</v>
      </c>
      <c r="X44" s="24"/>
      <c r="Y44" s="25"/>
      <c r="Z44" s="23">
        <v>0</v>
      </c>
      <c r="AA44" s="24"/>
      <c r="AB44" s="25"/>
      <c r="AC44" s="23">
        <v>0</v>
      </c>
      <c r="AD44" s="24"/>
      <c r="AE44" s="25"/>
      <c r="AF44" s="140">
        <f t="shared" ref="AF44:AF45" si="1">E44+H44+K44+N44+Q44+T44+W44+Z44+AC44</f>
        <v>0</v>
      </c>
      <c r="AG44" s="140"/>
      <c r="AH44" s="140"/>
      <c r="AI44" s="141">
        <f>AF44/AF103</f>
        <v>0</v>
      </c>
      <c r="AJ44" s="142">
        <f>151996.63+AF44</f>
        <v>151996.63</v>
      </c>
      <c r="AK44" s="142"/>
    </row>
    <row r="45" spans="1:37" x14ac:dyDescent="0.25">
      <c r="A45" s="139" t="s">
        <v>46</v>
      </c>
      <c r="B45" s="31">
        <v>14339.72</v>
      </c>
      <c r="C45" s="32"/>
      <c r="D45" s="33"/>
      <c r="E45" s="144">
        <v>0</v>
      </c>
      <c r="F45" s="145"/>
      <c r="G45" s="146"/>
      <c r="H45" s="23">
        <v>0</v>
      </c>
      <c r="I45" s="24"/>
      <c r="J45" s="25"/>
      <c r="K45" s="23">
        <v>0</v>
      </c>
      <c r="L45" s="24"/>
      <c r="M45" s="25"/>
      <c r="N45" s="23">
        <v>0</v>
      </c>
      <c r="O45" s="24"/>
      <c r="P45" s="25"/>
      <c r="Q45" s="23">
        <v>0</v>
      </c>
      <c r="R45" s="24"/>
      <c r="S45" s="25"/>
      <c r="T45" s="23">
        <v>0</v>
      </c>
      <c r="U45" s="24"/>
      <c r="V45" s="25"/>
      <c r="W45" s="23">
        <v>0</v>
      </c>
      <c r="X45" s="24"/>
      <c r="Y45" s="25"/>
      <c r="Z45" s="23">
        <v>0</v>
      </c>
      <c r="AA45" s="24"/>
      <c r="AB45" s="25"/>
      <c r="AC45" s="23">
        <v>0</v>
      </c>
      <c r="AD45" s="24"/>
      <c r="AE45" s="25"/>
      <c r="AF45" s="140">
        <f t="shared" si="1"/>
        <v>0</v>
      </c>
      <c r="AG45" s="140"/>
      <c r="AH45" s="140"/>
      <c r="AI45" s="141">
        <f>AF45/AF104</f>
        <v>0</v>
      </c>
      <c r="AJ45" s="142">
        <f>14339.72+AF45</f>
        <v>14339.72</v>
      </c>
      <c r="AK45" s="142"/>
    </row>
    <row r="46" spans="1:37" x14ac:dyDescent="0.25">
      <c r="A46" s="132" t="s">
        <v>47</v>
      </c>
      <c r="B46" s="133">
        <f>SUM(B47:D49)</f>
        <v>77211.740000000005</v>
      </c>
      <c r="C46" s="133"/>
      <c r="D46" s="133"/>
      <c r="E46" s="133">
        <f>SUM(E47:G49)</f>
        <v>0</v>
      </c>
      <c r="F46" s="133"/>
      <c r="G46" s="133"/>
      <c r="H46" s="133">
        <f>SUM(H47:J49)</f>
        <v>0</v>
      </c>
      <c r="I46" s="133"/>
      <c r="J46" s="133"/>
      <c r="K46" s="133">
        <f>SUM(K47:M49)</f>
        <v>0</v>
      </c>
      <c r="L46" s="133"/>
      <c r="M46" s="133"/>
      <c r="N46" s="133">
        <f>SUM(N47:P49)</f>
        <v>0</v>
      </c>
      <c r="O46" s="133"/>
      <c r="P46" s="133"/>
      <c r="Q46" s="133">
        <f>SUM(Q47:S49)</f>
        <v>0</v>
      </c>
      <c r="R46" s="133"/>
      <c r="S46" s="133"/>
      <c r="T46" s="133">
        <f>SUM(T47:V49)</f>
        <v>0</v>
      </c>
      <c r="U46" s="133"/>
      <c r="V46" s="133"/>
      <c r="W46" s="133">
        <f>SUM(W47:Y49)</f>
        <v>0</v>
      </c>
      <c r="X46" s="133"/>
      <c r="Y46" s="133"/>
      <c r="Z46" s="133">
        <f>SUM(Z47:AB49)</f>
        <v>19.350000000000001</v>
      </c>
      <c r="AA46" s="133"/>
      <c r="AB46" s="133"/>
      <c r="AC46" s="133">
        <f>SUM(AC47:AE49)</f>
        <v>585.52</v>
      </c>
      <c r="AD46" s="133"/>
      <c r="AE46" s="133"/>
      <c r="AF46" s="133">
        <f>SUM(AF47:AH49)</f>
        <v>604.87</v>
      </c>
      <c r="AG46" s="133"/>
      <c r="AH46" s="133"/>
      <c r="AI46" s="137">
        <f>AF46/AF103</f>
        <v>1.266171835261723E-3</v>
      </c>
      <c r="AJ46" s="138">
        <f>SUM(AJ47:AK49)</f>
        <v>77816.61</v>
      </c>
      <c r="AK46" s="138"/>
    </row>
    <row r="47" spans="1:37" x14ac:dyDescent="0.25">
      <c r="A47" s="139" t="s">
        <v>48</v>
      </c>
      <c r="B47" s="147">
        <v>3414.91</v>
      </c>
      <c r="C47" s="147"/>
      <c r="D47" s="147"/>
      <c r="E47" s="23">
        <v>0</v>
      </c>
      <c r="F47" s="24"/>
      <c r="G47" s="25"/>
      <c r="H47" s="23">
        <v>0</v>
      </c>
      <c r="I47" s="24"/>
      <c r="J47" s="25"/>
      <c r="K47" s="23">
        <v>0</v>
      </c>
      <c r="L47" s="24"/>
      <c r="M47" s="25"/>
      <c r="N47" s="23">
        <v>0</v>
      </c>
      <c r="O47" s="24"/>
      <c r="P47" s="25"/>
      <c r="Q47" s="23">
        <v>0</v>
      </c>
      <c r="R47" s="24"/>
      <c r="S47" s="25"/>
      <c r="T47" s="23">
        <v>0</v>
      </c>
      <c r="U47" s="24"/>
      <c r="V47" s="25"/>
      <c r="W47" s="23">
        <v>0</v>
      </c>
      <c r="X47" s="24"/>
      <c r="Y47" s="25"/>
      <c r="Z47" s="23">
        <v>0</v>
      </c>
      <c r="AA47" s="24"/>
      <c r="AB47" s="25"/>
      <c r="AC47" s="23">
        <f>585.52</f>
        <v>585.52</v>
      </c>
      <c r="AD47" s="24"/>
      <c r="AE47" s="25"/>
      <c r="AF47" s="140">
        <f>0+E47+H47+K47+N47+Q47+T47+W47+Z47+AC47</f>
        <v>585.52</v>
      </c>
      <c r="AG47" s="140"/>
      <c r="AH47" s="140"/>
      <c r="AI47" s="141">
        <f>AF47/AF103</f>
        <v>1.2256665613808652E-3</v>
      </c>
      <c r="AJ47" s="142">
        <f>3414.91+AF47</f>
        <v>4000.43</v>
      </c>
      <c r="AK47" s="142"/>
    </row>
    <row r="48" spans="1:37" x14ac:dyDescent="0.25">
      <c r="A48" s="139" t="s">
        <v>49</v>
      </c>
      <c r="B48" s="140">
        <v>11615.83</v>
      </c>
      <c r="C48" s="140"/>
      <c r="D48" s="140"/>
      <c r="E48" s="23">
        <v>0</v>
      </c>
      <c r="F48" s="24"/>
      <c r="G48" s="25"/>
      <c r="H48" s="23">
        <v>0</v>
      </c>
      <c r="I48" s="24"/>
      <c r="J48" s="25"/>
      <c r="K48" s="23">
        <v>0</v>
      </c>
      <c r="L48" s="24"/>
      <c r="M48" s="25"/>
      <c r="N48" s="23">
        <v>0</v>
      </c>
      <c r="O48" s="24"/>
      <c r="P48" s="25"/>
      <c r="Q48" s="23">
        <v>0</v>
      </c>
      <c r="R48" s="24"/>
      <c r="S48" s="25"/>
      <c r="T48" s="23">
        <v>0</v>
      </c>
      <c r="U48" s="24"/>
      <c r="V48" s="25"/>
      <c r="W48" s="23">
        <v>0</v>
      </c>
      <c r="X48" s="24"/>
      <c r="Y48" s="25"/>
      <c r="Z48" s="23">
        <f>19.35</f>
        <v>19.350000000000001</v>
      </c>
      <c r="AA48" s="24"/>
      <c r="AB48" s="25"/>
      <c r="AC48" s="23">
        <v>0</v>
      </c>
      <c r="AD48" s="24"/>
      <c r="AE48" s="25"/>
      <c r="AF48" s="140">
        <f t="shared" ref="AF48:AF49" si="2">0+E48+H48+K48+N48+Q48+T48+W48+Z48+AC48</f>
        <v>19.350000000000001</v>
      </c>
      <c r="AG48" s="140"/>
      <c r="AH48" s="140"/>
      <c r="AI48" s="141">
        <f>AF48/AF103</f>
        <v>4.0505273880857608E-5</v>
      </c>
      <c r="AJ48" s="142">
        <f>11615.83+AF48</f>
        <v>11635.18</v>
      </c>
      <c r="AK48" s="142"/>
    </row>
    <row r="49" spans="1:37" x14ac:dyDescent="0.25">
      <c r="A49" s="139" t="s">
        <v>50</v>
      </c>
      <c r="B49" s="140">
        <v>62181</v>
      </c>
      <c r="C49" s="140"/>
      <c r="D49" s="140"/>
      <c r="E49" s="23">
        <v>0</v>
      </c>
      <c r="F49" s="24"/>
      <c r="G49" s="25"/>
      <c r="H49" s="23">
        <v>0</v>
      </c>
      <c r="I49" s="24"/>
      <c r="J49" s="25"/>
      <c r="K49" s="23">
        <v>0</v>
      </c>
      <c r="L49" s="24"/>
      <c r="M49" s="25"/>
      <c r="N49" s="23">
        <v>0</v>
      </c>
      <c r="O49" s="24"/>
      <c r="P49" s="25"/>
      <c r="Q49" s="23">
        <v>0</v>
      </c>
      <c r="R49" s="24"/>
      <c r="S49" s="25"/>
      <c r="T49" s="23">
        <v>0</v>
      </c>
      <c r="U49" s="24"/>
      <c r="V49" s="25"/>
      <c r="W49" s="23">
        <v>0</v>
      </c>
      <c r="X49" s="24"/>
      <c r="Y49" s="25"/>
      <c r="Z49" s="23">
        <v>0</v>
      </c>
      <c r="AA49" s="24"/>
      <c r="AB49" s="25"/>
      <c r="AC49" s="23">
        <v>0</v>
      </c>
      <c r="AD49" s="24"/>
      <c r="AE49" s="25"/>
      <c r="AF49" s="140">
        <f t="shared" si="2"/>
        <v>0</v>
      </c>
      <c r="AG49" s="140"/>
      <c r="AH49" s="140"/>
      <c r="AI49" s="141">
        <f>AF49/AF103</f>
        <v>0</v>
      </c>
      <c r="AJ49" s="142">
        <f>62181+AF49</f>
        <v>62181</v>
      </c>
      <c r="AK49" s="142"/>
    </row>
    <row r="50" spans="1:37" x14ac:dyDescent="0.25">
      <c r="A50" s="132" t="s">
        <v>51</v>
      </c>
      <c r="B50" s="133">
        <f>SUM(B51:D63)</f>
        <v>241215.44999999998</v>
      </c>
      <c r="C50" s="133"/>
      <c r="D50" s="133"/>
      <c r="E50" s="133">
        <f>SUM(E51:G63)</f>
        <v>3895.7200000000003</v>
      </c>
      <c r="F50" s="133"/>
      <c r="G50" s="133"/>
      <c r="H50" s="133">
        <f>SUM(H51:J63)</f>
        <v>3671.7200000000003</v>
      </c>
      <c r="I50" s="133"/>
      <c r="J50" s="133"/>
      <c r="K50" s="133">
        <f>SUM(K51:M63)</f>
        <v>3677.12</v>
      </c>
      <c r="L50" s="133"/>
      <c r="M50" s="133"/>
      <c r="N50" s="133">
        <f>SUM(N51:P63)</f>
        <v>3721.62</v>
      </c>
      <c r="O50" s="133"/>
      <c r="P50" s="133"/>
      <c r="Q50" s="133">
        <f>SUM(Q51:S63)</f>
        <v>4178.0200000000004</v>
      </c>
      <c r="R50" s="133"/>
      <c r="S50" s="133"/>
      <c r="T50" s="133">
        <f>SUM(T51:V63)</f>
        <v>3677.57</v>
      </c>
      <c r="U50" s="133"/>
      <c r="V50" s="133"/>
      <c r="W50" s="133">
        <f>SUM(W51:Y63)</f>
        <v>3766.07</v>
      </c>
      <c r="X50" s="133"/>
      <c r="Y50" s="133"/>
      <c r="Z50" s="133">
        <f>SUM(Z51:AB63)</f>
        <v>3913.67</v>
      </c>
      <c r="AA50" s="133"/>
      <c r="AB50" s="133"/>
      <c r="AC50" s="133">
        <f>SUM(AC51:AE63)</f>
        <v>4223.72</v>
      </c>
      <c r="AD50" s="133"/>
      <c r="AE50" s="133"/>
      <c r="AF50" s="133">
        <f>SUM(AF51:AH63)</f>
        <v>34725.229999999996</v>
      </c>
      <c r="AG50" s="133"/>
      <c r="AH50" s="133"/>
      <c r="AI50" s="137">
        <f>AF50/AF103</f>
        <v>7.2690178383760864E-2</v>
      </c>
      <c r="AJ50" s="138">
        <f>SUM(AJ51:AK63)</f>
        <v>275940.68</v>
      </c>
      <c r="AK50" s="138"/>
    </row>
    <row r="51" spans="1:37" x14ac:dyDescent="0.25">
      <c r="A51" s="148" t="s">
        <v>52</v>
      </c>
      <c r="B51" s="140">
        <v>28211.279999999999</v>
      </c>
      <c r="C51" s="140"/>
      <c r="D51" s="140"/>
      <c r="E51" s="23">
        <v>0</v>
      </c>
      <c r="F51" s="24"/>
      <c r="G51" s="25"/>
      <c r="H51" s="23">
        <v>0</v>
      </c>
      <c r="I51" s="24"/>
      <c r="J51" s="25"/>
      <c r="K51" s="23">
        <v>0</v>
      </c>
      <c r="L51" s="24"/>
      <c r="M51" s="25"/>
      <c r="N51" s="23">
        <v>0</v>
      </c>
      <c r="O51" s="24"/>
      <c r="P51" s="25"/>
      <c r="Q51" s="23">
        <v>0</v>
      </c>
      <c r="R51" s="24"/>
      <c r="S51" s="25"/>
      <c r="T51" s="23">
        <v>0</v>
      </c>
      <c r="U51" s="24"/>
      <c r="V51" s="25"/>
      <c r="W51" s="23">
        <v>0</v>
      </c>
      <c r="X51" s="24"/>
      <c r="Y51" s="25"/>
      <c r="Z51" s="23">
        <v>0</v>
      </c>
      <c r="AA51" s="24"/>
      <c r="AB51" s="25"/>
      <c r="AC51" s="23">
        <v>0</v>
      </c>
      <c r="AD51" s="24"/>
      <c r="AE51" s="25"/>
      <c r="AF51" s="140">
        <f>0+E51+H51+K51+N51+Q51+T51+W51+Z51+AC51</f>
        <v>0</v>
      </c>
      <c r="AG51" s="140"/>
      <c r="AH51" s="140"/>
      <c r="AI51" s="141">
        <f>AF51/AF103</f>
        <v>0</v>
      </c>
      <c r="AJ51" s="142">
        <f>28211.28+AF51</f>
        <v>28211.279999999999</v>
      </c>
      <c r="AK51" s="142"/>
    </row>
    <row r="52" spans="1:37" x14ac:dyDescent="0.25">
      <c r="A52" s="139" t="s">
        <v>53</v>
      </c>
      <c r="B52" s="140">
        <v>9340</v>
      </c>
      <c r="C52" s="140"/>
      <c r="D52" s="140"/>
      <c r="E52" s="23">
        <v>0</v>
      </c>
      <c r="F52" s="24"/>
      <c r="G52" s="25"/>
      <c r="H52" s="23">
        <v>0</v>
      </c>
      <c r="I52" s="24"/>
      <c r="J52" s="25"/>
      <c r="K52" s="23">
        <v>0</v>
      </c>
      <c r="L52" s="24"/>
      <c r="M52" s="25"/>
      <c r="N52" s="23">
        <v>0</v>
      </c>
      <c r="O52" s="24"/>
      <c r="P52" s="25"/>
      <c r="Q52" s="23">
        <v>0</v>
      </c>
      <c r="R52" s="24"/>
      <c r="S52" s="25"/>
      <c r="T52" s="23">
        <v>0</v>
      </c>
      <c r="U52" s="24"/>
      <c r="V52" s="25"/>
      <c r="W52" s="23">
        <v>0</v>
      </c>
      <c r="X52" s="24"/>
      <c r="Y52" s="25"/>
      <c r="Z52" s="23">
        <v>0</v>
      </c>
      <c r="AA52" s="24"/>
      <c r="AB52" s="25"/>
      <c r="AC52" s="23">
        <v>0</v>
      </c>
      <c r="AD52" s="24"/>
      <c r="AE52" s="25"/>
      <c r="AF52" s="140">
        <f t="shared" ref="AF52:AF63" si="3">0+E52+H52+K52+N52+Q52+T52+W52+Z52+AC52</f>
        <v>0</v>
      </c>
      <c r="AG52" s="140"/>
      <c r="AH52" s="140"/>
      <c r="AI52" s="141">
        <f>AF52/AF103</f>
        <v>0</v>
      </c>
      <c r="AJ52" s="142">
        <f>9340+AF52</f>
        <v>9340</v>
      </c>
      <c r="AK52" s="142"/>
    </row>
    <row r="53" spans="1:37" x14ac:dyDescent="0.25">
      <c r="A53" s="139" t="s">
        <v>54</v>
      </c>
      <c r="B53" s="140">
        <v>16890</v>
      </c>
      <c r="C53" s="140"/>
      <c r="D53" s="140"/>
      <c r="E53" s="23">
        <f>450</f>
        <v>450</v>
      </c>
      <c r="F53" s="24"/>
      <c r="G53" s="25"/>
      <c r="H53" s="23">
        <f>450</f>
        <v>450</v>
      </c>
      <c r="I53" s="24"/>
      <c r="J53" s="25"/>
      <c r="K53" s="23">
        <f>450</f>
        <v>450</v>
      </c>
      <c r="L53" s="24"/>
      <c r="M53" s="25"/>
      <c r="N53" s="23">
        <f>450</f>
        <v>450</v>
      </c>
      <c r="O53" s="24"/>
      <c r="P53" s="25"/>
      <c r="Q53" s="23">
        <f>450</f>
        <v>450</v>
      </c>
      <c r="R53" s="24"/>
      <c r="S53" s="25"/>
      <c r="T53" s="23">
        <f>450</f>
        <v>450</v>
      </c>
      <c r="U53" s="24"/>
      <c r="V53" s="25"/>
      <c r="W53" s="23">
        <f>450</f>
        <v>450</v>
      </c>
      <c r="X53" s="24"/>
      <c r="Y53" s="25"/>
      <c r="Z53" s="23">
        <f>450</f>
        <v>450</v>
      </c>
      <c r="AA53" s="24"/>
      <c r="AB53" s="25"/>
      <c r="AC53" s="23">
        <f>450</f>
        <v>450</v>
      </c>
      <c r="AD53" s="24"/>
      <c r="AE53" s="25"/>
      <c r="AF53" s="140">
        <f t="shared" si="3"/>
        <v>4050</v>
      </c>
      <c r="AG53" s="140"/>
      <c r="AH53" s="140"/>
      <c r="AI53" s="141">
        <f>AF53/AF103</f>
        <v>8.4778480215748474E-3</v>
      </c>
      <c r="AJ53" s="142">
        <f>16890+AF53</f>
        <v>20940</v>
      </c>
      <c r="AK53" s="142"/>
    </row>
    <row r="54" spans="1:37" x14ac:dyDescent="0.25">
      <c r="A54" s="139" t="s">
        <v>55</v>
      </c>
      <c r="B54" s="140">
        <v>43576.7</v>
      </c>
      <c r="C54" s="140"/>
      <c r="D54" s="140"/>
      <c r="E54" s="23">
        <v>0</v>
      </c>
      <c r="F54" s="24"/>
      <c r="G54" s="25"/>
      <c r="H54" s="23">
        <v>0</v>
      </c>
      <c r="I54" s="24"/>
      <c r="J54" s="25"/>
      <c r="K54" s="23">
        <v>0</v>
      </c>
      <c r="L54" s="24"/>
      <c r="M54" s="25"/>
      <c r="N54" s="23">
        <v>0</v>
      </c>
      <c r="O54" s="24"/>
      <c r="P54" s="25"/>
      <c r="Q54" s="23">
        <v>0</v>
      </c>
      <c r="R54" s="24"/>
      <c r="S54" s="25"/>
      <c r="T54" s="23">
        <v>0</v>
      </c>
      <c r="U54" s="24"/>
      <c r="V54" s="25"/>
      <c r="W54" s="23">
        <v>0</v>
      </c>
      <c r="X54" s="24"/>
      <c r="Y54" s="25"/>
      <c r="Z54" s="23">
        <v>0</v>
      </c>
      <c r="AA54" s="24"/>
      <c r="AB54" s="25"/>
      <c r="AC54" s="23">
        <v>0</v>
      </c>
      <c r="AD54" s="24"/>
      <c r="AE54" s="25"/>
      <c r="AF54" s="140">
        <f t="shared" si="3"/>
        <v>0</v>
      </c>
      <c r="AG54" s="140"/>
      <c r="AH54" s="140"/>
      <c r="AI54" s="141">
        <f>AF54/AF103</f>
        <v>0</v>
      </c>
      <c r="AJ54" s="142">
        <f>43576.7+AF54</f>
        <v>43576.7</v>
      </c>
      <c r="AK54" s="142"/>
    </row>
    <row r="55" spans="1:37" x14ac:dyDescent="0.25">
      <c r="A55" s="139" t="s">
        <v>56</v>
      </c>
      <c r="B55" s="140">
        <v>96857.71</v>
      </c>
      <c r="C55" s="140"/>
      <c r="D55" s="140"/>
      <c r="E55" s="23">
        <f>2722.05</f>
        <v>2722.05</v>
      </c>
      <c r="F55" s="24"/>
      <c r="G55" s="25"/>
      <c r="H55" s="23">
        <f>2713.05</f>
        <v>2713.05</v>
      </c>
      <c r="I55" s="24"/>
      <c r="J55" s="25"/>
      <c r="K55" s="23">
        <f>2718.45</f>
        <v>2718.45</v>
      </c>
      <c r="L55" s="24"/>
      <c r="M55" s="25"/>
      <c r="N55" s="23">
        <f>2722.95</f>
        <v>2722.95</v>
      </c>
      <c r="O55" s="24"/>
      <c r="P55" s="25"/>
      <c r="Q55" s="23">
        <f>2719.35</f>
        <v>2719.35</v>
      </c>
      <c r="R55" s="24"/>
      <c r="S55" s="25"/>
      <c r="T55" s="23">
        <f>2718.9</f>
        <v>2718.9</v>
      </c>
      <c r="U55" s="24"/>
      <c r="V55" s="25"/>
      <c r="W55" s="23">
        <f>2768.4</f>
        <v>2768.4</v>
      </c>
      <c r="X55" s="24"/>
      <c r="Y55" s="25"/>
      <c r="Z55" s="23">
        <f>2916</f>
        <v>2916</v>
      </c>
      <c r="AA55" s="24"/>
      <c r="AB55" s="25"/>
      <c r="AC55" s="23">
        <f>3226.05</f>
        <v>3226.05</v>
      </c>
      <c r="AD55" s="24"/>
      <c r="AE55" s="25"/>
      <c r="AF55" s="140">
        <f t="shared" si="3"/>
        <v>25225.200000000001</v>
      </c>
      <c r="AG55" s="140"/>
      <c r="AH55" s="140"/>
      <c r="AI55" s="141">
        <f>AF55/AF103</f>
        <v>5.2803805410822184E-2</v>
      </c>
      <c r="AJ55" s="142">
        <f>96857.71+AF55</f>
        <v>122082.91</v>
      </c>
      <c r="AK55" s="142"/>
    </row>
    <row r="56" spans="1:37" x14ac:dyDescent="0.25">
      <c r="A56" s="139" t="s">
        <v>57</v>
      </c>
      <c r="B56" s="140">
        <v>9150.25</v>
      </c>
      <c r="C56" s="140"/>
      <c r="D56" s="140"/>
      <c r="E56" s="23">
        <f>293.67</f>
        <v>293.67</v>
      </c>
      <c r="F56" s="24"/>
      <c r="G56" s="25"/>
      <c r="H56" s="23">
        <f>293.67</f>
        <v>293.67</v>
      </c>
      <c r="I56" s="24"/>
      <c r="J56" s="25"/>
      <c r="K56" s="23">
        <f>293.67</f>
        <v>293.67</v>
      </c>
      <c r="L56" s="24"/>
      <c r="M56" s="25"/>
      <c r="N56" s="23">
        <f>293.67</f>
        <v>293.67</v>
      </c>
      <c r="O56" s="24"/>
      <c r="P56" s="25"/>
      <c r="Q56" s="23">
        <f>293.67</f>
        <v>293.67</v>
      </c>
      <c r="R56" s="24"/>
      <c r="S56" s="25"/>
      <c r="T56" s="23">
        <f>293.67</f>
        <v>293.67</v>
      </c>
      <c r="U56" s="24"/>
      <c r="V56" s="25"/>
      <c r="W56" s="23">
        <f>293.67</f>
        <v>293.67</v>
      </c>
      <c r="X56" s="24"/>
      <c r="Y56" s="25"/>
      <c r="Z56" s="23">
        <f>293.67</f>
        <v>293.67</v>
      </c>
      <c r="AA56" s="24"/>
      <c r="AB56" s="25"/>
      <c r="AC56" s="23">
        <f>293.67</f>
        <v>293.67</v>
      </c>
      <c r="AD56" s="24"/>
      <c r="AE56" s="25"/>
      <c r="AF56" s="140">
        <f t="shared" si="3"/>
        <v>2643.03</v>
      </c>
      <c r="AG56" s="140"/>
      <c r="AH56" s="140"/>
      <c r="AI56" s="141">
        <f>AF56/AF103</f>
        <v>5.5326436188797455E-3</v>
      </c>
      <c r="AJ56" s="142">
        <f>9150.25+AF56</f>
        <v>11793.28</v>
      </c>
      <c r="AK56" s="142"/>
    </row>
    <row r="57" spans="1:37" x14ac:dyDescent="0.25">
      <c r="A57" s="139" t="s">
        <v>58</v>
      </c>
      <c r="B57" s="140">
        <v>2618.94</v>
      </c>
      <c r="C57" s="140"/>
      <c r="D57" s="140"/>
      <c r="E57" s="23">
        <f>215+215</f>
        <v>430</v>
      </c>
      <c r="F57" s="24"/>
      <c r="G57" s="25"/>
      <c r="H57" s="23">
        <f>215</f>
        <v>215</v>
      </c>
      <c r="I57" s="24"/>
      <c r="J57" s="25"/>
      <c r="K57" s="23">
        <f>215</f>
        <v>215</v>
      </c>
      <c r="L57" s="24"/>
      <c r="M57" s="25"/>
      <c r="N57" s="23">
        <f>215</f>
        <v>215</v>
      </c>
      <c r="O57" s="24"/>
      <c r="P57" s="25"/>
      <c r="Q57" s="23">
        <f>215</f>
        <v>215</v>
      </c>
      <c r="R57" s="24"/>
      <c r="S57" s="25"/>
      <c r="T57" s="23">
        <f>215</f>
        <v>215</v>
      </c>
      <c r="U57" s="24"/>
      <c r="V57" s="25"/>
      <c r="W57" s="23">
        <f>215</f>
        <v>215</v>
      </c>
      <c r="X57" s="24"/>
      <c r="Y57" s="25"/>
      <c r="Z57" s="23">
        <f>215</f>
        <v>215</v>
      </c>
      <c r="AA57" s="24"/>
      <c r="AB57" s="25"/>
      <c r="AC57" s="23">
        <f>215</f>
        <v>215</v>
      </c>
      <c r="AD57" s="24"/>
      <c r="AE57" s="25"/>
      <c r="AF57" s="140">
        <f t="shared" si="3"/>
        <v>2150</v>
      </c>
      <c r="AG57" s="140"/>
      <c r="AH57" s="140"/>
      <c r="AI57" s="141">
        <f>AF57/AF103</f>
        <v>4.5005859867619557E-3</v>
      </c>
      <c r="AJ57" s="142">
        <f>2618.94+AF57</f>
        <v>4768.9400000000005</v>
      </c>
      <c r="AK57" s="142"/>
    </row>
    <row r="58" spans="1:37" x14ac:dyDescent="0.25">
      <c r="A58" s="139" t="s">
        <v>59</v>
      </c>
      <c r="B58" s="31">
        <v>0</v>
      </c>
      <c r="C58" s="32"/>
      <c r="D58" s="33"/>
      <c r="E58" s="23">
        <v>0</v>
      </c>
      <c r="F58" s="24"/>
      <c r="G58" s="25"/>
      <c r="H58" s="23">
        <v>0</v>
      </c>
      <c r="I58" s="24"/>
      <c r="J58" s="25"/>
      <c r="K58" s="23">
        <v>0</v>
      </c>
      <c r="L58" s="24"/>
      <c r="M58" s="25"/>
      <c r="N58" s="23">
        <v>0</v>
      </c>
      <c r="O58" s="24"/>
      <c r="P58" s="25"/>
      <c r="Q58" s="23">
        <v>0</v>
      </c>
      <c r="R58" s="24"/>
      <c r="S58" s="25"/>
      <c r="T58" s="23">
        <v>0</v>
      </c>
      <c r="U58" s="24"/>
      <c r="V58" s="25"/>
      <c r="W58" s="23">
        <f>39</f>
        <v>39</v>
      </c>
      <c r="X58" s="24"/>
      <c r="Y58" s="25"/>
      <c r="Z58" s="23">
        <f>39</f>
        <v>39</v>
      </c>
      <c r="AA58" s="24"/>
      <c r="AB58" s="25"/>
      <c r="AC58" s="23">
        <f>39</f>
        <v>39</v>
      </c>
      <c r="AD58" s="24"/>
      <c r="AE58" s="25"/>
      <c r="AF58" s="140">
        <f t="shared" si="3"/>
        <v>117</v>
      </c>
      <c r="AG58" s="140"/>
      <c r="AH58" s="140"/>
      <c r="AI58" s="141">
        <f>AF58/AF104</f>
        <v>6.9216373044304631E-4</v>
      </c>
      <c r="AJ58" s="144">
        <f>0+AF58</f>
        <v>117</v>
      </c>
      <c r="AK58" s="146"/>
    </row>
    <row r="59" spans="1:37" x14ac:dyDescent="0.25">
      <c r="A59" s="139" t="s">
        <v>60</v>
      </c>
      <c r="B59" s="140">
        <v>25282.46</v>
      </c>
      <c r="C59" s="140"/>
      <c r="D59" s="140"/>
      <c r="E59" s="23">
        <v>0</v>
      </c>
      <c r="F59" s="24"/>
      <c r="G59" s="25"/>
      <c r="H59" s="23">
        <v>0</v>
      </c>
      <c r="I59" s="24"/>
      <c r="J59" s="25"/>
      <c r="K59" s="23">
        <v>0</v>
      </c>
      <c r="L59" s="24"/>
      <c r="M59" s="25"/>
      <c r="N59" s="23">
        <v>0</v>
      </c>
      <c r="O59" s="24"/>
      <c r="P59" s="25"/>
      <c r="Q59" s="23">
        <f>500</f>
        <v>500</v>
      </c>
      <c r="R59" s="24"/>
      <c r="S59" s="25"/>
      <c r="T59" s="23">
        <v>0</v>
      </c>
      <c r="U59" s="24"/>
      <c r="V59" s="25"/>
      <c r="W59" s="23">
        <v>0</v>
      </c>
      <c r="X59" s="24"/>
      <c r="Y59" s="25"/>
      <c r="Z59" s="23">
        <v>0</v>
      </c>
      <c r="AA59" s="24"/>
      <c r="AB59" s="25"/>
      <c r="AC59" s="23">
        <v>0</v>
      </c>
      <c r="AD59" s="24"/>
      <c r="AE59" s="25"/>
      <c r="AF59" s="140">
        <f t="shared" si="3"/>
        <v>500</v>
      </c>
      <c r="AG59" s="140"/>
      <c r="AH59" s="140"/>
      <c r="AI59" s="141">
        <f>AF59/AF103</f>
        <v>1.0466479038981292E-3</v>
      </c>
      <c r="AJ59" s="142">
        <f>25282.46+AF59</f>
        <v>25782.46</v>
      </c>
      <c r="AK59" s="142"/>
    </row>
    <row r="60" spans="1:37" x14ac:dyDescent="0.25">
      <c r="A60" s="139" t="s">
        <v>61</v>
      </c>
      <c r="B60" s="140">
        <v>1500</v>
      </c>
      <c r="C60" s="140"/>
      <c r="D60" s="140"/>
      <c r="E60" s="23">
        <v>0</v>
      </c>
      <c r="F60" s="24"/>
      <c r="G60" s="25"/>
      <c r="H60" s="23">
        <v>0</v>
      </c>
      <c r="I60" s="24"/>
      <c r="J60" s="25"/>
      <c r="K60" s="23">
        <v>0</v>
      </c>
      <c r="L60" s="24"/>
      <c r="M60" s="25"/>
      <c r="N60" s="23">
        <v>0</v>
      </c>
      <c r="O60" s="24"/>
      <c r="P60" s="25"/>
      <c r="Q60" s="23">
        <v>0</v>
      </c>
      <c r="R60" s="24"/>
      <c r="S60" s="25"/>
      <c r="T60" s="23">
        <v>0</v>
      </c>
      <c r="U60" s="24"/>
      <c r="V60" s="25"/>
      <c r="W60" s="23">
        <v>0</v>
      </c>
      <c r="X60" s="24"/>
      <c r="Y60" s="25"/>
      <c r="Z60" s="23">
        <v>0</v>
      </c>
      <c r="AA60" s="24"/>
      <c r="AB60" s="25"/>
      <c r="AC60" s="23">
        <v>0</v>
      </c>
      <c r="AD60" s="24"/>
      <c r="AE60" s="25"/>
      <c r="AF60" s="140">
        <f t="shared" si="3"/>
        <v>0</v>
      </c>
      <c r="AG60" s="140"/>
      <c r="AH60" s="140"/>
      <c r="AI60" s="141">
        <f>AF60/AF103</f>
        <v>0</v>
      </c>
      <c r="AJ60" s="142">
        <f>1500+AF60</f>
        <v>1500</v>
      </c>
      <c r="AK60" s="142"/>
    </row>
    <row r="61" spans="1:37" x14ac:dyDescent="0.25">
      <c r="A61" s="139" t="s">
        <v>62</v>
      </c>
      <c r="B61" s="140">
        <v>5618.11</v>
      </c>
      <c r="C61" s="140"/>
      <c r="D61" s="140"/>
      <c r="E61" s="23">
        <v>0</v>
      </c>
      <c r="F61" s="24"/>
      <c r="G61" s="25"/>
      <c r="H61" s="23">
        <v>0</v>
      </c>
      <c r="I61" s="24"/>
      <c r="J61" s="25"/>
      <c r="K61" s="23">
        <v>0</v>
      </c>
      <c r="L61" s="24"/>
      <c r="M61" s="25"/>
      <c r="N61" s="23">
        <v>0</v>
      </c>
      <c r="O61" s="24"/>
      <c r="P61" s="25"/>
      <c r="Q61" s="23">
        <v>0</v>
      </c>
      <c r="R61" s="24"/>
      <c r="S61" s="25"/>
      <c r="T61" s="23">
        <v>0</v>
      </c>
      <c r="U61" s="24"/>
      <c r="V61" s="25"/>
      <c r="W61" s="23">
        <v>0</v>
      </c>
      <c r="X61" s="24"/>
      <c r="Y61" s="25"/>
      <c r="Z61" s="23">
        <v>0</v>
      </c>
      <c r="AA61" s="24"/>
      <c r="AB61" s="25"/>
      <c r="AC61" s="23">
        <v>0</v>
      </c>
      <c r="AD61" s="24"/>
      <c r="AE61" s="25"/>
      <c r="AF61" s="140">
        <f t="shared" si="3"/>
        <v>0</v>
      </c>
      <c r="AG61" s="140"/>
      <c r="AH61" s="140"/>
      <c r="AI61" s="141">
        <f>AF61/AF103</f>
        <v>0</v>
      </c>
      <c r="AJ61" s="142">
        <f>5618.11+AF61</f>
        <v>5618.11</v>
      </c>
      <c r="AK61" s="142"/>
    </row>
    <row r="62" spans="1:37" x14ac:dyDescent="0.25">
      <c r="A62" s="139" t="s">
        <v>63</v>
      </c>
      <c r="B62" s="140">
        <v>0</v>
      </c>
      <c r="C62" s="140"/>
      <c r="D62" s="140"/>
      <c r="E62" s="23">
        <v>0</v>
      </c>
      <c r="F62" s="24"/>
      <c r="G62" s="25"/>
      <c r="H62" s="23">
        <v>0</v>
      </c>
      <c r="I62" s="24"/>
      <c r="J62" s="25"/>
      <c r="K62" s="23">
        <v>0</v>
      </c>
      <c r="L62" s="24"/>
      <c r="M62" s="25"/>
      <c r="N62" s="23">
        <f>40</f>
        <v>40</v>
      </c>
      <c r="O62" s="24"/>
      <c r="P62" s="25"/>
      <c r="Q62" s="23">
        <v>0</v>
      </c>
      <c r="R62" s="24"/>
      <c r="S62" s="25"/>
      <c r="T62" s="23">
        <v>0</v>
      </c>
      <c r="U62" s="24"/>
      <c r="V62" s="25"/>
      <c r="W62" s="23">
        <v>0</v>
      </c>
      <c r="X62" s="24"/>
      <c r="Y62" s="25"/>
      <c r="Z62" s="23">
        <v>0</v>
      </c>
      <c r="AA62" s="24"/>
      <c r="AB62" s="25"/>
      <c r="AC62" s="23">
        <v>0</v>
      </c>
      <c r="AD62" s="24"/>
      <c r="AE62" s="25"/>
      <c r="AF62" s="140">
        <f t="shared" si="3"/>
        <v>40</v>
      </c>
      <c r="AG62" s="140"/>
      <c r="AH62" s="140"/>
      <c r="AI62" s="141">
        <f>AF62/AF103</f>
        <v>8.3731832311850342E-5</v>
      </c>
      <c r="AJ62" s="142">
        <f t="shared" ref="AJ62" si="4">0+AF62</f>
        <v>40</v>
      </c>
      <c r="AK62" s="142"/>
    </row>
    <row r="63" spans="1:37" x14ac:dyDescent="0.25">
      <c r="A63" s="139" t="s">
        <v>64</v>
      </c>
      <c r="B63" s="140">
        <v>2170</v>
      </c>
      <c r="C63" s="140"/>
      <c r="D63" s="140"/>
      <c r="E63" s="23">
        <v>0</v>
      </c>
      <c r="F63" s="24"/>
      <c r="G63" s="25"/>
      <c r="H63" s="23">
        <v>0</v>
      </c>
      <c r="I63" s="24"/>
      <c r="J63" s="25"/>
      <c r="K63" s="23">
        <v>0</v>
      </c>
      <c r="L63" s="24"/>
      <c r="M63" s="25"/>
      <c r="N63" s="23">
        <v>0</v>
      </c>
      <c r="O63" s="24"/>
      <c r="P63" s="25"/>
      <c r="Q63" s="23">
        <v>0</v>
      </c>
      <c r="R63" s="24"/>
      <c r="S63" s="25"/>
      <c r="T63" s="23">
        <v>0</v>
      </c>
      <c r="U63" s="24"/>
      <c r="V63" s="25"/>
      <c r="W63" s="23">
        <v>0</v>
      </c>
      <c r="X63" s="24"/>
      <c r="Y63" s="25"/>
      <c r="Z63" s="23">
        <v>0</v>
      </c>
      <c r="AA63" s="24"/>
      <c r="AB63" s="25"/>
      <c r="AC63" s="23">
        <v>0</v>
      </c>
      <c r="AD63" s="24"/>
      <c r="AE63" s="25"/>
      <c r="AF63" s="140">
        <f t="shared" si="3"/>
        <v>0</v>
      </c>
      <c r="AG63" s="140"/>
      <c r="AH63" s="140"/>
      <c r="AI63" s="141">
        <f>AF63/AF103</f>
        <v>0</v>
      </c>
      <c r="AJ63" s="142">
        <f>2170+AF63</f>
        <v>2170</v>
      </c>
      <c r="AK63" s="142"/>
    </row>
    <row r="64" spans="1:37" x14ac:dyDescent="0.25">
      <c r="A64" s="132" t="s">
        <v>65</v>
      </c>
      <c r="B64" s="133">
        <f>SUM(B65:D68)</f>
        <v>192764.56999999998</v>
      </c>
      <c r="C64" s="133"/>
      <c r="D64" s="133"/>
      <c r="E64" s="134">
        <f>SUM(E65:G68)</f>
        <v>13428.149999999998</v>
      </c>
      <c r="F64" s="135"/>
      <c r="G64" s="136"/>
      <c r="H64" s="134">
        <f>SUM(H65:J68)</f>
        <v>12011.390000000001</v>
      </c>
      <c r="I64" s="135"/>
      <c r="J64" s="136"/>
      <c r="K64" s="134">
        <f>SUM(K65:M68)</f>
        <v>1386.5400000000002</v>
      </c>
      <c r="L64" s="135"/>
      <c r="M64" s="136"/>
      <c r="N64" s="134">
        <f>SUM(N65:P68)</f>
        <v>13324.27</v>
      </c>
      <c r="O64" s="135"/>
      <c r="P64" s="136"/>
      <c r="Q64" s="134">
        <f>SUM(Q65:S68)</f>
        <v>3314.84</v>
      </c>
      <c r="R64" s="135"/>
      <c r="S64" s="136"/>
      <c r="T64" s="134">
        <f>SUM(T65:V68)</f>
        <v>12706.07</v>
      </c>
      <c r="U64" s="135"/>
      <c r="V64" s="136"/>
      <c r="W64" s="134">
        <f>SUM(W65:Y68)</f>
        <v>959.34999999999991</v>
      </c>
      <c r="X64" s="135"/>
      <c r="Y64" s="136"/>
      <c r="Z64" s="134">
        <f>SUM(Z65:AB68)</f>
        <v>13477.11</v>
      </c>
      <c r="AA64" s="135"/>
      <c r="AB64" s="136"/>
      <c r="AC64" s="134">
        <f>SUM(AC65:AE68)</f>
        <v>1015.9</v>
      </c>
      <c r="AD64" s="135"/>
      <c r="AE64" s="136"/>
      <c r="AF64" s="149">
        <f>SUM(AF65:AH68)</f>
        <v>71623.62</v>
      </c>
      <c r="AG64" s="150"/>
      <c r="AH64" s="151"/>
      <c r="AI64" s="137">
        <f>AF64/AF103</f>
        <v>0.14992942348519225</v>
      </c>
      <c r="AJ64" s="138">
        <f>SUM(AJ65:AK68)</f>
        <v>264388.18999999994</v>
      </c>
      <c r="AK64" s="138"/>
    </row>
    <row r="65" spans="1:37" x14ac:dyDescent="0.25">
      <c r="A65" s="139" t="s">
        <v>66</v>
      </c>
      <c r="B65" s="140">
        <v>120948.56</v>
      </c>
      <c r="C65" s="140"/>
      <c r="D65" s="140"/>
      <c r="E65" s="23">
        <f>9.5+9.5+39.8+9.5+11623.59+3.98+42+1+1+9.5</f>
        <v>11749.369999999999</v>
      </c>
      <c r="F65" s="24"/>
      <c r="G65" s="25"/>
      <c r="H65" s="23">
        <f>89.55+9.5+9.5+45.77+42+11502.2+27.86</f>
        <v>11726.380000000001</v>
      </c>
      <c r="I65" s="24"/>
      <c r="J65" s="25"/>
      <c r="K65" s="23">
        <f>9.5+7.96+9.5+9.5+9.5+11.94+145.27+9.5+250.74+42+1.99+9.5</f>
        <v>516.90000000000009</v>
      </c>
      <c r="L65" s="24"/>
      <c r="M65" s="25"/>
      <c r="N65" s="23">
        <f>11851.69</f>
        <v>11851.69</v>
      </c>
      <c r="O65" s="24"/>
      <c r="P65" s="25"/>
      <c r="Q65" s="23">
        <f>9.95+10+10+15.92+36.5+10+13.93+69.65</f>
        <v>175.95000000000002</v>
      </c>
      <c r="R65" s="24"/>
      <c r="S65" s="25"/>
      <c r="T65" s="23">
        <f>1.99+7.96+10+1.99+10+1.99+1.99+10+10+11589.76+3.98</f>
        <v>11649.66</v>
      </c>
      <c r="U65" s="24"/>
      <c r="V65" s="25"/>
      <c r="W65" s="23">
        <f>35.82+11.94+10+1.99+10+27.86</f>
        <v>97.61</v>
      </c>
      <c r="X65" s="24"/>
      <c r="Y65" s="25"/>
      <c r="Z65" s="23">
        <f>10+7.96+5.97+12535.01+10</f>
        <v>12568.94</v>
      </c>
      <c r="AA65" s="24"/>
      <c r="AB65" s="25"/>
      <c r="AC65" s="23">
        <f>1.99+10+10+469.64+147.26+10+10</f>
        <v>658.89</v>
      </c>
      <c r="AD65" s="24"/>
      <c r="AE65" s="25"/>
      <c r="AF65" s="140">
        <f>0+E65+H65+K65+N65+Q65+T65+W65+Z65+AC65</f>
        <v>60995.39</v>
      </c>
      <c r="AG65" s="140"/>
      <c r="AH65" s="140"/>
      <c r="AI65" s="141">
        <f>AF65/AF103</f>
        <v>0.12768139418189783</v>
      </c>
      <c r="AJ65" s="142">
        <f>120948.56+AF65</f>
        <v>181943.95</v>
      </c>
      <c r="AK65" s="142"/>
    </row>
    <row r="66" spans="1:37" x14ac:dyDescent="0.25">
      <c r="A66" s="139" t="s">
        <v>67</v>
      </c>
      <c r="B66" s="140">
        <v>47642.8</v>
      </c>
      <c r="C66" s="140"/>
      <c r="D66" s="140"/>
      <c r="E66" s="23">
        <f>77.46+240.13+70.87+219.71+77.46+70.87+240.13+219.71+203.66+203.66</f>
        <v>1623.66</v>
      </c>
      <c r="F66" s="24"/>
      <c r="G66" s="25"/>
      <c r="H66" s="23">
        <f>113.42+94.16</f>
        <v>207.57999999999998</v>
      </c>
      <c r="I66" s="24"/>
      <c r="J66" s="25"/>
      <c r="K66" s="23">
        <f>67.5+77.46+209.25+159.05+252.91</f>
        <v>766.17</v>
      </c>
      <c r="L66" s="24"/>
      <c r="M66" s="25"/>
      <c r="N66" s="23">
        <f>240.13+209.25+77.46+67.5+252.91</f>
        <v>847.25</v>
      </c>
      <c r="O66" s="24"/>
      <c r="P66" s="25"/>
      <c r="Q66" s="23">
        <f>209.25+67.5+240.13+77.46+252.91</f>
        <v>847.25</v>
      </c>
      <c r="R66" s="24"/>
      <c r="S66" s="25"/>
      <c r="T66" s="23">
        <f>67.5+209.25+77.46+240.13+56.2+97.25+210.76</f>
        <v>958.55</v>
      </c>
      <c r="U66" s="24"/>
      <c r="V66" s="25"/>
      <c r="W66" s="23">
        <f>240.13+77.46+209.25+67.5+219.74</f>
        <v>814.07999999999993</v>
      </c>
      <c r="X66" s="24"/>
      <c r="Y66" s="25"/>
      <c r="Z66" s="23">
        <f>77.46+67.5+240.13+209.25+270.09</f>
        <v>864.42999999999984</v>
      </c>
      <c r="AA66" s="24"/>
      <c r="AB66" s="25"/>
      <c r="AC66" s="23">
        <f>240.13+77.46</f>
        <v>317.58999999999997</v>
      </c>
      <c r="AD66" s="24"/>
      <c r="AE66" s="25"/>
      <c r="AF66" s="140">
        <f t="shared" ref="AF66:AF68" si="5">0+E66+H66+K66+N66+Q66+T66+W66+Z66+AC66</f>
        <v>7246.5599999999995</v>
      </c>
      <c r="AG66" s="140"/>
      <c r="AH66" s="140"/>
      <c r="AI66" s="141">
        <f>AF66/AF103</f>
        <v>1.5169193668944054E-2</v>
      </c>
      <c r="AJ66" s="142">
        <f>47642.8+AF66</f>
        <v>54889.36</v>
      </c>
      <c r="AK66" s="142"/>
    </row>
    <row r="67" spans="1:37" x14ac:dyDescent="0.25">
      <c r="A67" s="139" t="s">
        <v>68</v>
      </c>
      <c r="B67" s="140">
        <v>24147.84</v>
      </c>
      <c r="C67" s="140"/>
      <c r="D67" s="140"/>
      <c r="E67" s="23">
        <f>48.46</f>
        <v>48.46</v>
      </c>
      <c r="F67" s="24"/>
      <c r="G67" s="25"/>
      <c r="H67" s="23">
        <f>72.49</f>
        <v>72.489999999999995</v>
      </c>
      <c r="I67" s="24"/>
      <c r="J67" s="25"/>
      <c r="K67" s="23">
        <f>103.47</f>
        <v>103.47</v>
      </c>
      <c r="L67" s="24"/>
      <c r="M67" s="25"/>
      <c r="N67" s="23">
        <f>163</f>
        <v>163</v>
      </c>
      <c r="O67" s="24"/>
      <c r="P67" s="25"/>
      <c r="Q67" s="23">
        <f>808.1+1448.28+35.26</f>
        <v>2291.6400000000003</v>
      </c>
      <c r="R67" s="24"/>
      <c r="S67" s="25"/>
      <c r="T67" s="23">
        <f>97.86</f>
        <v>97.86</v>
      </c>
      <c r="U67" s="24"/>
      <c r="V67" s="25"/>
      <c r="W67" s="23">
        <f>46.61</f>
        <v>46.61</v>
      </c>
      <c r="X67" s="24"/>
      <c r="Y67" s="25"/>
      <c r="Z67" s="23">
        <f>43.74</f>
        <v>43.74</v>
      </c>
      <c r="AA67" s="24"/>
      <c r="AB67" s="25"/>
      <c r="AC67" s="23">
        <f>39.42</f>
        <v>39.42</v>
      </c>
      <c r="AD67" s="24"/>
      <c r="AE67" s="25"/>
      <c r="AF67" s="140">
        <f t="shared" si="5"/>
        <v>2906.6900000000005</v>
      </c>
      <c r="AG67" s="140"/>
      <c r="AH67" s="140"/>
      <c r="AI67" s="141">
        <f>AF67/AF103</f>
        <v>6.0845619915633076E-3</v>
      </c>
      <c r="AJ67" s="142">
        <f>24147.84+AF67</f>
        <v>27054.53</v>
      </c>
      <c r="AK67" s="142"/>
    </row>
    <row r="68" spans="1:37" x14ac:dyDescent="0.25">
      <c r="A68" s="139" t="s">
        <v>69</v>
      </c>
      <c r="B68" s="140">
        <v>25.37</v>
      </c>
      <c r="C68" s="140"/>
      <c r="D68" s="140"/>
      <c r="E68" s="23">
        <f>6.66</f>
        <v>6.66</v>
      </c>
      <c r="F68" s="24"/>
      <c r="G68" s="25"/>
      <c r="H68" s="23">
        <f>1.37+1.09+2.48</f>
        <v>4.9399999999999995</v>
      </c>
      <c r="I68" s="24"/>
      <c r="J68" s="25"/>
      <c r="K68" s="23">
        <v>0</v>
      </c>
      <c r="L68" s="24"/>
      <c r="M68" s="25"/>
      <c r="N68" s="23">
        <f>462.33</f>
        <v>462.33</v>
      </c>
      <c r="O68" s="24"/>
      <c r="P68" s="25"/>
      <c r="Q68" s="23">
        <v>0</v>
      </c>
      <c r="R68" s="24"/>
      <c r="S68" s="25"/>
      <c r="T68" s="23">
        <v>0</v>
      </c>
      <c r="U68" s="24"/>
      <c r="V68" s="25"/>
      <c r="W68" s="23">
        <f>1.05</f>
        <v>1.05</v>
      </c>
      <c r="X68" s="24"/>
      <c r="Y68" s="25"/>
      <c r="Z68" s="23">
        <v>0</v>
      </c>
      <c r="AA68" s="24"/>
      <c r="AB68" s="25"/>
      <c r="AC68" s="23">
        <v>0</v>
      </c>
      <c r="AD68" s="24"/>
      <c r="AE68" s="25"/>
      <c r="AF68" s="140">
        <f t="shared" si="5"/>
        <v>474.98</v>
      </c>
      <c r="AG68" s="140"/>
      <c r="AH68" s="140"/>
      <c r="AI68" s="141">
        <f>AF68/AF103</f>
        <v>9.9427364278706701E-4</v>
      </c>
      <c r="AJ68" s="142">
        <f>25.37+AF68</f>
        <v>500.35</v>
      </c>
      <c r="AK68" s="142"/>
    </row>
    <row r="69" spans="1:37" x14ac:dyDescent="0.25">
      <c r="A69" s="132" t="s">
        <v>70</v>
      </c>
      <c r="B69" s="133">
        <f>SUM(B70:D83)</f>
        <v>379800.62</v>
      </c>
      <c r="C69" s="133"/>
      <c r="D69" s="133"/>
      <c r="E69" s="134">
        <f>SUM(E70:G83)</f>
        <v>11747.81</v>
      </c>
      <c r="F69" s="135"/>
      <c r="G69" s="136"/>
      <c r="H69" s="134">
        <f>SUM(H70:J83)</f>
        <v>9765.11</v>
      </c>
      <c r="I69" s="135"/>
      <c r="J69" s="136"/>
      <c r="K69" s="134">
        <f>SUM(K70:M83)</f>
        <v>11378.32</v>
      </c>
      <c r="L69" s="135"/>
      <c r="M69" s="136"/>
      <c r="N69" s="134">
        <f>SUM(N70:P83)</f>
        <v>10209.619999999999</v>
      </c>
      <c r="O69" s="135"/>
      <c r="P69" s="136"/>
      <c r="Q69" s="134">
        <f>SUM(Q70:S83)</f>
        <v>10249.41</v>
      </c>
      <c r="R69" s="135"/>
      <c r="S69" s="136"/>
      <c r="T69" s="134">
        <f>SUM(T70:V83)</f>
        <v>10155.92</v>
      </c>
      <c r="U69" s="135"/>
      <c r="V69" s="136"/>
      <c r="W69" s="134">
        <f>SUM(W70:Y83)</f>
        <v>12112.19</v>
      </c>
      <c r="X69" s="135"/>
      <c r="Y69" s="136"/>
      <c r="Z69" s="134">
        <f>SUM(Z70:AB83)</f>
        <v>9880.83</v>
      </c>
      <c r="AA69" s="135"/>
      <c r="AB69" s="136"/>
      <c r="AC69" s="134">
        <f>SUM(AC70:AE83)</f>
        <v>11844.41</v>
      </c>
      <c r="AD69" s="135"/>
      <c r="AE69" s="136"/>
      <c r="AF69" s="149">
        <f>SUM(AF70:AH83)</f>
        <v>97343.62</v>
      </c>
      <c r="AG69" s="150"/>
      <c r="AH69" s="151"/>
      <c r="AI69" s="137">
        <f>AF69/AF103</f>
        <v>0.20376899166171203</v>
      </c>
      <c r="AJ69" s="138">
        <f>SUM(AJ70:AK83)</f>
        <v>477144.24000000005</v>
      </c>
      <c r="AK69" s="138"/>
    </row>
    <row r="70" spans="1:37" x14ac:dyDescent="0.25">
      <c r="A70" s="148" t="s">
        <v>71</v>
      </c>
      <c r="B70" s="140">
        <v>9608.91</v>
      </c>
      <c r="C70" s="140"/>
      <c r="D70" s="140"/>
      <c r="E70" s="23">
        <v>0</v>
      </c>
      <c r="F70" s="24"/>
      <c r="G70" s="25"/>
      <c r="H70" s="23">
        <v>0</v>
      </c>
      <c r="I70" s="24"/>
      <c r="J70" s="25"/>
      <c r="K70" s="23">
        <v>0</v>
      </c>
      <c r="L70" s="24"/>
      <c r="M70" s="25"/>
      <c r="N70" s="23">
        <v>0</v>
      </c>
      <c r="O70" s="24"/>
      <c r="P70" s="25"/>
      <c r="Q70" s="23">
        <v>0</v>
      </c>
      <c r="R70" s="24"/>
      <c r="S70" s="25"/>
      <c r="T70" s="23">
        <v>0</v>
      </c>
      <c r="U70" s="24"/>
      <c r="V70" s="25"/>
      <c r="W70" s="23">
        <v>0</v>
      </c>
      <c r="X70" s="24"/>
      <c r="Y70" s="25"/>
      <c r="Z70" s="23">
        <v>0</v>
      </c>
      <c r="AA70" s="24"/>
      <c r="AB70" s="25"/>
      <c r="AC70" s="23">
        <v>0</v>
      </c>
      <c r="AD70" s="24"/>
      <c r="AE70" s="25"/>
      <c r="AF70" s="140">
        <f>0+E70+H70+K70+N70+Q70+T70+W70+Z70+AC70</f>
        <v>0</v>
      </c>
      <c r="AG70" s="140"/>
      <c r="AH70" s="140"/>
      <c r="AI70" s="141">
        <f>AF70/AF103</f>
        <v>0</v>
      </c>
      <c r="AJ70" s="142">
        <f>9608.91+AF70</f>
        <v>9608.91</v>
      </c>
      <c r="AK70" s="142"/>
    </row>
    <row r="71" spans="1:37" x14ac:dyDescent="0.25">
      <c r="A71" s="148" t="s">
        <v>72</v>
      </c>
      <c r="B71" s="140">
        <v>9110</v>
      </c>
      <c r="C71" s="140"/>
      <c r="D71" s="140"/>
      <c r="E71" s="23">
        <v>0</v>
      </c>
      <c r="F71" s="24"/>
      <c r="G71" s="25"/>
      <c r="H71" s="23">
        <v>0</v>
      </c>
      <c r="I71" s="24"/>
      <c r="J71" s="25"/>
      <c r="K71" s="23">
        <v>0</v>
      </c>
      <c r="L71" s="24"/>
      <c r="M71" s="25"/>
      <c r="N71" s="23">
        <v>0</v>
      </c>
      <c r="O71" s="24"/>
      <c r="P71" s="25"/>
      <c r="Q71" s="23">
        <v>0</v>
      </c>
      <c r="R71" s="24"/>
      <c r="S71" s="25"/>
      <c r="T71" s="23">
        <v>0</v>
      </c>
      <c r="U71" s="24"/>
      <c r="V71" s="25"/>
      <c r="W71" s="23">
        <v>0</v>
      </c>
      <c r="X71" s="24"/>
      <c r="Y71" s="25"/>
      <c r="Z71" s="23">
        <v>0</v>
      </c>
      <c r="AA71" s="24"/>
      <c r="AB71" s="25"/>
      <c r="AC71" s="23">
        <v>0</v>
      </c>
      <c r="AD71" s="24"/>
      <c r="AE71" s="25"/>
      <c r="AF71" s="140">
        <f t="shared" ref="AF71:AF83" si="6">0+E71+H71+K71+N71+Q71+T71+W71+Z71+AC71</f>
        <v>0</v>
      </c>
      <c r="AG71" s="140"/>
      <c r="AH71" s="140"/>
      <c r="AI71" s="141">
        <f>AF71/AF103</f>
        <v>0</v>
      </c>
      <c r="AJ71" s="142">
        <f>9110+AF71</f>
        <v>9110</v>
      </c>
      <c r="AK71" s="142"/>
    </row>
    <row r="72" spans="1:37" x14ac:dyDescent="0.25">
      <c r="A72" s="148" t="s">
        <v>73</v>
      </c>
      <c r="B72" s="140">
        <v>4130.22</v>
      </c>
      <c r="C72" s="140"/>
      <c r="D72" s="140"/>
      <c r="E72" s="23">
        <f>271.63</f>
        <v>271.63</v>
      </c>
      <c r="F72" s="24"/>
      <c r="G72" s="25"/>
      <c r="H72" s="23">
        <f>271.63+1285.2</f>
        <v>1556.83</v>
      </c>
      <c r="I72" s="24"/>
      <c r="J72" s="25"/>
      <c r="K72" s="23">
        <f>271.63</f>
        <v>271.63</v>
      </c>
      <c r="L72" s="24"/>
      <c r="M72" s="25"/>
      <c r="N72" s="23">
        <v>0</v>
      </c>
      <c r="O72" s="24"/>
      <c r="P72" s="25"/>
      <c r="Q72" s="23">
        <v>0</v>
      </c>
      <c r="R72" s="24"/>
      <c r="S72" s="25"/>
      <c r="T72" s="23">
        <v>0</v>
      </c>
      <c r="U72" s="24"/>
      <c r="V72" s="25"/>
      <c r="W72" s="23">
        <v>0</v>
      </c>
      <c r="X72" s="24"/>
      <c r="Y72" s="25"/>
      <c r="Z72" s="23">
        <v>0</v>
      </c>
      <c r="AA72" s="24"/>
      <c r="AB72" s="25"/>
      <c r="AC72" s="23">
        <v>0</v>
      </c>
      <c r="AD72" s="24"/>
      <c r="AE72" s="25"/>
      <c r="AF72" s="140">
        <f t="shared" si="6"/>
        <v>2100.09</v>
      </c>
      <c r="AG72" s="140"/>
      <c r="AH72" s="140"/>
      <c r="AI72" s="141">
        <f>AF72/AF103</f>
        <v>4.3961095929948447E-3</v>
      </c>
      <c r="AJ72" s="142">
        <f>4130.22+AF72</f>
        <v>6230.31</v>
      </c>
      <c r="AK72" s="142"/>
    </row>
    <row r="73" spans="1:37" x14ac:dyDescent="0.25">
      <c r="A73" s="148" t="s">
        <v>74</v>
      </c>
      <c r="B73" s="31">
        <v>0</v>
      </c>
      <c r="C73" s="32"/>
      <c r="D73" s="33"/>
      <c r="E73" s="23">
        <v>0</v>
      </c>
      <c r="F73" s="24"/>
      <c r="G73" s="25"/>
      <c r="H73" s="23">
        <v>99</v>
      </c>
      <c r="I73" s="24"/>
      <c r="J73" s="25"/>
      <c r="K73" s="23">
        <v>0</v>
      </c>
      <c r="L73" s="24"/>
      <c r="M73" s="25"/>
      <c r="N73" s="23">
        <v>0</v>
      </c>
      <c r="O73" s="24"/>
      <c r="P73" s="25"/>
      <c r="Q73" s="23">
        <v>0</v>
      </c>
      <c r="R73" s="24"/>
      <c r="S73" s="25"/>
      <c r="T73" s="23">
        <v>0</v>
      </c>
      <c r="U73" s="24"/>
      <c r="V73" s="25"/>
      <c r="W73" s="23">
        <v>0</v>
      </c>
      <c r="X73" s="24"/>
      <c r="Y73" s="25"/>
      <c r="Z73" s="23">
        <v>0</v>
      </c>
      <c r="AA73" s="24"/>
      <c r="AB73" s="25"/>
      <c r="AC73" s="23">
        <v>0</v>
      </c>
      <c r="AD73" s="24"/>
      <c r="AE73" s="25"/>
      <c r="AF73" s="140">
        <f t="shared" si="6"/>
        <v>99</v>
      </c>
      <c r="AG73" s="140"/>
      <c r="AH73" s="140"/>
      <c r="AI73" s="141">
        <f>AF73/AF103</f>
        <v>2.072362849718296E-4</v>
      </c>
      <c r="AJ73" s="144">
        <f>0+AF73</f>
        <v>99</v>
      </c>
      <c r="AK73" s="146"/>
    </row>
    <row r="74" spans="1:37" x14ac:dyDescent="0.25">
      <c r="A74" s="139" t="s">
        <v>75</v>
      </c>
      <c r="B74" s="140">
        <v>6043.01</v>
      </c>
      <c r="C74" s="140"/>
      <c r="D74" s="140"/>
      <c r="E74" s="23">
        <f>191.6+35.42</f>
        <v>227.01999999999998</v>
      </c>
      <c r="F74" s="24"/>
      <c r="G74" s="25"/>
      <c r="H74" s="23">
        <f>51.3</f>
        <v>51.3</v>
      </c>
      <c r="I74" s="24"/>
      <c r="J74" s="25"/>
      <c r="K74" s="23">
        <v>0</v>
      </c>
      <c r="L74" s="24"/>
      <c r="M74" s="25"/>
      <c r="N74" s="23">
        <v>0</v>
      </c>
      <c r="O74" s="24"/>
      <c r="P74" s="25"/>
      <c r="Q74" s="23">
        <f>43.8</f>
        <v>43.8</v>
      </c>
      <c r="R74" s="24"/>
      <c r="S74" s="25"/>
      <c r="T74" s="23">
        <v>0</v>
      </c>
      <c r="U74" s="24"/>
      <c r="V74" s="25"/>
      <c r="W74" s="23">
        <f>47.8</f>
        <v>47.8</v>
      </c>
      <c r="X74" s="24"/>
      <c r="Y74" s="25"/>
      <c r="Z74" s="23">
        <f>48.3+179.8</f>
        <v>228.10000000000002</v>
      </c>
      <c r="AA74" s="24"/>
      <c r="AB74" s="25"/>
      <c r="AC74" s="23">
        <f>31.9</f>
        <v>31.9</v>
      </c>
      <c r="AD74" s="24"/>
      <c r="AE74" s="25"/>
      <c r="AF74" s="140">
        <f t="shared" si="6"/>
        <v>629.91999999999996</v>
      </c>
      <c r="AG74" s="140"/>
      <c r="AH74" s="140"/>
      <c r="AI74" s="141">
        <f>AF74/AF103</f>
        <v>1.3186088952470191E-3</v>
      </c>
      <c r="AJ74" s="142">
        <f>6043.01+AF74</f>
        <v>6672.93</v>
      </c>
      <c r="AK74" s="142"/>
    </row>
    <row r="75" spans="1:37" x14ac:dyDescent="0.25">
      <c r="A75" s="148" t="s">
        <v>76</v>
      </c>
      <c r="B75" s="140">
        <v>53374.36</v>
      </c>
      <c r="C75" s="140"/>
      <c r="D75" s="140"/>
      <c r="E75" s="23">
        <f>1263.86+290.51</f>
        <v>1554.37</v>
      </c>
      <c r="F75" s="24"/>
      <c r="G75" s="25"/>
      <c r="H75" s="23">
        <f>1413.96+54.44</f>
        <v>1468.4</v>
      </c>
      <c r="I75" s="24"/>
      <c r="J75" s="25"/>
      <c r="K75" s="23">
        <f>1413.96+54.26</f>
        <v>1468.22</v>
      </c>
      <c r="L75" s="24"/>
      <c r="M75" s="25"/>
      <c r="N75" s="23">
        <f>1414.91+54.37</f>
        <v>1469.28</v>
      </c>
      <c r="O75" s="24"/>
      <c r="P75" s="25"/>
      <c r="Q75" s="23">
        <f>1416.52+54.46</f>
        <v>1470.98</v>
      </c>
      <c r="R75" s="24"/>
      <c r="S75" s="25"/>
      <c r="T75" s="23">
        <f>1416.52+54.39</f>
        <v>1470.91</v>
      </c>
      <c r="U75" s="24"/>
      <c r="V75" s="25"/>
      <c r="W75" s="23">
        <f>54.38+1416.52</f>
        <v>1470.9</v>
      </c>
      <c r="X75" s="24"/>
      <c r="Y75" s="25"/>
      <c r="Z75" s="23">
        <f>1416.52+57.32</f>
        <v>1473.84</v>
      </c>
      <c r="AA75" s="24"/>
      <c r="AB75" s="25"/>
      <c r="AC75" s="23">
        <f>1490.55+60.27</f>
        <v>1550.82</v>
      </c>
      <c r="AD75" s="24"/>
      <c r="AE75" s="25"/>
      <c r="AF75" s="140">
        <f t="shared" si="6"/>
        <v>13397.72</v>
      </c>
      <c r="AG75" s="140"/>
      <c r="AH75" s="140"/>
      <c r="AI75" s="141">
        <f>AF75/AF103</f>
        <v>2.8045391110028087E-2</v>
      </c>
      <c r="AJ75" s="142">
        <f>53374.36+AF75</f>
        <v>66772.08</v>
      </c>
      <c r="AK75" s="142"/>
    </row>
    <row r="76" spans="1:37" x14ac:dyDescent="0.25">
      <c r="A76" s="148" t="s">
        <v>77</v>
      </c>
      <c r="B76" s="140">
        <v>13234.67</v>
      </c>
      <c r="C76" s="140"/>
      <c r="D76" s="140"/>
      <c r="E76" s="23">
        <f>114.99+49.99+154.41</f>
        <v>319.39</v>
      </c>
      <c r="F76" s="24"/>
      <c r="G76" s="25"/>
      <c r="H76" s="23">
        <f>114.99+49.99+155.27</f>
        <v>320.25</v>
      </c>
      <c r="I76" s="24"/>
      <c r="J76" s="25"/>
      <c r="K76" s="23">
        <f>49.99+114.99+149.34</f>
        <v>314.32</v>
      </c>
      <c r="L76" s="24"/>
      <c r="M76" s="25"/>
      <c r="N76" s="23">
        <f>52.23+114.99+116.06</f>
        <v>283.27999999999997</v>
      </c>
      <c r="O76" s="24"/>
      <c r="P76" s="25"/>
      <c r="Q76" s="23">
        <f>52.23+114.99</f>
        <v>167.22</v>
      </c>
      <c r="R76" s="24"/>
      <c r="S76" s="25"/>
      <c r="T76" s="23">
        <f>59.66+52.23+114.99</f>
        <v>226.88</v>
      </c>
      <c r="U76" s="24"/>
      <c r="V76" s="25"/>
      <c r="W76" s="23">
        <f>58.3+114.99+52.23+97.26</f>
        <v>322.77999999999997</v>
      </c>
      <c r="X76" s="24"/>
      <c r="Y76" s="25"/>
      <c r="Z76" s="23">
        <f>52.23+114.47</f>
        <v>166.7</v>
      </c>
      <c r="AA76" s="24"/>
      <c r="AB76" s="25"/>
      <c r="AC76" s="23">
        <f>52.23+59.58+114.99+74.9</f>
        <v>301.70000000000005</v>
      </c>
      <c r="AD76" s="24"/>
      <c r="AE76" s="25"/>
      <c r="AF76" s="140">
        <f t="shared" si="6"/>
        <v>2422.5200000000004</v>
      </c>
      <c r="AG76" s="140"/>
      <c r="AH76" s="140"/>
      <c r="AI76" s="141">
        <f>AF76/AF103</f>
        <v>5.0710509603025932E-3</v>
      </c>
      <c r="AJ76" s="142">
        <f>13234.67+AF76</f>
        <v>15657.19</v>
      </c>
      <c r="AK76" s="142"/>
    </row>
    <row r="77" spans="1:37" x14ac:dyDescent="0.25">
      <c r="A77" s="148" t="s">
        <v>78</v>
      </c>
      <c r="B77" s="140">
        <v>7492.77</v>
      </c>
      <c r="C77" s="140"/>
      <c r="D77" s="140"/>
      <c r="E77" s="23">
        <f>23+11.39+23+23+11.39</f>
        <v>91.78</v>
      </c>
      <c r="F77" s="24"/>
      <c r="G77" s="25"/>
      <c r="H77" s="23">
        <f>10.8+23+23+26.9</f>
        <v>83.699999999999989</v>
      </c>
      <c r="I77" s="24"/>
      <c r="J77" s="25"/>
      <c r="K77" s="23">
        <f>23+23</f>
        <v>46</v>
      </c>
      <c r="L77" s="24"/>
      <c r="M77" s="25"/>
      <c r="N77" s="23">
        <v>0</v>
      </c>
      <c r="O77" s="24"/>
      <c r="P77" s="25"/>
      <c r="Q77" s="23">
        <v>0</v>
      </c>
      <c r="R77" s="24"/>
      <c r="S77" s="25"/>
      <c r="T77" s="23">
        <v>0</v>
      </c>
      <c r="U77" s="24"/>
      <c r="V77" s="25"/>
      <c r="W77" s="23">
        <f>14.99</f>
        <v>14.99</v>
      </c>
      <c r="X77" s="24"/>
      <c r="Y77" s="25"/>
      <c r="Z77" s="23">
        <f>23</f>
        <v>23</v>
      </c>
      <c r="AA77" s="24"/>
      <c r="AB77" s="25"/>
      <c r="AC77" s="23">
        <f>23+23</f>
        <v>46</v>
      </c>
      <c r="AD77" s="24"/>
      <c r="AE77" s="25"/>
      <c r="AF77" s="140">
        <f t="shared" si="6"/>
        <v>305.47000000000003</v>
      </c>
      <c r="AG77" s="140"/>
      <c r="AH77" s="140"/>
      <c r="AI77" s="141">
        <f>AF77/AF103</f>
        <v>6.3943907040752313E-4</v>
      </c>
      <c r="AJ77" s="142">
        <f>7492.77+AF77</f>
        <v>7798.2400000000007</v>
      </c>
      <c r="AK77" s="142"/>
    </row>
    <row r="78" spans="1:37" x14ac:dyDescent="0.25">
      <c r="A78" s="148" t="s">
        <v>79</v>
      </c>
      <c r="B78" s="140">
        <v>4171.6000000000004</v>
      </c>
      <c r="C78" s="140"/>
      <c r="D78" s="140"/>
      <c r="E78" s="23">
        <v>0</v>
      </c>
      <c r="F78" s="24"/>
      <c r="G78" s="25"/>
      <c r="H78" s="23">
        <v>0</v>
      </c>
      <c r="I78" s="24"/>
      <c r="J78" s="25"/>
      <c r="K78" s="23">
        <v>0</v>
      </c>
      <c r="L78" s="24"/>
      <c r="M78" s="25"/>
      <c r="N78" s="23">
        <v>0</v>
      </c>
      <c r="O78" s="24"/>
      <c r="P78" s="25"/>
      <c r="Q78" s="23">
        <v>0</v>
      </c>
      <c r="R78" s="24"/>
      <c r="S78" s="25"/>
      <c r="T78" s="23">
        <v>0</v>
      </c>
      <c r="U78" s="24"/>
      <c r="V78" s="25"/>
      <c r="W78" s="23">
        <v>0</v>
      </c>
      <c r="X78" s="24"/>
      <c r="Y78" s="25"/>
      <c r="Z78" s="23">
        <v>0</v>
      </c>
      <c r="AA78" s="24"/>
      <c r="AB78" s="25"/>
      <c r="AC78" s="23">
        <v>0</v>
      </c>
      <c r="AD78" s="24"/>
      <c r="AE78" s="25"/>
      <c r="AF78" s="140">
        <f t="shared" si="6"/>
        <v>0</v>
      </c>
      <c r="AG78" s="140"/>
      <c r="AH78" s="140"/>
      <c r="AI78" s="141">
        <f>AF78/AF103</f>
        <v>0</v>
      </c>
      <c r="AJ78" s="142">
        <f>4171.6+AF78</f>
        <v>4171.6000000000004</v>
      </c>
      <c r="AK78" s="142"/>
    </row>
    <row r="79" spans="1:37" x14ac:dyDescent="0.25">
      <c r="A79" s="148" t="s">
        <v>80</v>
      </c>
      <c r="B79" s="140">
        <v>3563.88</v>
      </c>
      <c r="C79" s="140"/>
      <c r="D79" s="140"/>
      <c r="E79" s="23">
        <f>4.99+32.58+19.77+100</f>
        <v>157.34</v>
      </c>
      <c r="F79" s="24"/>
      <c r="G79" s="25"/>
      <c r="H79" s="23">
        <f>27.9</f>
        <v>27.9</v>
      </c>
      <c r="I79" s="24"/>
      <c r="J79" s="25"/>
      <c r="K79" s="23">
        <v>0</v>
      </c>
      <c r="L79" s="24"/>
      <c r="M79" s="25"/>
      <c r="N79" s="23">
        <v>0</v>
      </c>
      <c r="O79" s="24"/>
      <c r="P79" s="25"/>
      <c r="Q79" s="23">
        <v>0</v>
      </c>
      <c r="R79" s="24"/>
      <c r="S79" s="25"/>
      <c r="T79" s="23">
        <v>0</v>
      </c>
      <c r="U79" s="24"/>
      <c r="V79" s="25"/>
      <c r="W79" s="23">
        <v>0</v>
      </c>
      <c r="X79" s="24"/>
      <c r="Y79" s="25"/>
      <c r="Z79" s="23">
        <v>0</v>
      </c>
      <c r="AA79" s="24"/>
      <c r="AB79" s="25"/>
      <c r="AC79" s="23">
        <f>100</f>
        <v>100</v>
      </c>
      <c r="AD79" s="24"/>
      <c r="AE79" s="25"/>
      <c r="AF79" s="140">
        <f t="shared" si="6"/>
        <v>285.24</v>
      </c>
      <c r="AG79" s="140"/>
      <c r="AH79" s="140"/>
      <c r="AI79" s="141">
        <f>AF79/AF103</f>
        <v>5.9709169621580485E-4</v>
      </c>
      <c r="AJ79" s="142">
        <f>3563.88+AF79</f>
        <v>3849.12</v>
      </c>
      <c r="AK79" s="142"/>
    </row>
    <row r="80" spans="1:37" x14ac:dyDescent="0.25">
      <c r="A80" s="148" t="s">
        <v>81</v>
      </c>
      <c r="B80" s="31">
        <v>0</v>
      </c>
      <c r="C80" s="32"/>
      <c r="D80" s="33"/>
      <c r="E80" s="23">
        <f>2359.55</f>
        <v>2359.5500000000002</v>
      </c>
      <c r="F80" s="24"/>
      <c r="G80" s="25"/>
      <c r="H80" s="23">
        <v>0</v>
      </c>
      <c r="I80" s="24"/>
      <c r="J80" s="25"/>
      <c r="K80" s="23">
        <v>0</v>
      </c>
      <c r="L80" s="24"/>
      <c r="M80" s="25"/>
      <c r="N80" s="23">
        <v>0</v>
      </c>
      <c r="O80" s="24"/>
      <c r="P80" s="25"/>
      <c r="Q80" s="23">
        <v>0</v>
      </c>
      <c r="R80" s="24"/>
      <c r="S80" s="25"/>
      <c r="T80" s="23">
        <v>0</v>
      </c>
      <c r="U80" s="24"/>
      <c r="V80" s="25"/>
      <c r="W80" s="23">
        <v>0</v>
      </c>
      <c r="X80" s="24"/>
      <c r="Y80" s="25"/>
      <c r="Z80" s="23">
        <v>0</v>
      </c>
      <c r="AA80" s="24"/>
      <c r="AB80" s="25"/>
      <c r="AC80" s="23">
        <v>0</v>
      </c>
      <c r="AD80" s="24"/>
      <c r="AE80" s="25"/>
      <c r="AF80" s="140">
        <f t="shared" si="6"/>
        <v>2359.5500000000002</v>
      </c>
      <c r="AG80" s="140"/>
      <c r="AH80" s="140"/>
      <c r="AI80" s="141">
        <f>AF80/AF103</f>
        <v>4.9392361232856626E-3</v>
      </c>
      <c r="AJ80" s="142">
        <f>0+AF80</f>
        <v>2359.5500000000002</v>
      </c>
      <c r="AK80" s="142"/>
    </row>
    <row r="81" spans="1:37" x14ac:dyDescent="0.25">
      <c r="A81" s="148" t="s">
        <v>82</v>
      </c>
      <c r="B81" s="140">
        <v>2056.7600000000002</v>
      </c>
      <c r="C81" s="140"/>
      <c r="D81" s="140"/>
      <c r="E81" s="23">
        <v>0</v>
      </c>
      <c r="F81" s="24"/>
      <c r="G81" s="25"/>
      <c r="H81" s="23">
        <v>0</v>
      </c>
      <c r="I81" s="24"/>
      <c r="J81" s="25"/>
      <c r="K81" s="23">
        <v>0</v>
      </c>
      <c r="L81" s="24"/>
      <c r="M81" s="25"/>
      <c r="N81" s="23">
        <v>0</v>
      </c>
      <c r="O81" s="24"/>
      <c r="P81" s="25"/>
      <c r="Q81" s="23">
        <v>0</v>
      </c>
      <c r="R81" s="24"/>
      <c r="S81" s="25"/>
      <c r="T81" s="23">
        <v>0</v>
      </c>
      <c r="U81" s="24"/>
      <c r="V81" s="25"/>
      <c r="W81" s="23">
        <v>0</v>
      </c>
      <c r="X81" s="24"/>
      <c r="Y81" s="25"/>
      <c r="Z81" s="23">
        <v>0</v>
      </c>
      <c r="AA81" s="24"/>
      <c r="AB81" s="25"/>
      <c r="AC81" s="23">
        <v>0</v>
      </c>
      <c r="AD81" s="24"/>
      <c r="AE81" s="25"/>
      <c r="AF81" s="140">
        <f t="shared" si="6"/>
        <v>0</v>
      </c>
      <c r="AG81" s="140"/>
      <c r="AH81" s="140"/>
      <c r="AI81" s="141">
        <f>AF81/AF103</f>
        <v>0</v>
      </c>
      <c r="AJ81" s="142">
        <f>2056.76+AF81</f>
        <v>2056.7600000000002</v>
      </c>
      <c r="AK81" s="142"/>
    </row>
    <row r="82" spans="1:37" x14ac:dyDescent="0.25">
      <c r="A82" s="148" t="s">
        <v>83</v>
      </c>
      <c r="B82" s="140">
        <v>147202.01999999999</v>
      </c>
      <c r="C82" s="140"/>
      <c r="D82" s="140"/>
      <c r="E82" s="23">
        <f>1386.11+400</f>
        <v>1786.11</v>
      </c>
      <c r="F82" s="24"/>
      <c r="G82" s="25"/>
      <c r="H82" s="23">
        <f>600+1904.25+2113.13</f>
        <v>4617.38</v>
      </c>
      <c r="I82" s="24"/>
      <c r="J82" s="25"/>
      <c r="K82" s="23">
        <f>600+2242.97+2528.19</f>
        <v>5371.16</v>
      </c>
      <c r="L82" s="24"/>
      <c r="M82" s="25"/>
      <c r="N82" s="23">
        <f>600+2571.62+2246.21</f>
        <v>5417.83</v>
      </c>
      <c r="O82" s="24"/>
      <c r="P82" s="25"/>
      <c r="Q82" s="23">
        <f>600+2654.97+2246.21</f>
        <v>5501.18</v>
      </c>
      <c r="R82" s="24"/>
      <c r="S82" s="25"/>
      <c r="T82" s="23">
        <f>600+2759.14+2246.23</f>
        <v>5605.37</v>
      </c>
      <c r="U82" s="24"/>
      <c r="V82" s="25"/>
      <c r="W82" s="23">
        <f>2759.14+2441.19+600+1280.38</f>
        <v>7080.71</v>
      </c>
      <c r="X82" s="24"/>
      <c r="Y82" s="25"/>
      <c r="Z82" s="23">
        <f>600+1876.62+2246.23</f>
        <v>4722.8500000000004</v>
      </c>
      <c r="AA82" s="24"/>
      <c r="AB82" s="25"/>
      <c r="AC82" s="23">
        <f>600+2759.14+2246.23</f>
        <v>5605.37</v>
      </c>
      <c r="AD82" s="24"/>
      <c r="AE82" s="25"/>
      <c r="AF82" s="140">
        <f t="shared" si="6"/>
        <v>45707.96</v>
      </c>
      <c r="AG82" s="140"/>
      <c r="AH82" s="140"/>
      <c r="AI82" s="141">
        <f>AF82/AF103</f>
        <v>9.5680281050919067E-2</v>
      </c>
      <c r="AJ82" s="142">
        <f>147202.02+AF82</f>
        <v>192909.97999999998</v>
      </c>
      <c r="AK82" s="142"/>
    </row>
    <row r="83" spans="1:37" x14ac:dyDescent="0.25">
      <c r="A83" s="148" t="s">
        <v>84</v>
      </c>
      <c r="B83" s="140">
        <v>119812.42</v>
      </c>
      <c r="C83" s="140"/>
      <c r="D83" s="140"/>
      <c r="E83" s="23">
        <f>35+47+47+14.1+94+488.27+380.7+503+47.63+66.81+66.81+31.4+45.25+47.63+1493.53+1493.53+78.96</f>
        <v>4980.62</v>
      </c>
      <c r="F83" s="24"/>
      <c r="G83" s="25"/>
      <c r="H83" s="23">
        <f>183.3+201.63+528+606.3+21.12</f>
        <v>1540.35</v>
      </c>
      <c r="I83" s="24"/>
      <c r="J83" s="25"/>
      <c r="K83" s="23">
        <f>184.98+532+449.62+93.29+61.2+371.3+677+1537.6</f>
        <v>3906.99</v>
      </c>
      <c r="L83" s="24"/>
      <c r="M83" s="25"/>
      <c r="N83" s="23">
        <f>449.62+97.24+1754.17+61.2+677</f>
        <v>3039.23</v>
      </c>
      <c r="O83" s="24"/>
      <c r="P83" s="25"/>
      <c r="Q83" s="23">
        <f>449.62+97.24+56.2+1754.17+709</f>
        <v>3066.23</v>
      </c>
      <c r="R83" s="24"/>
      <c r="S83" s="25"/>
      <c r="T83" s="23">
        <f>449.62+1854.14+549</f>
        <v>2852.76</v>
      </c>
      <c r="U83" s="24"/>
      <c r="V83" s="25"/>
      <c r="W83" s="23">
        <f>58.59+113.06+449.62+19.16+1835.58+699</f>
        <v>3175.0099999999998</v>
      </c>
      <c r="X83" s="24"/>
      <c r="Y83" s="25"/>
      <c r="Z83" s="23">
        <f>480.15+27.75+60.01+1891.33+108.1+699</f>
        <v>3266.3399999999997</v>
      </c>
      <c r="AA83" s="24"/>
      <c r="AB83" s="25"/>
      <c r="AC83" s="23">
        <f>449.62+500+97.25+2007.05+699+399.5+56.2</f>
        <v>4208.62</v>
      </c>
      <c r="AD83" s="24"/>
      <c r="AE83" s="25"/>
      <c r="AF83" s="140">
        <f t="shared" si="6"/>
        <v>30036.149999999998</v>
      </c>
      <c r="AG83" s="140"/>
      <c r="AH83" s="140"/>
      <c r="AI83" s="141">
        <f>AF83/AF103</f>
        <v>6.2874546877339593E-2</v>
      </c>
      <c r="AJ83" s="142">
        <f>119812.42+AF83</f>
        <v>149848.57</v>
      </c>
      <c r="AK83" s="142"/>
    </row>
    <row r="84" spans="1:37" x14ac:dyDescent="0.25">
      <c r="A84" s="132" t="s">
        <v>85</v>
      </c>
      <c r="B84" s="133">
        <f>SUM(B85:D89)</f>
        <v>21260.080000000002</v>
      </c>
      <c r="C84" s="133"/>
      <c r="D84" s="133"/>
      <c r="E84" s="134">
        <f>SUM(E85:G89)</f>
        <v>189.5</v>
      </c>
      <c r="F84" s="135"/>
      <c r="G84" s="136"/>
      <c r="H84" s="134">
        <f>SUM(H85:J89)</f>
        <v>34</v>
      </c>
      <c r="I84" s="135"/>
      <c r="J84" s="136"/>
      <c r="K84" s="134">
        <f>SUM(K85:M89)</f>
        <v>165.2</v>
      </c>
      <c r="L84" s="135"/>
      <c r="M84" s="136"/>
      <c r="N84" s="134">
        <f>SUM(N85:P89)</f>
        <v>0</v>
      </c>
      <c r="O84" s="135"/>
      <c r="P84" s="136"/>
      <c r="Q84" s="134">
        <f>SUM(Q85:S89)</f>
        <v>174.45999999999998</v>
      </c>
      <c r="R84" s="135"/>
      <c r="S84" s="136"/>
      <c r="T84" s="134">
        <f>SUM(T85:V89)</f>
        <v>237.11</v>
      </c>
      <c r="U84" s="135"/>
      <c r="V84" s="136"/>
      <c r="W84" s="134">
        <f>SUM(W85:Y89)</f>
        <v>116.2</v>
      </c>
      <c r="X84" s="135"/>
      <c r="Y84" s="136"/>
      <c r="Z84" s="134">
        <f>SUM(Z85:AB89)</f>
        <v>285.23</v>
      </c>
      <c r="AA84" s="135"/>
      <c r="AB84" s="136"/>
      <c r="AC84" s="134">
        <f>SUM(AC85:AE89)</f>
        <v>67.099999999999994</v>
      </c>
      <c r="AD84" s="135"/>
      <c r="AE84" s="136"/>
      <c r="AF84" s="149">
        <f>SUM(AF85:AH89)</f>
        <v>1268.7999999999997</v>
      </c>
      <c r="AG84" s="150"/>
      <c r="AH84" s="151"/>
      <c r="AI84" s="137">
        <f>AF84/AF103</f>
        <v>2.6559737209318921E-3</v>
      </c>
      <c r="AJ84" s="138">
        <f>SUM(AJ85:AK89)</f>
        <v>22528.880000000001</v>
      </c>
      <c r="AK84" s="138"/>
    </row>
    <row r="85" spans="1:37" x14ac:dyDescent="0.25">
      <c r="A85" s="139" t="s">
        <v>86</v>
      </c>
      <c r="B85" s="140">
        <v>4832.0600000000004</v>
      </c>
      <c r="C85" s="140"/>
      <c r="D85" s="140"/>
      <c r="E85" s="23">
        <v>0</v>
      </c>
      <c r="F85" s="24"/>
      <c r="G85" s="25"/>
      <c r="H85" s="23">
        <v>0</v>
      </c>
      <c r="I85" s="24"/>
      <c r="J85" s="25"/>
      <c r="K85" s="23">
        <v>0</v>
      </c>
      <c r="L85" s="24"/>
      <c r="M85" s="25"/>
      <c r="N85" s="23">
        <v>0</v>
      </c>
      <c r="O85" s="24"/>
      <c r="P85" s="25"/>
      <c r="Q85" s="23">
        <v>0</v>
      </c>
      <c r="R85" s="24"/>
      <c r="S85" s="25"/>
      <c r="T85" s="23">
        <v>0</v>
      </c>
      <c r="U85" s="24"/>
      <c r="V85" s="25"/>
      <c r="W85" s="23">
        <v>0</v>
      </c>
      <c r="X85" s="24"/>
      <c r="Y85" s="25"/>
      <c r="Z85" s="23">
        <v>0</v>
      </c>
      <c r="AA85" s="24"/>
      <c r="AB85" s="25"/>
      <c r="AC85" s="23">
        <v>0</v>
      </c>
      <c r="AD85" s="24"/>
      <c r="AE85" s="25"/>
      <c r="AF85" s="31">
        <f>0+E85+H85+K85+N85+Q85+T85+W85+Z85+AC85</f>
        <v>0</v>
      </c>
      <c r="AG85" s="32"/>
      <c r="AH85" s="33"/>
      <c r="AI85" s="141">
        <f>AF85/AF103</f>
        <v>0</v>
      </c>
      <c r="AJ85" s="142">
        <f>4832.06+AF85</f>
        <v>4832.0600000000004</v>
      </c>
      <c r="AK85" s="142"/>
    </row>
    <row r="86" spans="1:37" x14ac:dyDescent="0.25">
      <c r="A86" s="139" t="s">
        <v>87</v>
      </c>
      <c r="B86" s="31">
        <v>0</v>
      </c>
      <c r="C86" s="32"/>
      <c r="D86" s="33"/>
      <c r="E86" s="23">
        <v>0</v>
      </c>
      <c r="F86" s="24"/>
      <c r="G86" s="25"/>
      <c r="H86" s="23">
        <v>0</v>
      </c>
      <c r="I86" s="24"/>
      <c r="J86" s="25"/>
      <c r="K86" s="23">
        <v>0</v>
      </c>
      <c r="L86" s="24"/>
      <c r="M86" s="25"/>
      <c r="N86" s="23">
        <v>0</v>
      </c>
      <c r="O86" s="24"/>
      <c r="P86" s="25"/>
      <c r="Q86" s="23">
        <v>0</v>
      </c>
      <c r="R86" s="24"/>
      <c r="S86" s="25"/>
      <c r="T86" s="23">
        <v>0</v>
      </c>
      <c r="U86" s="24"/>
      <c r="V86" s="25"/>
      <c r="W86" s="23">
        <v>0</v>
      </c>
      <c r="X86" s="24"/>
      <c r="Y86" s="25"/>
      <c r="Z86" s="23">
        <v>0</v>
      </c>
      <c r="AA86" s="24"/>
      <c r="AB86" s="25"/>
      <c r="AC86" s="23">
        <v>0</v>
      </c>
      <c r="AD86" s="24"/>
      <c r="AE86" s="25"/>
      <c r="AF86" s="31">
        <f t="shared" ref="AF86:AF89" si="7">0+E86+H86+K86+N86+Q86+T86+W86+Z86+AC86</f>
        <v>0</v>
      </c>
      <c r="AG86" s="32"/>
      <c r="AH86" s="33"/>
      <c r="AI86" s="141">
        <f>AF86/AF103</f>
        <v>0</v>
      </c>
      <c r="AJ86" s="142">
        <f t="shared" ref="AJ86" si="8">0+AF86</f>
        <v>0</v>
      </c>
      <c r="AK86" s="142"/>
    </row>
    <row r="87" spans="1:37" x14ac:dyDescent="0.25">
      <c r="A87" s="139" t="s">
        <v>88</v>
      </c>
      <c r="B87" s="31">
        <v>1100</v>
      </c>
      <c r="C87" s="32"/>
      <c r="D87" s="33"/>
      <c r="E87" s="23">
        <f>17</f>
        <v>17</v>
      </c>
      <c r="F87" s="24"/>
      <c r="G87" s="25"/>
      <c r="H87" s="23">
        <f>17+17</f>
        <v>34</v>
      </c>
      <c r="I87" s="24"/>
      <c r="J87" s="25"/>
      <c r="K87" s="23">
        <f>17+27</f>
        <v>44</v>
      </c>
      <c r="L87" s="24"/>
      <c r="M87" s="25"/>
      <c r="N87" s="23">
        <v>0</v>
      </c>
      <c r="O87" s="24"/>
      <c r="P87" s="25"/>
      <c r="Q87" s="23">
        <f>17+15</f>
        <v>32</v>
      </c>
      <c r="R87" s="24"/>
      <c r="S87" s="25"/>
      <c r="T87" s="23">
        <f>17+15+31.04+29.71+17.66</f>
        <v>110.41</v>
      </c>
      <c r="U87" s="24"/>
      <c r="V87" s="25"/>
      <c r="W87" s="23">
        <f>15+17</f>
        <v>32</v>
      </c>
      <c r="X87" s="24"/>
      <c r="Y87" s="25"/>
      <c r="Z87" s="23">
        <f>17+14</f>
        <v>31</v>
      </c>
      <c r="AA87" s="24"/>
      <c r="AB87" s="25"/>
      <c r="AC87" s="23">
        <f>17+15</f>
        <v>32</v>
      </c>
      <c r="AD87" s="24"/>
      <c r="AE87" s="25"/>
      <c r="AF87" s="31">
        <f t="shared" si="7"/>
        <v>332.40999999999997</v>
      </c>
      <c r="AG87" s="32"/>
      <c r="AH87" s="33"/>
      <c r="AI87" s="141">
        <f>AF87/AF103</f>
        <v>6.9583245946955427E-4</v>
      </c>
      <c r="AJ87" s="142">
        <f>1100+AF87</f>
        <v>1432.4099999999999</v>
      </c>
      <c r="AK87" s="142"/>
    </row>
    <row r="88" spans="1:37" x14ac:dyDescent="0.25">
      <c r="A88" s="139" t="s">
        <v>89</v>
      </c>
      <c r="B88" s="31">
        <v>14793.96</v>
      </c>
      <c r="C88" s="32"/>
      <c r="D88" s="33"/>
      <c r="E88" s="23">
        <f>35.1+107.4</f>
        <v>142.5</v>
      </c>
      <c r="F88" s="24"/>
      <c r="G88" s="25"/>
      <c r="H88" s="23">
        <v>0</v>
      </c>
      <c r="I88" s="24"/>
      <c r="J88" s="25"/>
      <c r="K88" s="23">
        <f>44.3+35.1</f>
        <v>79.400000000000006</v>
      </c>
      <c r="L88" s="24"/>
      <c r="M88" s="25"/>
      <c r="N88" s="23">
        <v>0</v>
      </c>
      <c r="O88" s="24"/>
      <c r="P88" s="25"/>
      <c r="Q88" s="23">
        <f>9.2+35.1+38.2</f>
        <v>82.5</v>
      </c>
      <c r="R88" s="24"/>
      <c r="S88" s="25"/>
      <c r="T88" s="23">
        <f>45.8+80.9</f>
        <v>126.7</v>
      </c>
      <c r="U88" s="24"/>
      <c r="V88" s="25"/>
      <c r="W88" s="23">
        <f>49.1+35.1</f>
        <v>84.2</v>
      </c>
      <c r="X88" s="24"/>
      <c r="Y88" s="25"/>
      <c r="Z88" s="23">
        <f>74.1+35.1+12.85+70.2+20.35</f>
        <v>212.6</v>
      </c>
      <c r="AA88" s="24"/>
      <c r="AB88" s="25"/>
      <c r="AC88" s="23">
        <f>35.1</f>
        <v>35.1</v>
      </c>
      <c r="AD88" s="24"/>
      <c r="AE88" s="25"/>
      <c r="AF88" s="31">
        <f t="shared" si="7"/>
        <v>763</v>
      </c>
      <c r="AG88" s="32"/>
      <c r="AH88" s="33"/>
      <c r="AI88" s="141">
        <f>AF88/AF103</f>
        <v>1.5971847013485452E-3</v>
      </c>
      <c r="AJ88" s="142">
        <f>14793.96+AF88</f>
        <v>15556.96</v>
      </c>
      <c r="AK88" s="142"/>
    </row>
    <row r="89" spans="1:37" x14ac:dyDescent="0.25">
      <c r="A89" s="139" t="s">
        <v>90</v>
      </c>
      <c r="B89" s="31">
        <v>534.05999999999995</v>
      </c>
      <c r="C89" s="32"/>
      <c r="D89" s="33"/>
      <c r="E89" s="23">
        <f>16+14</f>
        <v>30</v>
      </c>
      <c r="F89" s="24"/>
      <c r="G89" s="25"/>
      <c r="H89" s="23">
        <v>0</v>
      </c>
      <c r="I89" s="24"/>
      <c r="J89" s="25"/>
      <c r="K89" s="23">
        <f>11.6+15.2+15</f>
        <v>41.8</v>
      </c>
      <c r="L89" s="24"/>
      <c r="M89" s="25"/>
      <c r="N89" s="23">
        <v>0</v>
      </c>
      <c r="O89" s="24"/>
      <c r="P89" s="25"/>
      <c r="Q89" s="23">
        <f>11+15.3+33.66</f>
        <v>59.959999999999994</v>
      </c>
      <c r="R89" s="24"/>
      <c r="S89" s="25"/>
      <c r="T89" s="23">
        <v>0</v>
      </c>
      <c r="U89" s="24"/>
      <c r="V89" s="25"/>
      <c r="W89" s="23">
        <v>0</v>
      </c>
      <c r="X89" s="24"/>
      <c r="Y89" s="25"/>
      <c r="Z89" s="23">
        <f>33.23+8.4</f>
        <v>41.629999999999995</v>
      </c>
      <c r="AA89" s="24"/>
      <c r="AB89" s="25"/>
      <c r="AC89" s="23">
        <v>0</v>
      </c>
      <c r="AD89" s="24"/>
      <c r="AE89" s="25"/>
      <c r="AF89" s="31">
        <f t="shared" si="7"/>
        <v>173.39</v>
      </c>
      <c r="AG89" s="32"/>
      <c r="AH89" s="33"/>
      <c r="AI89" s="141">
        <f>AF89/AF103</f>
        <v>3.6295656011379324E-4</v>
      </c>
      <c r="AJ89" s="142">
        <f>534.06+AF89</f>
        <v>707.44999999999993</v>
      </c>
      <c r="AK89" s="142"/>
    </row>
    <row r="90" spans="1:37" x14ac:dyDescent="0.25">
      <c r="A90" s="132" t="s">
        <v>91</v>
      </c>
      <c r="B90" s="149">
        <f>SUM(B91:D94)</f>
        <v>273602.88</v>
      </c>
      <c r="C90" s="150"/>
      <c r="D90" s="151"/>
      <c r="E90" s="134">
        <f>SUM(E91:G94)</f>
        <v>10089.06</v>
      </c>
      <c r="F90" s="135"/>
      <c r="G90" s="136"/>
      <c r="H90" s="134">
        <f t="shared" ref="H90" si="9">SUM(H91:J94)</f>
        <v>200</v>
      </c>
      <c r="I90" s="135"/>
      <c r="J90" s="136"/>
      <c r="K90" s="134">
        <f t="shared" ref="K90" si="10">SUM(K91:M94)</f>
        <v>300</v>
      </c>
      <c r="L90" s="135"/>
      <c r="M90" s="136"/>
      <c r="N90" s="134">
        <f t="shared" ref="N90" si="11">SUM(N91:P94)</f>
        <v>0</v>
      </c>
      <c r="O90" s="135"/>
      <c r="P90" s="136"/>
      <c r="Q90" s="134">
        <f t="shared" ref="Q90" si="12">SUM(Q91:S94)</f>
        <v>5783.0499999999993</v>
      </c>
      <c r="R90" s="135"/>
      <c r="S90" s="136"/>
      <c r="T90" s="134">
        <f t="shared" ref="T90" si="13">SUM(T91:V94)</f>
        <v>0</v>
      </c>
      <c r="U90" s="135"/>
      <c r="V90" s="136"/>
      <c r="W90" s="134">
        <f t="shared" ref="W90" si="14">SUM(W91:Y94)</f>
        <v>0</v>
      </c>
      <c r="X90" s="135"/>
      <c r="Y90" s="136"/>
      <c r="Z90" s="134">
        <f t="shared" ref="Z90" si="15">SUM(Z91:AB94)</f>
        <v>461</v>
      </c>
      <c r="AA90" s="135"/>
      <c r="AB90" s="136"/>
      <c r="AC90" s="134">
        <f t="shared" ref="AC90" si="16">SUM(AC91:AE94)</f>
        <v>0</v>
      </c>
      <c r="AD90" s="135"/>
      <c r="AE90" s="136"/>
      <c r="AF90" s="149">
        <f>SUM(AF91:AH94)</f>
        <v>16833.11</v>
      </c>
      <c r="AG90" s="150"/>
      <c r="AH90" s="151"/>
      <c r="AI90" s="137">
        <f>AF90/AF103</f>
        <v>3.5236678595173279E-2</v>
      </c>
      <c r="AJ90" s="138">
        <f>SUM(AJ91:AK94)</f>
        <v>290435.99</v>
      </c>
      <c r="AK90" s="138"/>
    </row>
    <row r="91" spans="1:37" x14ac:dyDescent="0.25">
      <c r="A91" s="139" t="s">
        <v>92</v>
      </c>
      <c r="B91" s="31">
        <f>93359.5</f>
        <v>93359.5</v>
      </c>
      <c r="C91" s="32"/>
      <c r="D91" s="33"/>
      <c r="E91" s="23">
        <f>9027.03+667.8</f>
        <v>9694.83</v>
      </c>
      <c r="F91" s="24"/>
      <c r="G91" s="25"/>
      <c r="H91" s="23">
        <v>0</v>
      </c>
      <c r="I91" s="24"/>
      <c r="J91" s="25"/>
      <c r="K91" s="23">
        <v>0</v>
      </c>
      <c r="L91" s="24"/>
      <c r="M91" s="25"/>
      <c r="N91" s="23">
        <v>0</v>
      </c>
      <c r="O91" s="24"/>
      <c r="P91" s="25"/>
      <c r="Q91" s="23">
        <f>4279.9+1503.15</f>
        <v>5783.0499999999993</v>
      </c>
      <c r="R91" s="24"/>
      <c r="S91" s="25"/>
      <c r="T91" s="23">
        <v>0</v>
      </c>
      <c r="U91" s="24"/>
      <c r="V91" s="25"/>
      <c r="W91" s="23">
        <v>0</v>
      </c>
      <c r="X91" s="24"/>
      <c r="Y91" s="25"/>
      <c r="Z91" s="23">
        <f>200+201</f>
        <v>401</v>
      </c>
      <c r="AA91" s="24"/>
      <c r="AB91" s="25"/>
      <c r="AC91" s="23">
        <v>0</v>
      </c>
      <c r="AD91" s="24"/>
      <c r="AE91" s="25"/>
      <c r="AF91" s="31">
        <f>0+E91+H91+K91+N91+Q91+T91+W91+Z91+AC91</f>
        <v>15878.88</v>
      </c>
      <c r="AG91" s="32"/>
      <c r="AH91" s="33"/>
      <c r="AI91" s="141">
        <f>AF91/AF103</f>
        <v>3.3239192936499851E-2</v>
      </c>
      <c r="AJ91" s="142">
        <f>93359.5+AF91</f>
        <v>109238.38</v>
      </c>
      <c r="AK91" s="142"/>
    </row>
    <row r="92" spans="1:37" x14ac:dyDescent="0.25">
      <c r="A92" s="139" t="s">
        <v>93</v>
      </c>
      <c r="B92" s="31">
        <v>1000</v>
      </c>
      <c r="C92" s="32"/>
      <c r="D92" s="33"/>
      <c r="E92" s="23">
        <v>0</v>
      </c>
      <c r="F92" s="24"/>
      <c r="G92" s="25"/>
      <c r="H92" s="23">
        <f>200</f>
        <v>200</v>
      </c>
      <c r="I92" s="24"/>
      <c r="J92" s="25"/>
      <c r="K92" s="23">
        <v>0</v>
      </c>
      <c r="L92" s="24"/>
      <c r="M92" s="25"/>
      <c r="N92" s="23">
        <v>0</v>
      </c>
      <c r="O92" s="24"/>
      <c r="P92" s="25"/>
      <c r="Q92" s="23">
        <v>0</v>
      </c>
      <c r="R92" s="24"/>
      <c r="S92" s="25"/>
      <c r="T92" s="23">
        <v>0</v>
      </c>
      <c r="U92" s="24"/>
      <c r="V92" s="25"/>
      <c r="W92" s="23">
        <v>0</v>
      </c>
      <c r="X92" s="24"/>
      <c r="Y92" s="25"/>
      <c r="Z92" s="23">
        <v>0</v>
      </c>
      <c r="AA92" s="24"/>
      <c r="AB92" s="25"/>
      <c r="AC92" s="23">
        <v>0</v>
      </c>
      <c r="AD92" s="24"/>
      <c r="AE92" s="25"/>
      <c r="AF92" s="31">
        <f t="shared" ref="AF92:AF94" si="17">0+E92+H92+K92+N92+Q92+T92+W92+Z92+AC92</f>
        <v>200</v>
      </c>
      <c r="AG92" s="32"/>
      <c r="AH92" s="33"/>
      <c r="AI92" s="141">
        <f>AF92/AF103</f>
        <v>4.186591615592517E-4</v>
      </c>
      <c r="AJ92" s="142">
        <f>1000+AF92</f>
        <v>1200</v>
      </c>
      <c r="AK92" s="142"/>
    </row>
    <row r="93" spans="1:37" x14ac:dyDescent="0.25">
      <c r="A93" s="139" t="s">
        <v>94</v>
      </c>
      <c r="B93" s="31">
        <v>179183.38</v>
      </c>
      <c r="C93" s="32"/>
      <c r="D93" s="33"/>
      <c r="E93" s="23">
        <f>20+20+20+20+20+20+100+174.23</f>
        <v>394.23</v>
      </c>
      <c r="F93" s="24"/>
      <c r="G93" s="25"/>
      <c r="H93" s="23">
        <v>0</v>
      </c>
      <c r="I93" s="24"/>
      <c r="J93" s="25"/>
      <c r="K93" s="23">
        <f>120+180</f>
        <v>300</v>
      </c>
      <c r="L93" s="24"/>
      <c r="M93" s="25"/>
      <c r="N93" s="23">
        <v>0</v>
      </c>
      <c r="O93" s="24"/>
      <c r="P93" s="25"/>
      <c r="Q93" s="23">
        <v>0</v>
      </c>
      <c r="R93" s="24"/>
      <c r="S93" s="25"/>
      <c r="T93" s="23">
        <v>0</v>
      </c>
      <c r="U93" s="24"/>
      <c r="V93" s="25"/>
      <c r="W93" s="23">
        <v>0</v>
      </c>
      <c r="X93" s="24"/>
      <c r="Y93" s="25"/>
      <c r="Z93" s="23">
        <v>0</v>
      </c>
      <c r="AA93" s="24"/>
      <c r="AB93" s="25"/>
      <c r="AC93" s="23">
        <v>0</v>
      </c>
      <c r="AD93" s="24"/>
      <c r="AE93" s="25"/>
      <c r="AF93" s="31">
        <f t="shared" si="17"/>
        <v>694.23</v>
      </c>
      <c r="AG93" s="32"/>
      <c r="AH93" s="33"/>
      <c r="AI93" s="141">
        <f>AF93/AF103</f>
        <v>1.4532287486463966E-3</v>
      </c>
      <c r="AJ93" s="142">
        <f>179183.38+AF93</f>
        <v>179877.61000000002</v>
      </c>
      <c r="AK93" s="142"/>
    </row>
    <row r="94" spans="1:37" x14ac:dyDescent="0.25">
      <c r="A94" s="139" t="s">
        <v>95</v>
      </c>
      <c r="B94" s="31">
        <v>60</v>
      </c>
      <c r="C94" s="32"/>
      <c r="D94" s="33"/>
      <c r="E94" s="23">
        <v>0</v>
      </c>
      <c r="F94" s="24"/>
      <c r="G94" s="25"/>
      <c r="H94" s="23">
        <v>0</v>
      </c>
      <c r="I94" s="24"/>
      <c r="J94" s="25"/>
      <c r="K94" s="23">
        <v>0</v>
      </c>
      <c r="L94" s="24"/>
      <c r="M94" s="25"/>
      <c r="N94" s="23">
        <v>0</v>
      </c>
      <c r="O94" s="24"/>
      <c r="P94" s="25"/>
      <c r="Q94" s="23">
        <v>0</v>
      </c>
      <c r="R94" s="24"/>
      <c r="S94" s="25"/>
      <c r="T94" s="23">
        <v>0</v>
      </c>
      <c r="U94" s="24"/>
      <c r="V94" s="25"/>
      <c r="W94" s="23">
        <v>0</v>
      </c>
      <c r="X94" s="24"/>
      <c r="Y94" s="25"/>
      <c r="Z94" s="23">
        <f>60</f>
        <v>60</v>
      </c>
      <c r="AA94" s="24"/>
      <c r="AB94" s="25"/>
      <c r="AC94" s="23">
        <v>0</v>
      </c>
      <c r="AD94" s="24"/>
      <c r="AE94" s="25"/>
      <c r="AF94" s="31">
        <f t="shared" si="17"/>
        <v>60</v>
      </c>
      <c r="AG94" s="32"/>
      <c r="AH94" s="33"/>
      <c r="AI94" s="141">
        <f>AF94/AF103</f>
        <v>1.2559774846777552E-4</v>
      </c>
      <c r="AJ94" s="142">
        <f>60+AF94</f>
        <v>120</v>
      </c>
      <c r="AK94" s="142"/>
    </row>
    <row r="95" spans="1:37" x14ac:dyDescent="0.25">
      <c r="A95" s="132" t="s">
        <v>96</v>
      </c>
      <c r="B95" s="149">
        <f>SUM(B96:D102)</f>
        <v>178248.91999999998</v>
      </c>
      <c r="C95" s="150"/>
      <c r="D95" s="151"/>
      <c r="E95" s="134">
        <f>SUM(E96:G102)</f>
        <v>4770.4400000000005</v>
      </c>
      <c r="F95" s="135"/>
      <c r="G95" s="136"/>
      <c r="H95" s="134">
        <f t="shared" ref="H95" si="18">SUM(H96:J102)</f>
        <v>6178.1900000000005</v>
      </c>
      <c r="I95" s="135"/>
      <c r="J95" s="136"/>
      <c r="K95" s="134">
        <f t="shared" ref="K95" si="19">SUM(K96:M102)</f>
        <v>8814.16</v>
      </c>
      <c r="L95" s="135"/>
      <c r="M95" s="136"/>
      <c r="N95" s="134">
        <f t="shared" ref="N95" si="20">SUM(N96:P102)</f>
        <v>0</v>
      </c>
      <c r="O95" s="135"/>
      <c r="P95" s="136"/>
      <c r="Q95" s="134">
        <f t="shared" ref="Q95" si="21">SUM(Q96:S102)</f>
        <v>0</v>
      </c>
      <c r="R95" s="135"/>
      <c r="S95" s="136"/>
      <c r="T95" s="134">
        <f t="shared" ref="T95" si="22">SUM(T96:V102)</f>
        <v>0</v>
      </c>
      <c r="U95" s="135"/>
      <c r="V95" s="136"/>
      <c r="W95" s="134">
        <f t="shared" ref="W95" si="23">SUM(W96:Y102)</f>
        <v>0</v>
      </c>
      <c r="X95" s="135"/>
      <c r="Y95" s="136"/>
      <c r="Z95" s="134">
        <f t="shared" ref="Z95" si="24">SUM(Z96:AB102)</f>
        <v>0</v>
      </c>
      <c r="AA95" s="135"/>
      <c r="AB95" s="136"/>
      <c r="AC95" s="134">
        <f t="shared" ref="AC95" si="25">SUM(AC96:AE102)</f>
        <v>0</v>
      </c>
      <c r="AD95" s="135"/>
      <c r="AE95" s="136"/>
      <c r="AF95" s="149">
        <f>SUM(AF96:AH102)</f>
        <v>19762.79</v>
      </c>
      <c r="AG95" s="150"/>
      <c r="AH95" s="151"/>
      <c r="AI95" s="137">
        <f>AF95/AF103</f>
        <v>4.1369365457357823E-2</v>
      </c>
      <c r="AJ95" s="138">
        <f>SUM(AJ96:AK102)</f>
        <v>198011.71000000002</v>
      </c>
      <c r="AK95" s="138"/>
    </row>
    <row r="96" spans="1:37" x14ac:dyDescent="0.25">
      <c r="A96" s="148" t="s">
        <v>97</v>
      </c>
      <c r="B96" s="31">
        <v>74980.759999999995</v>
      </c>
      <c r="C96" s="32"/>
      <c r="D96" s="33"/>
      <c r="E96" s="23">
        <v>2616.9499999999998</v>
      </c>
      <c r="F96" s="24"/>
      <c r="G96" s="25"/>
      <c r="H96" s="23">
        <f>1710.68+355.51+1760.11</f>
        <v>3826.3</v>
      </c>
      <c r="I96" s="24"/>
      <c r="J96" s="25"/>
      <c r="K96" s="23">
        <f>1556.68+1195.41</f>
        <v>2752.09</v>
      </c>
      <c r="L96" s="24"/>
      <c r="M96" s="25"/>
      <c r="N96" s="23">
        <v>0</v>
      </c>
      <c r="O96" s="24"/>
      <c r="P96" s="25"/>
      <c r="Q96" s="23">
        <v>0</v>
      </c>
      <c r="R96" s="24"/>
      <c r="S96" s="25"/>
      <c r="T96" s="23">
        <v>0</v>
      </c>
      <c r="U96" s="24"/>
      <c r="V96" s="25"/>
      <c r="W96" s="23">
        <v>0</v>
      </c>
      <c r="X96" s="24"/>
      <c r="Y96" s="25"/>
      <c r="Z96" s="23">
        <v>0</v>
      </c>
      <c r="AA96" s="24"/>
      <c r="AB96" s="25"/>
      <c r="AC96" s="23">
        <v>0</v>
      </c>
      <c r="AD96" s="24"/>
      <c r="AE96" s="25"/>
      <c r="AF96" s="31">
        <f>0+E96+H96+K96+N96+Q96+T96+W96+Z96+AC96</f>
        <v>9195.34</v>
      </c>
      <c r="AG96" s="32"/>
      <c r="AH96" s="33"/>
      <c r="AI96" s="141">
        <f>AF96/AF103</f>
        <v>1.9248566673261247E-2</v>
      </c>
      <c r="AJ96" s="142">
        <f>74980.76+AF96</f>
        <v>84176.099999999991</v>
      </c>
      <c r="AK96" s="142"/>
    </row>
    <row r="97" spans="1:38" x14ac:dyDescent="0.25">
      <c r="A97" s="148" t="s">
        <v>98</v>
      </c>
      <c r="B97" s="31">
        <v>19327.43</v>
      </c>
      <c r="C97" s="32"/>
      <c r="D97" s="33"/>
      <c r="E97" s="23">
        <v>0</v>
      </c>
      <c r="F97" s="24"/>
      <c r="G97" s="25"/>
      <c r="H97" s="23">
        <f>1034</f>
        <v>1034</v>
      </c>
      <c r="I97" s="24"/>
      <c r="J97" s="25"/>
      <c r="K97" s="23">
        <v>0</v>
      </c>
      <c r="L97" s="24"/>
      <c r="M97" s="25"/>
      <c r="N97" s="23">
        <v>0</v>
      </c>
      <c r="O97" s="24"/>
      <c r="P97" s="25"/>
      <c r="Q97" s="23">
        <v>0</v>
      </c>
      <c r="R97" s="24"/>
      <c r="S97" s="25"/>
      <c r="T97" s="23">
        <v>0</v>
      </c>
      <c r="U97" s="24"/>
      <c r="V97" s="25"/>
      <c r="W97" s="23">
        <v>0</v>
      </c>
      <c r="X97" s="24"/>
      <c r="Y97" s="25"/>
      <c r="Z97" s="23">
        <v>0</v>
      </c>
      <c r="AA97" s="24"/>
      <c r="AB97" s="25"/>
      <c r="AC97" s="23">
        <v>0</v>
      </c>
      <c r="AD97" s="24"/>
      <c r="AE97" s="25"/>
      <c r="AF97" s="31">
        <f t="shared" ref="AF97:AF102" si="26">0+E97+H97+K97+N97+Q97+T97+W97+Z97+AC97</f>
        <v>1034</v>
      </c>
      <c r="AG97" s="32"/>
      <c r="AH97" s="33"/>
      <c r="AI97" s="141">
        <f>AF97/AF103</f>
        <v>2.1644678652613315E-3</v>
      </c>
      <c r="AJ97" s="142">
        <f>19327.43+AF97</f>
        <v>20361.43</v>
      </c>
      <c r="AK97" s="142"/>
    </row>
    <row r="98" spans="1:38" x14ac:dyDescent="0.25">
      <c r="A98" s="148" t="s">
        <v>99</v>
      </c>
      <c r="B98" s="31">
        <v>24884.52</v>
      </c>
      <c r="C98" s="32"/>
      <c r="D98" s="33"/>
      <c r="E98" s="23">
        <f>751.76</f>
        <v>751.76</v>
      </c>
      <c r="F98" s="24"/>
      <c r="G98" s="25"/>
      <c r="H98" s="23">
        <f>1317.89</f>
        <v>1317.89</v>
      </c>
      <c r="I98" s="24"/>
      <c r="J98" s="25"/>
      <c r="K98" s="23">
        <f>858</f>
        <v>858</v>
      </c>
      <c r="L98" s="24"/>
      <c r="M98" s="25"/>
      <c r="N98" s="23">
        <v>0</v>
      </c>
      <c r="O98" s="24"/>
      <c r="P98" s="25"/>
      <c r="Q98" s="23">
        <v>0</v>
      </c>
      <c r="R98" s="24"/>
      <c r="S98" s="25"/>
      <c r="T98" s="23">
        <v>0</v>
      </c>
      <c r="U98" s="24"/>
      <c r="V98" s="25"/>
      <c r="W98" s="23">
        <v>0</v>
      </c>
      <c r="X98" s="24"/>
      <c r="Y98" s="25"/>
      <c r="Z98" s="23">
        <v>0</v>
      </c>
      <c r="AA98" s="24"/>
      <c r="AB98" s="25"/>
      <c r="AC98" s="23">
        <v>0</v>
      </c>
      <c r="AD98" s="24"/>
      <c r="AE98" s="25"/>
      <c r="AF98" s="31">
        <f t="shared" si="26"/>
        <v>2927.65</v>
      </c>
      <c r="AG98" s="32"/>
      <c r="AH98" s="33"/>
      <c r="AI98" s="141">
        <f>AF98/AF103</f>
        <v>6.1284374716947167E-3</v>
      </c>
      <c r="AJ98" s="142">
        <f>24884.52+AF98</f>
        <v>27812.170000000002</v>
      </c>
      <c r="AK98" s="142"/>
    </row>
    <row r="99" spans="1:38" x14ac:dyDescent="0.25">
      <c r="A99" s="148" t="s">
        <v>100</v>
      </c>
      <c r="B99" s="31">
        <v>6131.04</v>
      </c>
      <c r="C99" s="32"/>
      <c r="D99" s="33"/>
      <c r="E99" s="23">
        <v>0</v>
      </c>
      <c r="F99" s="24"/>
      <c r="G99" s="25"/>
      <c r="H99" s="23">
        <v>0</v>
      </c>
      <c r="I99" s="24"/>
      <c r="J99" s="25"/>
      <c r="K99" s="23">
        <f>1527.85</f>
        <v>1527.85</v>
      </c>
      <c r="L99" s="24"/>
      <c r="M99" s="25"/>
      <c r="N99" s="23">
        <v>0</v>
      </c>
      <c r="O99" s="24"/>
      <c r="P99" s="25"/>
      <c r="Q99" s="23">
        <v>0</v>
      </c>
      <c r="R99" s="24"/>
      <c r="S99" s="25"/>
      <c r="T99" s="23">
        <v>0</v>
      </c>
      <c r="U99" s="24"/>
      <c r="V99" s="25"/>
      <c r="W99" s="23">
        <v>0</v>
      </c>
      <c r="X99" s="24"/>
      <c r="Y99" s="25"/>
      <c r="Z99" s="23">
        <v>0</v>
      </c>
      <c r="AA99" s="24"/>
      <c r="AB99" s="25"/>
      <c r="AC99" s="23">
        <v>0</v>
      </c>
      <c r="AD99" s="24"/>
      <c r="AE99" s="25"/>
      <c r="AF99" s="31">
        <f t="shared" si="26"/>
        <v>1527.85</v>
      </c>
      <c r="AG99" s="32"/>
      <c r="AH99" s="33"/>
      <c r="AI99" s="152">
        <f>AF99/AF103</f>
        <v>3.1982419999415134E-3</v>
      </c>
      <c r="AJ99" s="142">
        <f>6131.04+AF99</f>
        <v>7658.8899999999994</v>
      </c>
      <c r="AK99" s="142"/>
    </row>
    <row r="100" spans="1:38" x14ac:dyDescent="0.25">
      <c r="A100" s="148" t="s">
        <v>101</v>
      </c>
      <c r="B100" s="31">
        <v>8096.72</v>
      </c>
      <c r="C100" s="32"/>
      <c r="D100" s="33"/>
      <c r="E100" s="23">
        <v>0</v>
      </c>
      <c r="F100" s="24"/>
      <c r="G100" s="25"/>
      <c r="H100" s="23">
        <v>0</v>
      </c>
      <c r="I100" s="24"/>
      <c r="J100" s="25"/>
      <c r="K100" s="23">
        <f>774.85</f>
        <v>774.85</v>
      </c>
      <c r="L100" s="24"/>
      <c r="M100" s="25"/>
      <c r="N100" s="23">
        <v>0</v>
      </c>
      <c r="O100" s="24"/>
      <c r="P100" s="25"/>
      <c r="Q100" s="23">
        <v>0</v>
      </c>
      <c r="R100" s="24"/>
      <c r="S100" s="25"/>
      <c r="T100" s="23">
        <v>0</v>
      </c>
      <c r="U100" s="24"/>
      <c r="V100" s="25"/>
      <c r="W100" s="23">
        <v>0</v>
      </c>
      <c r="X100" s="24"/>
      <c r="Y100" s="25"/>
      <c r="Z100" s="23">
        <v>0</v>
      </c>
      <c r="AA100" s="24"/>
      <c r="AB100" s="25"/>
      <c r="AC100" s="23">
        <v>0</v>
      </c>
      <c r="AD100" s="24"/>
      <c r="AE100" s="25"/>
      <c r="AF100" s="31">
        <f t="shared" si="26"/>
        <v>774.85</v>
      </c>
      <c r="AG100" s="32"/>
      <c r="AH100" s="33"/>
      <c r="AI100" s="141">
        <f>AF100/AF103</f>
        <v>1.6219902566709311E-3</v>
      </c>
      <c r="AJ100" s="142">
        <f>8096.72+AF100</f>
        <v>8871.57</v>
      </c>
      <c r="AK100" s="142"/>
    </row>
    <row r="101" spans="1:38" x14ac:dyDescent="0.25">
      <c r="A101" s="148" t="s">
        <v>102</v>
      </c>
      <c r="B101" s="31">
        <v>14414.08</v>
      </c>
      <c r="C101" s="32"/>
      <c r="D101" s="33"/>
      <c r="E101" s="23">
        <v>0</v>
      </c>
      <c r="F101" s="24"/>
      <c r="G101" s="25"/>
      <c r="H101" s="23">
        <v>0</v>
      </c>
      <c r="I101" s="24"/>
      <c r="J101" s="25"/>
      <c r="K101" s="23">
        <v>0</v>
      </c>
      <c r="L101" s="24"/>
      <c r="M101" s="25"/>
      <c r="N101" s="23">
        <v>0</v>
      </c>
      <c r="O101" s="24"/>
      <c r="P101" s="25"/>
      <c r="Q101" s="23">
        <v>0</v>
      </c>
      <c r="R101" s="24"/>
      <c r="S101" s="25"/>
      <c r="T101" s="23">
        <v>0</v>
      </c>
      <c r="U101" s="24"/>
      <c r="V101" s="25"/>
      <c r="W101" s="23">
        <v>0</v>
      </c>
      <c r="X101" s="24"/>
      <c r="Y101" s="25"/>
      <c r="Z101" s="23">
        <v>0</v>
      </c>
      <c r="AA101" s="24"/>
      <c r="AB101" s="25"/>
      <c r="AC101" s="23">
        <v>0</v>
      </c>
      <c r="AD101" s="24"/>
      <c r="AE101" s="25"/>
      <c r="AF101" s="31">
        <f t="shared" si="26"/>
        <v>0</v>
      </c>
      <c r="AG101" s="32"/>
      <c r="AH101" s="33"/>
      <c r="AI101" s="141">
        <f>AF101/AF103</f>
        <v>0</v>
      </c>
      <c r="AJ101" s="142">
        <f>14414.08+AF101</f>
        <v>14414.08</v>
      </c>
      <c r="AK101" s="142"/>
    </row>
    <row r="102" spans="1:38" x14ac:dyDescent="0.25">
      <c r="A102" s="148" t="s">
        <v>103</v>
      </c>
      <c r="B102" s="31">
        <v>30414.37</v>
      </c>
      <c r="C102" s="32"/>
      <c r="D102" s="33"/>
      <c r="E102" s="23">
        <f>1045.9+241.2+12.73+21.9+30+50</f>
        <v>1401.7300000000002</v>
      </c>
      <c r="F102" s="24"/>
      <c r="G102" s="25"/>
      <c r="H102" s="23">
        <v>0</v>
      </c>
      <c r="I102" s="24"/>
      <c r="J102" s="25"/>
      <c r="K102" s="23">
        <f>2901.37</f>
        <v>2901.37</v>
      </c>
      <c r="L102" s="24"/>
      <c r="M102" s="25"/>
      <c r="N102" s="23">
        <v>0</v>
      </c>
      <c r="O102" s="24"/>
      <c r="P102" s="25"/>
      <c r="Q102" s="23">
        <v>0</v>
      </c>
      <c r="R102" s="24"/>
      <c r="S102" s="25"/>
      <c r="T102" s="23">
        <v>0</v>
      </c>
      <c r="U102" s="24"/>
      <c r="V102" s="25"/>
      <c r="W102" s="23">
        <v>0</v>
      </c>
      <c r="X102" s="24"/>
      <c r="Y102" s="25"/>
      <c r="Z102" s="23">
        <v>0</v>
      </c>
      <c r="AA102" s="24"/>
      <c r="AB102" s="25"/>
      <c r="AC102" s="23">
        <v>0</v>
      </c>
      <c r="AD102" s="24"/>
      <c r="AE102" s="25"/>
      <c r="AF102" s="31">
        <f t="shared" si="26"/>
        <v>4303.1000000000004</v>
      </c>
      <c r="AG102" s="32"/>
      <c r="AH102" s="33"/>
      <c r="AI102" s="141">
        <f>AF102/AF103</f>
        <v>9.0076611905280813E-3</v>
      </c>
      <c r="AJ102" s="142">
        <f>30414.37+AF102</f>
        <v>34717.47</v>
      </c>
      <c r="AK102" s="142"/>
    </row>
    <row r="103" spans="1:38" x14ac:dyDescent="0.25">
      <c r="A103" s="153" t="s">
        <v>104</v>
      </c>
      <c r="B103" s="154">
        <v>665976.37</v>
      </c>
      <c r="C103" s="155"/>
      <c r="D103" s="156"/>
      <c r="E103" s="154">
        <f>E33+E42+E46+E50+E64+E69+E84+E90+E95</f>
        <v>60661.509999999995</v>
      </c>
      <c r="F103" s="155"/>
      <c r="G103" s="156"/>
      <c r="H103" s="154">
        <f>H33+H42+H46+H50+H64+H69+H84+H90+H95</f>
        <v>41855.070000000007</v>
      </c>
      <c r="I103" s="155"/>
      <c r="J103" s="156"/>
      <c r="K103" s="154">
        <f>K33+K42+K46+K50+K64+K69+K84+K90+K95</f>
        <v>48116</v>
      </c>
      <c r="L103" s="155"/>
      <c r="M103" s="156"/>
      <c r="N103" s="154">
        <f>N33+N42+N46+N50+N64+N69+N84+N90+N95</f>
        <v>72473.42</v>
      </c>
      <c r="O103" s="155"/>
      <c r="P103" s="156"/>
      <c r="Q103" s="154">
        <f>Q33+Q42+Q46+Q50+Q64+Q69+Q84+Q90+Q95</f>
        <v>60471.19</v>
      </c>
      <c r="R103" s="155"/>
      <c r="S103" s="156"/>
      <c r="T103" s="154">
        <f>T33+T42+T46+T50+T64+T69+T84+T90+T95</f>
        <v>82771.33</v>
      </c>
      <c r="U103" s="155"/>
      <c r="V103" s="156"/>
      <c r="W103" s="154">
        <f>W33+W42+W46+W50+W64+W69+W84+W90+W95</f>
        <v>33141.39</v>
      </c>
      <c r="X103" s="155"/>
      <c r="Y103" s="156"/>
      <c r="Z103" s="154">
        <f>Z33+Z42+Z46+Z50+Z64+Z69+Z84+Z90+Z95</f>
        <v>44031.850000000006</v>
      </c>
      <c r="AA103" s="155"/>
      <c r="AB103" s="156"/>
      <c r="AC103" s="154">
        <f>AC33+AC42+AC46+AC50+AC64+AC69+AC84+AC90+AC95</f>
        <v>34193.810000000005</v>
      </c>
      <c r="AD103" s="155"/>
      <c r="AE103" s="156"/>
      <c r="AF103" s="154">
        <f>SUM(AF33+AF42+AF46+AF50+AF64+AF69+AF84+AF90+AF95)</f>
        <v>477715.56999999995</v>
      </c>
      <c r="AG103" s="155"/>
      <c r="AH103" s="156"/>
      <c r="AI103" s="157">
        <f>AF103/AF103</f>
        <v>1</v>
      </c>
      <c r="AJ103" s="158">
        <f>SUM(AJ33+AJ42+AJ46+AJ50+AJ64+AJ69+AJ84+AJ90+AJ95)</f>
        <v>2513916.71</v>
      </c>
      <c r="AK103" s="158"/>
    </row>
    <row r="104" spans="1:38" x14ac:dyDescent="0.25">
      <c r="A104" s="159" t="s">
        <v>105</v>
      </c>
      <c r="B104" s="160">
        <f>D27-B105</f>
        <v>2150247.92</v>
      </c>
      <c r="C104" s="161"/>
      <c r="D104" s="162"/>
      <c r="E104" s="163">
        <f>G27-E103</f>
        <v>63337.280000000013</v>
      </c>
      <c r="F104" s="163"/>
      <c r="G104" s="163"/>
      <c r="H104" s="163">
        <f>J27-H103</f>
        <v>79118.739999999991</v>
      </c>
      <c r="I104" s="163"/>
      <c r="J104" s="163"/>
      <c r="K104" s="163">
        <f>M27-K103</f>
        <v>-39763.53</v>
      </c>
      <c r="L104" s="163"/>
      <c r="M104" s="163"/>
      <c r="N104" s="163">
        <f>P27-N103</f>
        <v>49000.380000000005</v>
      </c>
      <c r="O104" s="163"/>
      <c r="P104" s="163"/>
      <c r="Q104" s="163">
        <f>S27-Q103</f>
        <v>-53036.22</v>
      </c>
      <c r="R104" s="163"/>
      <c r="S104" s="163"/>
      <c r="T104" s="163">
        <f>V27-T103</f>
        <v>38238.990000000005</v>
      </c>
      <c r="U104" s="163"/>
      <c r="V104" s="163"/>
      <c r="W104" s="163">
        <f>Y27-W103</f>
        <v>-26645.759999999998</v>
      </c>
      <c r="X104" s="163"/>
      <c r="Y104" s="163"/>
      <c r="Z104" s="163">
        <f>AB27-Z103</f>
        <v>85346.12</v>
      </c>
      <c r="AA104" s="163"/>
      <c r="AB104" s="163"/>
      <c r="AC104" s="163">
        <f>AE27-AC103</f>
        <v>-26560.850000000006</v>
      </c>
      <c r="AD104" s="163"/>
      <c r="AE104" s="163"/>
      <c r="AF104" s="164">
        <f>AH27-AF103</f>
        <v>169035.15000000014</v>
      </c>
      <c r="AG104" s="164"/>
      <c r="AH104" s="164"/>
      <c r="AI104" s="165">
        <f>AK27-AJ103</f>
        <v>2319283.0700000003</v>
      </c>
      <c r="AJ104" s="165"/>
      <c r="AK104" s="165"/>
    </row>
    <row r="105" spans="1:38" x14ac:dyDescent="0.25">
      <c r="A105" s="166" t="s">
        <v>106</v>
      </c>
      <c r="B105" s="167">
        <v>2036201.14</v>
      </c>
      <c r="C105" s="167"/>
      <c r="D105" s="167"/>
      <c r="E105" s="168"/>
      <c r="F105" s="168"/>
      <c r="G105" s="168"/>
      <c r="H105" s="169"/>
      <c r="I105" s="169"/>
      <c r="J105" s="168"/>
      <c r="K105" s="169"/>
      <c r="L105" s="169"/>
      <c r="M105" s="168"/>
      <c r="N105" s="169"/>
      <c r="O105" s="169"/>
      <c r="P105" s="168"/>
      <c r="Q105" s="169"/>
      <c r="R105" s="169"/>
      <c r="S105" s="168"/>
      <c r="T105" s="169"/>
      <c r="U105" s="169"/>
      <c r="V105" s="168"/>
      <c r="W105" s="169"/>
      <c r="X105" s="169"/>
      <c r="Y105" s="168"/>
      <c r="Z105" s="169"/>
      <c r="AA105" s="169"/>
      <c r="AB105" s="168"/>
      <c r="AC105" s="169"/>
      <c r="AD105" s="169"/>
      <c r="AE105" s="168"/>
      <c r="AF105" s="169"/>
      <c r="AG105" s="169"/>
      <c r="AH105" s="169"/>
      <c r="AI105" s="170"/>
      <c r="AJ105" s="170"/>
      <c r="AK105" s="170"/>
    </row>
    <row r="106" spans="1:38" x14ac:dyDescent="0.25">
      <c r="A106" s="171"/>
      <c r="B106" s="172"/>
      <c r="C106" s="172"/>
      <c r="D106" s="172"/>
      <c r="E106" s="172"/>
      <c r="F106" s="172"/>
      <c r="G106" s="172"/>
      <c r="H106" s="172"/>
      <c r="I106" s="172"/>
      <c r="J106" s="172"/>
      <c r="K106" s="172"/>
      <c r="L106" s="172"/>
      <c r="M106" s="172"/>
      <c r="N106" s="172"/>
      <c r="O106" s="172"/>
      <c r="P106" s="172"/>
      <c r="Q106" s="172"/>
      <c r="R106" s="172"/>
      <c r="S106" s="172"/>
      <c r="T106" s="172"/>
      <c r="U106" s="172"/>
      <c r="V106" s="172"/>
      <c r="W106" s="172"/>
      <c r="X106" s="172"/>
      <c r="Y106" s="172"/>
      <c r="Z106" s="172"/>
      <c r="AA106" s="172"/>
      <c r="AB106" s="172"/>
      <c r="AC106" s="172"/>
      <c r="AD106" s="172"/>
      <c r="AE106" s="172"/>
      <c r="AF106" s="172"/>
      <c r="AG106" s="172"/>
      <c r="AH106" s="172"/>
      <c r="AI106" s="172"/>
      <c r="AJ106" s="172"/>
      <c r="AK106" s="172"/>
    </row>
    <row r="107" spans="1:38" x14ac:dyDescent="0.25">
      <c r="A107" s="173"/>
      <c r="B107" s="173"/>
      <c r="C107" s="173"/>
      <c r="D107" s="173"/>
      <c r="E107" s="173"/>
      <c r="F107" s="173"/>
      <c r="G107" s="173"/>
      <c r="H107" s="172"/>
      <c r="I107" s="172"/>
      <c r="J107" s="172"/>
      <c r="K107" s="172"/>
      <c r="L107" s="172"/>
      <c r="M107" s="172"/>
      <c r="N107" s="172"/>
      <c r="O107" s="172"/>
      <c r="P107" s="172"/>
      <c r="Q107" s="172"/>
      <c r="R107" s="172"/>
      <c r="S107" s="172"/>
      <c r="T107" s="172"/>
      <c r="U107" s="172"/>
      <c r="V107" s="172"/>
      <c r="W107" s="172"/>
      <c r="X107" s="172"/>
      <c r="Y107" s="172"/>
      <c r="Z107" s="172"/>
      <c r="AA107" s="172"/>
      <c r="AB107" s="172"/>
      <c r="AC107" s="172"/>
      <c r="AD107" s="172"/>
      <c r="AE107" s="172"/>
      <c r="AF107" s="172"/>
      <c r="AG107" s="172"/>
      <c r="AH107" s="172"/>
      <c r="AI107" s="172"/>
      <c r="AJ107" s="172"/>
      <c r="AK107" s="172"/>
    </row>
    <row r="108" spans="1:38" ht="15" customHeight="1" x14ac:dyDescent="0.25">
      <c r="A108" s="174" t="s">
        <v>107</v>
      </c>
      <c r="B108" s="175" t="s">
        <v>108</v>
      </c>
      <c r="C108" s="176"/>
      <c r="D108" s="176"/>
      <c r="E108" s="177" t="s">
        <v>3</v>
      </c>
      <c r="F108" s="178"/>
      <c r="G108" s="179"/>
      <c r="H108" s="180" t="s">
        <v>4</v>
      </c>
      <c r="I108" s="180"/>
      <c r="J108" s="180"/>
      <c r="K108" s="180" t="s">
        <v>5</v>
      </c>
      <c r="L108" s="180"/>
      <c r="M108" s="180"/>
      <c r="N108" s="180" t="s">
        <v>6</v>
      </c>
      <c r="O108" s="180"/>
      <c r="P108" s="180"/>
      <c r="Q108" s="180" t="s">
        <v>7</v>
      </c>
      <c r="R108" s="180"/>
      <c r="S108" s="180"/>
      <c r="T108" s="181" t="s">
        <v>8</v>
      </c>
      <c r="U108" s="181"/>
      <c r="V108" s="181"/>
      <c r="W108" s="181" t="s">
        <v>9</v>
      </c>
      <c r="X108" s="181"/>
      <c r="Y108" s="181"/>
      <c r="Z108" s="181" t="s">
        <v>10</v>
      </c>
      <c r="AA108" s="181"/>
      <c r="AB108" s="181"/>
      <c r="AC108" s="181" t="s">
        <v>11</v>
      </c>
      <c r="AD108" s="181"/>
      <c r="AE108" s="181"/>
      <c r="AF108" s="182"/>
      <c r="AG108" s="182"/>
      <c r="AH108" s="182"/>
      <c r="AI108" s="182"/>
      <c r="AJ108" s="182"/>
      <c r="AK108" s="182"/>
    </row>
    <row r="109" spans="1:38" x14ac:dyDescent="0.25">
      <c r="A109" s="183" t="s">
        <v>109</v>
      </c>
      <c r="B109" s="184">
        <f>344608.99</f>
        <v>344608.99</v>
      </c>
      <c r="C109" s="185"/>
      <c r="D109" s="186"/>
      <c r="E109" s="187">
        <f>B109+103000+1258.22-33476.8-48.46</f>
        <v>415341.94999999995</v>
      </c>
      <c r="F109" s="188"/>
      <c r="G109" s="189"/>
      <c r="H109" s="40">
        <f>E109-33646.97+989.67-72.49</f>
        <v>382612.16</v>
      </c>
      <c r="I109" s="40"/>
      <c r="J109" s="40"/>
      <c r="K109" s="40">
        <f>H109+100000-36971.24-103.47+1353.08</f>
        <v>446890.53</v>
      </c>
      <c r="L109" s="40"/>
      <c r="M109" s="40"/>
      <c r="N109" s="187">
        <f>K109+994.9-163-53478.09</f>
        <v>394244.34000000008</v>
      </c>
      <c r="O109" s="188"/>
      <c r="P109" s="189"/>
      <c r="Q109" s="190">
        <f>N109+766.4-808.1-56378.6</f>
        <v>337824.04000000015</v>
      </c>
      <c r="R109" s="190"/>
      <c r="S109" s="190"/>
      <c r="T109" s="190">
        <f>Q109+573.82-97.86-70257.38</f>
        <v>268042.62000000017</v>
      </c>
      <c r="U109" s="190"/>
      <c r="V109" s="190"/>
      <c r="W109" s="190">
        <f>T109+397.83-28480.77-46.61</f>
        <v>239913.07000000021</v>
      </c>
      <c r="X109" s="190"/>
      <c r="Y109" s="190"/>
      <c r="Z109" s="190">
        <f>W109-23014.71-43.74+282.95</f>
        <v>217137.57000000024</v>
      </c>
      <c r="AA109" s="190"/>
      <c r="AB109" s="190"/>
      <c r="AC109" s="190">
        <f>Z109-21363.45-256.33-39.42</f>
        <v>195478.37000000023</v>
      </c>
      <c r="AD109" s="190"/>
      <c r="AE109" s="190"/>
      <c r="AF109" s="182"/>
      <c r="AG109" s="182"/>
      <c r="AH109" s="182"/>
      <c r="AI109" s="182"/>
      <c r="AJ109" s="182"/>
      <c r="AK109" s="182"/>
    </row>
    <row r="110" spans="1:38" ht="15" customHeight="1" x14ac:dyDescent="0.25">
      <c r="A110" s="183" t="s">
        <v>110</v>
      </c>
      <c r="B110" s="184">
        <v>675639.54</v>
      </c>
      <c r="C110" s="185"/>
      <c r="D110" s="186"/>
      <c r="E110" s="187">
        <f>B110+100000+2528.85</f>
        <v>778168.39</v>
      </c>
      <c r="F110" s="188"/>
      <c r="G110" s="189"/>
      <c r="H110" s="40">
        <f>E110+2097.79</f>
        <v>780266.18</v>
      </c>
      <c r="I110" s="40"/>
      <c r="J110" s="40"/>
      <c r="K110" s="40">
        <f>H110+748.68</f>
        <v>781014.8600000001</v>
      </c>
      <c r="L110" s="40"/>
      <c r="M110" s="40"/>
      <c r="N110" s="144">
        <f>K110-462.33</f>
        <v>780552.53000000014</v>
      </c>
      <c r="O110" s="145"/>
      <c r="P110" s="146"/>
      <c r="Q110" s="142">
        <f>N110+2494.19-1448.28</f>
        <v>781598.44000000006</v>
      </c>
      <c r="R110" s="142"/>
      <c r="S110" s="142"/>
      <c r="T110" s="190">
        <f>Q110+1968.57</f>
        <v>783567.01</v>
      </c>
      <c r="U110" s="190"/>
      <c r="V110" s="190"/>
      <c r="W110" s="190">
        <f>T110+100000+2362.86</f>
        <v>885929.87</v>
      </c>
      <c r="X110" s="190"/>
      <c r="Y110" s="190"/>
      <c r="Z110" s="190">
        <f>W110+1202.2</f>
        <v>887132.07</v>
      </c>
      <c r="AA110" s="190"/>
      <c r="AB110" s="190"/>
      <c r="AC110" s="191">
        <f>Z110+100000+94.92</f>
        <v>987226.99</v>
      </c>
      <c r="AD110" s="192"/>
      <c r="AE110" s="192"/>
      <c r="AH110" s="193"/>
      <c r="AI110" s="193"/>
      <c r="AJ110" s="193"/>
      <c r="AK110" s="193"/>
    </row>
    <row r="111" spans="1:38" x14ac:dyDescent="0.25">
      <c r="A111" s="183" t="s">
        <v>111</v>
      </c>
      <c r="B111" s="184">
        <v>0</v>
      </c>
      <c r="C111" s="185"/>
      <c r="D111" s="186"/>
      <c r="E111" s="187">
        <v>0</v>
      </c>
      <c r="F111" s="188"/>
      <c r="G111" s="189"/>
      <c r="H111" s="187">
        <v>0</v>
      </c>
      <c r="I111" s="188"/>
      <c r="J111" s="189"/>
      <c r="K111" s="187">
        <v>0</v>
      </c>
      <c r="L111" s="188"/>
      <c r="M111" s="189"/>
      <c r="N111" s="187">
        <f>100000+25.38</f>
        <v>100025.38</v>
      </c>
      <c r="O111" s="188"/>
      <c r="P111" s="189"/>
      <c r="Q111" s="190">
        <f>N111+209.71-35.26</f>
        <v>100199.83000000002</v>
      </c>
      <c r="R111" s="190"/>
      <c r="S111" s="190"/>
      <c r="T111" s="190">
        <f>Q111+184.59</f>
        <v>100384.42000000001</v>
      </c>
      <c r="U111" s="190"/>
      <c r="V111" s="190"/>
      <c r="W111" s="190">
        <f>T111+161.21</f>
        <v>100545.63000000002</v>
      </c>
      <c r="X111" s="190"/>
      <c r="Y111" s="190"/>
      <c r="Z111" s="190">
        <f>W111+129.87</f>
        <v>100675.50000000001</v>
      </c>
      <c r="AA111" s="190"/>
      <c r="AB111" s="190"/>
      <c r="AC111" s="190">
        <f>Z111-73.63</f>
        <v>100601.87000000001</v>
      </c>
      <c r="AD111" s="190"/>
      <c r="AE111" s="190"/>
      <c r="AF111" s="182"/>
      <c r="AG111" s="182"/>
      <c r="AH111" s="182"/>
      <c r="AI111" s="182"/>
      <c r="AJ111" s="182"/>
      <c r="AK111" s="182"/>
    </row>
    <row r="112" spans="1:38" ht="15" customHeight="1" x14ac:dyDescent="0.25">
      <c r="A112" s="183" t="s">
        <v>112</v>
      </c>
      <c r="B112" s="184">
        <v>1016116.05</v>
      </c>
      <c r="C112" s="185"/>
      <c r="D112" s="186"/>
      <c r="E112" s="187">
        <f>B112+3456.99</f>
        <v>1019573.04</v>
      </c>
      <c r="F112" s="188"/>
      <c r="G112" s="189"/>
      <c r="H112" s="40">
        <f>E112+2306.35</f>
        <v>1021879.39</v>
      </c>
      <c r="I112" s="40"/>
      <c r="J112" s="40"/>
      <c r="K112" s="40">
        <f>H112+2670.71</f>
        <v>1024550.1</v>
      </c>
      <c r="L112" s="40"/>
      <c r="M112" s="40"/>
      <c r="N112" s="187">
        <f>K112+2243.52</f>
        <v>1026793.62</v>
      </c>
      <c r="O112" s="188"/>
      <c r="P112" s="189"/>
      <c r="Q112" s="190">
        <f>N112+1884.67</f>
        <v>1028678.29</v>
      </c>
      <c r="R112" s="190"/>
      <c r="S112" s="190"/>
      <c r="T112" s="190">
        <f>Q112+1703.34</f>
        <v>1030381.63</v>
      </c>
      <c r="U112" s="190"/>
      <c r="V112" s="190"/>
      <c r="W112" s="190">
        <f>T112+2538.73</f>
        <v>1032920.36</v>
      </c>
      <c r="X112" s="190"/>
      <c r="Y112" s="190"/>
      <c r="Z112" s="190">
        <f>W112+1317.95</f>
        <v>1034238.3099999999</v>
      </c>
      <c r="AA112" s="190"/>
      <c r="AB112" s="190"/>
      <c r="AC112" s="190">
        <f>Z112+1288</f>
        <v>1035526.3099999999</v>
      </c>
      <c r="AD112" s="190"/>
      <c r="AE112" s="190"/>
      <c r="AF112" s="182"/>
      <c r="AG112" s="182"/>
      <c r="AH112" s="194"/>
      <c r="AI112" s="194"/>
      <c r="AJ112" s="194"/>
      <c r="AK112" s="194"/>
      <c r="AL112" s="194"/>
    </row>
    <row r="113" spans="1:38" ht="15" customHeight="1" x14ac:dyDescent="0.25">
      <c r="A113" s="183" t="s">
        <v>113</v>
      </c>
      <c r="B113" s="184">
        <v>113425.27</v>
      </c>
      <c r="C113" s="185"/>
      <c r="D113" s="186"/>
      <c r="E113" s="144">
        <f>B113+447.4-113872.67</f>
        <v>0</v>
      </c>
      <c r="F113" s="145"/>
      <c r="G113" s="146"/>
      <c r="H113" s="142">
        <v>0</v>
      </c>
      <c r="I113" s="142"/>
      <c r="J113" s="142"/>
      <c r="K113" s="142">
        <f>0</f>
        <v>0</v>
      </c>
      <c r="L113" s="142"/>
      <c r="M113" s="142"/>
      <c r="N113" s="187">
        <v>0</v>
      </c>
      <c r="O113" s="188"/>
      <c r="P113" s="189"/>
      <c r="Q113" s="190">
        <v>0</v>
      </c>
      <c r="R113" s="190"/>
      <c r="S113" s="190"/>
      <c r="T113" s="190">
        <f>0</f>
        <v>0</v>
      </c>
      <c r="U113" s="190"/>
      <c r="V113" s="190"/>
      <c r="W113" s="190">
        <f>0</f>
        <v>0</v>
      </c>
      <c r="X113" s="190"/>
      <c r="Y113" s="190"/>
      <c r="Z113" s="190">
        <v>0</v>
      </c>
      <c r="AA113" s="190"/>
      <c r="AB113" s="190"/>
      <c r="AC113" s="190">
        <v>0</v>
      </c>
      <c r="AD113" s="190"/>
      <c r="AE113" s="190"/>
      <c r="AF113" s="182"/>
      <c r="AG113" s="182"/>
      <c r="AH113" s="194"/>
      <c r="AI113" s="194"/>
      <c r="AJ113" s="194"/>
      <c r="AK113" s="194"/>
      <c r="AL113" s="194"/>
    </row>
    <row r="114" spans="1:38" x14ac:dyDescent="0.25">
      <c r="A114" s="195" t="s">
        <v>114</v>
      </c>
      <c r="B114" s="196">
        <f>SUM(B109:D113)</f>
        <v>2149789.85</v>
      </c>
      <c r="C114" s="197"/>
      <c r="D114" s="198"/>
      <c r="E114" s="196">
        <f>SUM(E109:G113)</f>
        <v>2213083.38</v>
      </c>
      <c r="F114" s="197"/>
      <c r="G114" s="198"/>
      <c r="H114" s="199">
        <f>SUM(H109:J113)</f>
        <v>2184757.73</v>
      </c>
      <c r="I114" s="199"/>
      <c r="J114" s="199"/>
      <c r="K114" s="199">
        <f>SUM(K109:M113)</f>
        <v>2252455.4900000002</v>
      </c>
      <c r="L114" s="199"/>
      <c r="M114" s="199"/>
      <c r="N114" s="199">
        <f>SUM(N109:P113)</f>
        <v>2301615.87</v>
      </c>
      <c r="O114" s="199"/>
      <c r="P114" s="199"/>
      <c r="Q114" s="199">
        <f>SUM(Q109:S113)</f>
        <v>2248300.6000000006</v>
      </c>
      <c r="R114" s="199"/>
      <c r="S114" s="199"/>
      <c r="T114" s="199">
        <f>SUM(T109:V113)</f>
        <v>2182375.6800000002</v>
      </c>
      <c r="U114" s="199"/>
      <c r="V114" s="199"/>
      <c r="W114" s="200">
        <f>SUM(W109:Y113)</f>
        <v>2259308.9300000002</v>
      </c>
      <c r="X114" s="200"/>
      <c r="Y114" s="200"/>
      <c r="Z114" s="200">
        <f>SUM(Z109:AB113)</f>
        <v>2239183.4500000002</v>
      </c>
      <c r="AA114" s="200"/>
      <c r="AB114" s="200"/>
      <c r="AC114" s="200">
        <f>SUM(AC109:AE113)</f>
        <v>2318833.5400000005</v>
      </c>
      <c r="AD114" s="200"/>
      <c r="AE114" s="200"/>
      <c r="AF114" s="182"/>
      <c r="AG114" s="182"/>
      <c r="AH114" s="182"/>
      <c r="AI114" s="182"/>
      <c r="AJ114" s="182"/>
      <c r="AK114" s="182"/>
    </row>
    <row r="115" spans="1:38" x14ac:dyDescent="0.25">
      <c r="A115" s="201" t="s">
        <v>115</v>
      </c>
      <c r="B115" s="202"/>
      <c r="C115" s="202"/>
      <c r="D115" s="202"/>
      <c r="E115" s="202"/>
      <c r="F115" s="202"/>
      <c r="G115" s="202"/>
      <c r="H115" s="202"/>
      <c r="I115" s="202"/>
      <c r="J115" s="202"/>
      <c r="K115" s="202"/>
      <c r="L115" s="202"/>
      <c r="M115" s="202"/>
      <c r="N115" s="202"/>
      <c r="O115" s="202"/>
      <c r="P115" s="202"/>
      <c r="Q115" s="182"/>
      <c r="R115" s="182"/>
      <c r="S115" s="202"/>
      <c r="T115" s="182"/>
      <c r="U115" s="182"/>
      <c r="V115" s="202"/>
      <c r="W115" s="182"/>
      <c r="X115" s="182"/>
      <c r="Y115" s="202"/>
      <c r="Z115" s="182"/>
      <c r="AA115" s="182"/>
      <c r="AB115" s="202"/>
      <c r="AC115" s="182"/>
      <c r="AD115" s="182"/>
      <c r="AE115" s="202"/>
      <c r="AF115" s="182"/>
      <c r="AG115" s="182"/>
      <c r="AH115" s="182"/>
      <c r="AI115" s="182"/>
      <c r="AJ115" s="182"/>
      <c r="AK115" s="182"/>
    </row>
    <row r="116" spans="1:38" x14ac:dyDescent="0.25">
      <c r="A116" s="203" t="s">
        <v>116</v>
      </c>
      <c r="B116" s="202"/>
      <c r="C116" s="202"/>
      <c r="D116" s="202"/>
      <c r="E116" s="202"/>
      <c r="F116" s="202"/>
      <c r="Q116" s="182"/>
      <c r="R116" s="182"/>
      <c r="T116" s="182"/>
      <c r="U116" s="182"/>
      <c r="W116" s="182"/>
      <c r="X116" s="182"/>
      <c r="Z116" s="182"/>
      <c r="AA116" s="182"/>
      <c r="AC116" s="182"/>
      <c r="AD116" s="182"/>
      <c r="AF116" s="182"/>
      <c r="AG116" s="182"/>
      <c r="AH116" s="182"/>
      <c r="AI116" s="182"/>
      <c r="AJ116" s="182"/>
      <c r="AK116" s="182"/>
    </row>
    <row r="117" spans="1:38" x14ac:dyDescent="0.25">
      <c r="A117" s="203" t="s">
        <v>117</v>
      </c>
      <c r="B117" s="202"/>
      <c r="C117" s="202"/>
      <c r="D117" s="202"/>
      <c r="E117" s="202"/>
      <c r="F117" s="202"/>
      <c r="Q117" s="182"/>
      <c r="R117" s="182"/>
      <c r="T117" s="182"/>
      <c r="U117" s="182"/>
      <c r="W117" s="182"/>
      <c r="X117" s="182"/>
      <c r="Z117" s="182"/>
      <c r="AA117" s="182"/>
      <c r="AC117" s="182"/>
      <c r="AD117" s="182"/>
      <c r="AF117" s="182"/>
      <c r="AG117" s="182"/>
      <c r="AH117" s="182"/>
      <c r="AI117" s="182"/>
      <c r="AJ117" s="182"/>
      <c r="AK117" s="182"/>
    </row>
    <row r="118" spans="1:38" x14ac:dyDescent="0.25">
      <c r="A118" s="204" t="s">
        <v>118</v>
      </c>
      <c r="B118" s="204"/>
      <c r="C118" s="204"/>
      <c r="D118" s="204"/>
      <c r="E118" s="204"/>
      <c r="F118" s="204"/>
      <c r="G118" s="204"/>
      <c r="H118" s="204"/>
      <c r="I118" s="204"/>
      <c r="J118" s="204"/>
      <c r="K118" s="204"/>
      <c r="L118" s="204"/>
      <c r="M118" s="204"/>
      <c r="N118" s="204"/>
      <c r="O118" s="204"/>
      <c r="P118" s="204"/>
      <c r="Q118" s="204"/>
      <c r="R118" s="204"/>
      <c r="S118" s="204"/>
      <c r="T118" s="204"/>
      <c r="U118" s="204"/>
      <c r="V118" s="204"/>
      <c r="W118" s="204"/>
      <c r="X118" s="204"/>
      <c r="Y118" s="204"/>
      <c r="Z118" s="204"/>
      <c r="AA118" s="204"/>
      <c r="AB118" s="204"/>
      <c r="AC118" s="204"/>
      <c r="AD118" s="204"/>
      <c r="AE118" s="204"/>
      <c r="AF118" s="204"/>
      <c r="AG118" s="204"/>
      <c r="AH118" s="204"/>
      <c r="AI118" s="204"/>
      <c r="AJ118" s="204"/>
      <c r="AK118" s="204"/>
    </row>
    <row r="119" spans="1:38" x14ac:dyDescent="0.25">
      <c r="A119" s="205" t="s">
        <v>119</v>
      </c>
      <c r="B119" s="205"/>
      <c r="C119" s="205"/>
      <c r="D119" s="205"/>
      <c r="E119" s="205"/>
      <c r="F119" s="205"/>
      <c r="G119" s="202"/>
      <c r="H119" s="205"/>
      <c r="I119" s="205"/>
      <c r="J119" s="202"/>
      <c r="K119" s="205"/>
      <c r="L119" s="205"/>
      <c r="M119" s="202"/>
      <c r="N119" s="205"/>
      <c r="O119" s="205"/>
      <c r="P119" s="202"/>
      <c r="Q119" s="205"/>
      <c r="R119" s="205"/>
      <c r="S119" s="202"/>
      <c r="T119" s="205"/>
      <c r="U119" s="205"/>
      <c r="V119" s="202"/>
      <c r="W119" s="205"/>
      <c r="X119" s="205"/>
      <c r="Y119" s="202"/>
      <c r="Z119" s="205"/>
      <c r="AA119" s="205"/>
      <c r="AB119" s="202"/>
      <c r="AC119" s="205"/>
      <c r="AD119" s="205"/>
      <c r="AE119" s="202"/>
      <c r="AF119" s="205"/>
      <c r="AG119" s="205"/>
      <c r="AH119" s="205"/>
      <c r="AI119" s="205"/>
      <c r="AJ119" s="205"/>
      <c r="AK119" s="205"/>
    </row>
    <row r="120" spans="1:38" x14ac:dyDescent="0.25">
      <c r="A120" s="205" t="s">
        <v>120</v>
      </c>
      <c r="B120" s="205"/>
      <c r="C120" s="205"/>
      <c r="D120" s="205"/>
      <c r="E120" s="205"/>
      <c r="F120" s="205"/>
      <c r="G120" s="202"/>
      <c r="H120" s="205"/>
      <c r="I120" s="205"/>
      <c r="J120" s="202"/>
      <c r="K120" s="205"/>
      <c r="L120" s="205"/>
      <c r="M120" s="202"/>
      <c r="N120" s="205"/>
      <c r="O120" s="205"/>
      <c r="P120" s="202"/>
      <c r="Q120" s="205"/>
      <c r="R120" s="205"/>
      <c r="S120" s="202"/>
      <c r="T120" s="205"/>
      <c r="U120" s="205"/>
      <c r="V120" s="202"/>
      <c r="W120" s="205"/>
      <c r="X120" s="205"/>
      <c r="Y120" s="202"/>
      <c r="Z120" s="205"/>
      <c r="AA120" s="205"/>
      <c r="AB120" s="202"/>
      <c r="AC120" s="205"/>
      <c r="AD120" s="205"/>
      <c r="AE120" s="202"/>
      <c r="AF120" s="205"/>
      <c r="AG120" s="205"/>
      <c r="AH120" s="205"/>
      <c r="AI120" s="205"/>
      <c r="AJ120" s="205"/>
      <c r="AK120" s="205"/>
    </row>
    <row r="121" spans="1:38" x14ac:dyDescent="0.25">
      <c r="A121" s="205" t="s">
        <v>121</v>
      </c>
      <c r="B121" s="205"/>
      <c r="C121" s="205"/>
      <c r="D121" s="205"/>
      <c r="E121" s="205"/>
      <c r="F121" s="205"/>
      <c r="G121" s="205"/>
      <c r="H121" s="205"/>
      <c r="I121" s="205"/>
      <c r="J121" s="205"/>
      <c r="K121" s="205"/>
      <c r="L121" s="205"/>
      <c r="M121" s="205"/>
      <c r="N121" s="205"/>
      <c r="O121" s="205"/>
      <c r="P121" s="205"/>
      <c r="Q121" s="205"/>
      <c r="R121" s="205"/>
      <c r="S121" s="205"/>
      <c r="T121" s="205"/>
      <c r="U121" s="205"/>
      <c r="V121" s="205"/>
      <c r="W121" s="205"/>
      <c r="X121" s="205"/>
      <c r="Y121" s="205"/>
      <c r="Z121" s="205"/>
      <c r="AA121" s="205"/>
      <c r="AB121" s="205"/>
      <c r="AC121" s="205"/>
      <c r="AD121" s="205"/>
      <c r="AE121" s="205"/>
      <c r="AF121" s="205"/>
      <c r="AG121" s="205"/>
      <c r="AH121" s="205"/>
      <c r="AI121" s="205"/>
      <c r="AJ121" s="205"/>
      <c r="AK121" s="205"/>
    </row>
    <row r="122" spans="1:38" x14ac:dyDescent="0.25">
      <c r="A122" s="205" t="s">
        <v>122</v>
      </c>
      <c r="AE122" s="206"/>
    </row>
    <row r="123" spans="1:38" x14ac:dyDescent="0.25">
      <c r="A123" s="205" t="s">
        <v>123</v>
      </c>
    </row>
    <row r="124" spans="1:38" x14ac:dyDescent="0.25">
      <c r="A124" s="205" t="s">
        <v>124</v>
      </c>
    </row>
  </sheetData>
  <sheetProtection algorithmName="SHA-512" hashValue="U9qw9spsoRkRX/c7H1VrKUcxf++3oAX+fRy2lXfPpDXv7R7Qb9uzLIgXpdTM6mBgzJV5ahq6Wnbxb6WkiIqeBA==" saltValue="4c3kfIXGr/ZXOjsHDJb2LA==" spinCount="100000" sheet="1" objects="1" scenarios="1"/>
  <mergeCells count="1071">
    <mergeCell ref="W114:Y114"/>
    <mergeCell ref="Z114:AB114"/>
    <mergeCell ref="AC114:AE114"/>
    <mergeCell ref="A118:AK118"/>
    <mergeCell ref="W113:Y113"/>
    <mergeCell ref="Z113:AB113"/>
    <mergeCell ref="AC113:AE113"/>
    <mergeCell ref="B114:D114"/>
    <mergeCell ref="E114:G114"/>
    <mergeCell ref="H114:J114"/>
    <mergeCell ref="K114:M114"/>
    <mergeCell ref="N114:P114"/>
    <mergeCell ref="Q114:S114"/>
    <mergeCell ref="T114:V114"/>
    <mergeCell ref="Z112:AB112"/>
    <mergeCell ref="AC112:AE112"/>
    <mergeCell ref="AH112:AL113"/>
    <mergeCell ref="B113:D113"/>
    <mergeCell ref="E113:G113"/>
    <mergeCell ref="H113:J113"/>
    <mergeCell ref="K113:M113"/>
    <mergeCell ref="N113:P113"/>
    <mergeCell ref="Q113:S113"/>
    <mergeCell ref="T113:V113"/>
    <mergeCell ref="Z111:AB111"/>
    <mergeCell ref="AC111:AE111"/>
    <mergeCell ref="B112:D112"/>
    <mergeCell ref="E112:G112"/>
    <mergeCell ref="H112:J112"/>
    <mergeCell ref="K112:M112"/>
    <mergeCell ref="N112:P112"/>
    <mergeCell ref="Q112:S112"/>
    <mergeCell ref="T112:V112"/>
    <mergeCell ref="W112:Y112"/>
    <mergeCell ref="AC110:AE110"/>
    <mergeCell ref="AH110:AK110"/>
    <mergeCell ref="B111:D111"/>
    <mergeCell ref="E111:G111"/>
    <mergeCell ref="H111:J111"/>
    <mergeCell ref="K111:M111"/>
    <mergeCell ref="N111:P111"/>
    <mergeCell ref="Q111:S111"/>
    <mergeCell ref="T111:V111"/>
    <mergeCell ref="W111:Y111"/>
    <mergeCell ref="AC109:AE109"/>
    <mergeCell ref="B110:D110"/>
    <mergeCell ref="E110:G110"/>
    <mergeCell ref="H110:J110"/>
    <mergeCell ref="K110:M110"/>
    <mergeCell ref="N110:P110"/>
    <mergeCell ref="Q110:S110"/>
    <mergeCell ref="T110:V110"/>
    <mergeCell ref="W110:Y110"/>
    <mergeCell ref="Z110:AB110"/>
    <mergeCell ref="AC108:AE108"/>
    <mergeCell ref="B109:D109"/>
    <mergeCell ref="E109:G109"/>
    <mergeCell ref="H109:J109"/>
    <mergeCell ref="K109:M109"/>
    <mergeCell ref="N109:P109"/>
    <mergeCell ref="Q109:S109"/>
    <mergeCell ref="T109:V109"/>
    <mergeCell ref="W109:Y109"/>
    <mergeCell ref="Z109:AB109"/>
    <mergeCell ref="A106:AK107"/>
    <mergeCell ref="B108:D108"/>
    <mergeCell ref="E108:G108"/>
    <mergeCell ref="H108:J108"/>
    <mergeCell ref="K108:M108"/>
    <mergeCell ref="N108:P108"/>
    <mergeCell ref="Q108:S108"/>
    <mergeCell ref="T108:V108"/>
    <mergeCell ref="W108:Y108"/>
    <mergeCell ref="Z108:AB108"/>
    <mergeCell ref="W104:Y104"/>
    <mergeCell ref="Z104:AB104"/>
    <mergeCell ref="AC104:AE104"/>
    <mergeCell ref="AF104:AH104"/>
    <mergeCell ref="AI104:AK104"/>
    <mergeCell ref="B105:D105"/>
    <mergeCell ref="AI105:AK105"/>
    <mergeCell ref="AC103:AE103"/>
    <mergeCell ref="AF103:AH103"/>
    <mergeCell ref="AJ103:AK103"/>
    <mergeCell ref="B104:D104"/>
    <mergeCell ref="E104:G104"/>
    <mergeCell ref="H104:J104"/>
    <mergeCell ref="K104:M104"/>
    <mergeCell ref="N104:P104"/>
    <mergeCell ref="Q104:S104"/>
    <mergeCell ref="T104:V104"/>
    <mergeCell ref="AJ102:AK102"/>
    <mergeCell ref="B103:D103"/>
    <mergeCell ref="E103:G103"/>
    <mergeCell ref="H103:J103"/>
    <mergeCell ref="K103:M103"/>
    <mergeCell ref="N103:P103"/>
    <mergeCell ref="Q103:S103"/>
    <mergeCell ref="T103:V103"/>
    <mergeCell ref="W103:Y103"/>
    <mergeCell ref="Z103:AB103"/>
    <mergeCell ref="Q102:S102"/>
    <mergeCell ref="T102:V102"/>
    <mergeCell ref="W102:Y102"/>
    <mergeCell ref="Z102:AB102"/>
    <mergeCell ref="AC102:AE102"/>
    <mergeCell ref="AF102:AH102"/>
    <mergeCell ref="W101:Y101"/>
    <mergeCell ref="Z101:AB101"/>
    <mergeCell ref="AC101:AE101"/>
    <mergeCell ref="AF101:AH101"/>
    <mergeCell ref="AJ101:AK101"/>
    <mergeCell ref="B102:D102"/>
    <mergeCell ref="E102:G102"/>
    <mergeCell ref="H102:J102"/>
    <mergeCell ref="K102:M102"/>
    <mergeCell ref="N102:P102"/>
    <mergeCell ref="AC100:AE100"/>
    <mergeCell ref="AF100:AH100"/>
    <mergeCell ref="AJ100:AK100"/>
    <mergeCell ref="B101:D101"/>
    <mergeCell ref="E101:G101"/>
    <mergeCell ref="H101:J101"/>
    <mergeCell ref="K101:M101"/>
    <mergeCell ref="N101:P101"/>
    <mergeCell ref="Q101:S101"/>
    <mergeCell ref="T101:V101"/>
    <mergeCell ref="AJ99:AK99"/>
    <mergeCell ref="B100:D100"/>
    <mergeCell ref="E100:G100"/>
    <mergeCell ref="H100:J100"/>
    <mergeCell ref="K100:M100"/>
    <mergeCell ref="N100:P100"/>
    <mergeCell ref="Q100:S100"/>
    <mergeCell ref="T100:V100"/>
    <mergeCell ref="W100:Y100"/>
    <mergeCell ref="Z100:AB100"/>
    <mergeCell ref="Q99:S99"/>
    <mergeCell ref="T99:V99"/>
    <mergeCell ref="W99:Y99"/>
    <mergeCell ref="Z99:AB99"/>
    <mergeCell ref="AC99:AE99"/>
    <mergeCell ref="AF99:AH99"/>
    <mergeCell ref="W98:Y98"/>
    <mergeCell ref="Z98:AB98"/>
    <mergeCell ref="AC98:AE98"/>
    <mergeCell ref="AF98:AH98"/>
    <mergeCell ref="AJ98:AK98"/>
    <mergeCell ref="B99:D99"/>
    <mergeCell ref="E99:G99"/>
    <mergeCell ref="H99:J99"/>
    <mergeCell ref="K99:M99"/>
    <mergeCell ref="N99:P99"/>
    <mergeCell ref="AC97:AE97"/>
    <mergeCell ref="AF97:AH97"/>
    <mergeCell ref="AJ97:AK97"/>
    <mergeCell ref="B98:D98"/>
    <mergeCell ref="E98:G98"/>
    <mergeCell ref="H98:J98"/>
    <mergeCell ref="K98:M98"/>
    <mergeCell ref="N98:P98"/>
    <mergeCell ref="Q98:S98"/>
    <mergeCell ref="T98:V98"/>
    <mergeCell ref="AJ96:AK96"/>
    <mergeCell ref="B97:D97"/>
    <mergeCell ref="E97:G97"/>
    <mergeCell ref="H97:J97"/>
    <mergeCell ref="K97:M97"/>
    <mergeCell ref="N97:P97"/>
    <mergeCell ref="Q97:S97"/>
    <mergeCell ref="T97:V97"/>
    <mergeCell ref="W97:Y97"/>
    <mergeCell ref="Z97:AB97"/>
    <mergeCell ref="Q96:S96"/>
    <mergeCell ref="T96:V96"/>
    <mergeCell ref="W96:Y96"/>
    <mergeCell ref="Z96:AB96"/>
    <mergeCell ref="AC96:AE96"/>
    <mergeCell ref="AF96:AH96"/>
    <mergeCell ref="W95:Y95"/>
    <mergeCell ref="Z95:AB95"/>
    <mergeCell ref="AC95:AE95"/>
    <mergeCell ref="AF95:AH95"/>
    <mergeCell ref="AJ95:AK95"/>
    <mergeCell ref="B96:D96"/>
    <mergeCell ref="E96:G96"/>
    <mergeCell ref="H96:J96"/>
    <mergeCell ref="K96:M96"/>
    <mergeCell ref="N96:P96"/>
    <mergeCell ref="AC94:AE94"/>
    <mergeCell ref="AF94:AH94"/>
    <mergeCell ref="AJ94:AK94"/>
    <mergeCell ref="B95:D95"/>
    <mergeCell ref="E95:G95"/>
    <mergeCell ref="H95:J95"/>
    <mergeCell ref="K95:M95"/>
    <mergeCell ref="N95:P95"/>
    <mergeCell ref="Q95:S95"/>
    <mergeCell ref="T95:V95"/>
    <mergeCell ref="AJ93:AK93"/>
    <mergeCell ref="B94:D94"/>
    <mergeCell ref="E94:G94"/>
    <mergeCell ref="H94:J94"/>
    <mergeCell ref="K94:M94"/>
    <mergeCell ref="N94:P94"/>
    <mergeCell ref="Q94:S94"/>
    <mergeCell ref="T94:V94"/>
    <mergeCell ref="W94:Y94"/>
    <mergeCell ref="Z94:AB94"/>
    <mergeCell ref="Q93:S93"/>
    <mergeCell ref="T93:V93"/>
    <mergeCell ref="W93:Y93"/>
    <mergeCell ref="Z93:AB93"/>
    <mergeCell ref="AC93:AE93"/>
    <mergeCell ref="AF93:AH93"/>
    <mergeCell ref="W92:Y92"/>
    <mergeCell ref="Z92:AB92"/>
    <mergeCell ref="AC92:AE92"/>
    <mergeCell ref="AF92:AH92"/>
    <mergeCell ref="AJ92:AK92"/>
    <mergeCell ref="B93:D93"/>
    <mergeCell ref="E93:G93"/>
    <mergeCell ref="H93:J93"/>
    <mergeCell ref="K93:M93"/>
    <mergeCell ref="N93:P93"/>
    <mergeCell ref="AC91:AE91"/>
    <mergeCell ref="AF91:AH91"/>
    <mergeCell ref="AJ91:AK91"/>
    <mergeCell ref="B92:D92"/>
    <mergeCell ref="E92:G92"/>
    <mergeCell ref="H92:J92"/>
    <mergeCell ref="K92:M92"/>
    <mergeCell ref="N92:P92"/>
    <mergeCell ref="Q92:S92"/>
    <mergeCell ref="T92:V92"/>
    <mergeCell ref="AJ90:AK90"/>
    <mergeCell ref="B91:D91"/>
    <mergeCell ref="E91:G91"/>
    <mergeCell ref="H91:J91"/>
    <mergeCell ref="K91:M91"/>
    <mergeCell ref="N91:P91"/>
    <mergeCell ref="Q91:S91"/>
    <mergeCell ref="T91:V91"/>
    <mergeCell ref="W91:Y91"/>
    <mergeCell ref="Z91:AB91"/>
    <mergeCell ref="Q90:S90"/>
    <mergeCell ref="T90:V90"/>
    <mergeCell ref="W90:Y90"/>
    <mergeCell ref="Z90:AB90"/>
    <mergeCell ref="AC90:AE90"/>
    <mergeCell ref="AF90:AH90"/>
    <mergeCell ref="W89:Y89"/>
    <mergeCell ref="Z89:AB89"/>
    <mergeCell ref="AC89:AE89"/>
    <mergeCell ref="AF89:AH89"/>
    <mergeCell ref="AJ89:AK89"/>
    <mergeCell ref="B90:D90"/>
    <mergeCell ref="E90:G90"/>
    <mergeCell ref="H90:J90"/>
    <mergeCell ref="K90:M90"/>
    <mergeCell ref="N90:P90"/>
    <mergeCell ref="AC88:AE88"/>
    <mergeCell ref="AF88:AH88"/>
    <mergeCell ref="AJ88:AK88"/>
    <mergeCell ref="B89:D89"/>
    <mergeCell ref="E89:G89"/>
    <mergeCell ref="H89:J89"/>
    <mergeCell ref="K89:M89"/>
    <mergeCell ref="N89:P89"/>
    <mergeCell ref="Q89:S89"/>
    <mergeCell ref="T89:V89"/>
    <mergeCell ref="AJ87:AK87"/>
    <mergeCell ref="B88:D88"/>
    <mergeCell ref="E88:G88"/>
    <mergeCell ref="H88:J88"/>
    <mergeCell ref="K88:M88"/>
    <mergeCell ref="N88:P88"/>
    <mergeCell ref="Q88:S88"/>
    <mergeCell ref="T88:V88"/>
    <mergeCell ref="W88:Y88"/>
    <mergeCell ref="Z88:AB88"/>
    <mergeCell ref="Q87:S87"/>
    <mergeCell ref="T87:V87"/>
    <mergeCell ref="W87:Y87"/>
    <mergeCell ref="Z87:AB87"/>
    <mergeCell ref="AC87:AE87"/>
    <mergeCell ref="AF87:AH87"/>
    <mergeCell ref="W86:Y86"/>
    <mergeCell ref="Z86:AB86"/>
    <mergeCell ref="AC86:AE86"/>
    <mergeCell ref="AF86:AH86"/>
    <mergeCell ref="AJ86:AK86"/>
    <mergeCell ref="B87:D87"/>
    <mergeCell ref="E87:G87"/>
    <mergeCell ref="H87:J87"/>
    <mergeCell ref="K87:M87"/>
    <mergeCell ref="N87:P87"/>
    <mergeCell ref="AC85:AE85"/>
    <mergeCell ref="AF85:AH85"/>
    <mergeCell ref="AJ85:AK85"/>
    <mergeCell ref="B86:D86"/>
    <mergeCell ref="E86:G86"/>
    <mergeCell ref="H86:J86"/>
    <mergeCell ref="K86:M86"/>
    <mergeCell ref="N86:P86"/>
    <mergeCell ref="Q86:S86"/>
    <mergeCell ref="T86:V86"/>
    <mergeCell ref="AJ84:AK84"/>
    <mergeCell ref="B85:D85"/>
    <mergeCell ref="E85:G85"/>
    <mergeCell ref="H85:J85"/>
    <mergeCell ref="K85:M85"/>
    <mergeCell ref="N85:P85"/>
    <mergeCell ref="Q85:S85"/>
    <mergeCell ref="T85:V85"/>
    <mergeCell ref="W85:Y85"/>
    <mergeCell ref="Z85:AB85"/>
    <mergeCell ref="Q84:S84"/>
    <mergeCell ref="T84:V84"/>
    <mergeCell ref="W84:Y84"/>
    <mergeCell ref="Z84:AB84"/>
    <mergeCell ref="AC84:AE84"/>
    <mergeCell ref="AF84:AH84"/>
    <mergeCell ref="W83:Y83"/>
    <mergeCell ref="Z83:AB83"/>
    <mergeCell ref="AC83:AE83"/>
    <mergeCell ref="AF83:AH83"/>
    <mergeCell ref="AJ83:AK83"/>
    <mergeCell ref="B84:D84"/>
    <mergeCell ref="E84:G84"/>
    <mergeCell ref="H84:J84"/>
    <mergeCell ref="K84:M84"/>
    <mergeCell ref="N84:P84"/>
    <mergeCell ref="AC82:AE82"/>
    <mergeCell ref="AF82:AH82"/>
    <mergeCell ref="AJ82:AK82"/>
    <mergeCell ref="B83:D83"/>
    <mergeCell ref="E83:G83"/>
    <mergeCell ref="H83:J83"/>
    <mergeCell ref="K83:M83"/>
    <mergeCell ref="N83:P83"/>
    <mergeCell ref="Q83:S83"/>
    <mergeCell ref="T83:V83"/>
    <mergeCell ref="AJ81:AK81"/>
    <mergeCell ref="B82:D82"/>
    <mergeCell ref="E82:G82"/>
    <mergeCell ref="H82:J82"/>
    <mergeCell ref="K82:M82"/>
    <mergeCell ref="N82:P82"/>
    <mergeCell ref="Q82:S82"/>
    <mergeCell ref="T82:V82"/>
    <mergeCell ref="W82:Y82"/>
    <mergeCell ref="Z82:AB82"/>
    <mergeCell ref="Q81:S81"/>
    <mergeCell ref="T81:V81"/>
    <mergeCell ref="W81:Y81"/>
    <mergeCell ref="Z81:AB81"/>
    <mergeCell ref="AC81:AE81"/>
    <mergeCell ref="AF81:AH81"/>
    <mergeCell ref="W80:Y80"/>
    <mergeCell ref="Z80:AB80"/>
    <mergeCell ref="AC80:AE80"/>
    <mergeCell ref="AF80:AH80"/>
    <mergeCell ref="AJ80:AK80"/>
    <mergeCell ref="B81:D81"/>
    <mergeCell ref="E81:G81"/>
    <mergeCell ref="H81:J81"/>
    <mergeCell ref="K81:M81"/>
    <mergeCell ref="N81:P81"/>
    <mergeCell ref="AC79:AE79"/>
    <mergeCell ref="AF79:AH79"/>
    <mergeCell ref="AJ79:AK79"/>
    <mergeCell ref="B80:D80"/>
    <mergeCell ref="E80:G80"/>
    <mergeCell ref="H80:J80"/>
    <mergeCell ref="K80:M80"/>
    <mergeCell ref="N80:P80"/>
    <mergeCell ref="Q80:S80"/>
    <mergeCell ref="T80:V80"/>
    <mergeCell ref="AJ78:AK78"/>
    <mergeCell ref="B79:D79"/>
    <mergeCell ref="E79:G79"/>
    <mergeCell ref="H79:J79"/>
    <mergeCell ref="K79:M79"/>
    <mergeCell ref="N79:P79"/>
    <mergeCell ref="Q79:S79"/>
    <mergeCell ref="T79:V79"/>
    <mergeCell ref="W79:Y79"/>
    <mergeCell ref="Z79:AB79"/>
    <mergeCell ref="Q78:S78"/>
    <mergeCell ref="T78:V78"/>
    <mergeCell ref="W78:Y78"/>
    <mergeCell ref="Z78:AB78"/>
    <mergeCell ref="AC78:AE78"/>
    <mergeCell ref="AF78:AH78"/>
    <mergeCell ref="W77:Y77"/>
    <mergeCell ref="Z77:AB77"/>
    <mergeCell ref="AC77:AE77"/>
    <mergeCell ref="AF77:AH77"/>
    <mergeCell ref="AJ77:AK77"/>
    <mergeCell ref="B78:D78"/>
    <mergeCell ref="E78:G78"/>
    <mergeCell ref="H78:J78"/>
    <mergeCell ref="K78:M78"/>
    <mergeCell ref="N78:P78"/>
    <mergeCell ref="AC76:AE76"/>
    <mergeCell ref="AF76:AH76"/>
    <mergeCell ref="AJ76:AK76"/>
    <mergeCell ref="B77:D77"/>
    <mergeCell ref="E77:G77"/>
    <mergeCell ref="H77:J77"/>
    <mergeCell ref="K77:M77"/>
    <mergeCell ref="N77:P77"/>
    <mergeCell ref="Q77:S77"/>
    <mergeCell ref="T77:V77"/>
    <mergeCell ref="AJ75:AK75"/>
    <mergeCell ref="B76:D76"/>
    <mergeCell ref="E76:G76"/>
    <mergeCell ref="H76:J76"/>
    <mergeCell ref="K76:M76"/>
    <mergeCell ref="N76:P76"/>
    <mergeCell ref="Q76:S76"/>
    <mergeCell ref="T76:V76"/>
    <mergeCell ref="W76:Y76"/>
    <mergeCell ref="Z76:AB76"/>
    <mergeCell ref="Q75:S75"/>
    <mergeCell ref="T75:V75"/>
    <mergeCell ref="W75:Y75"/>
    <mergeCell ref="Z75:AB75"/>
    <mergeCell ref="AC75:AE75"/>
    <mergeCell ref="AF75:AH75"/>
    <mergeCell ref="W74:Y74"/>
    <mergeCell ref="Z74:AB74"/>
    <mergeCell ref="AC74:AE74"/>
    <mergeCell ref="AF74:AH74"/>
    <mergeCell ref="AJ74:AK74"/>
    <mergeCell ref="B75:D75"/>
    <mergeCell ref="E75:G75"/>
    <mergeCell ref="H75:J75"/>
    <mergeCell ref="K75:M75"/>
    <mergeCell ref="N75:P75"/>
    <mergeCell ref="AC73:AE73"/>
    <mergeCell ref="AF73:AH73"/>
    <mergeCell ref="AJ73:AK73"/>
    <mergeCell ref="B74:D74"/>
    <mergeCell ref="E74:G74"/>
    <mergeCell ref="H74:J74"/>
    <mergeCell ref="K74:M74"/>
    <mergeCell ref="N74:P74"/>
    <mergeCell ref="Q74:S74"/>
    <mergeCell ref="T74:V74"/>
    <mergeCell ref="AJ72:AK72"/>
    <mergeCell ref="B73:D73"/>
    <mergeCell ref="E73:G73"/>
    <mergeCell ref="H73:J73"/>
    <mergeCell ref="K73:M73"/>
    <mergeCell ref="N73:P73"/>
    <mergeCell ref="Q73:S73"/>
    <mergeCell ref="T73:V73"/>
    <mergeCell ref="W73:Y73"/>
    <mergeCell ref="Z73:AB73"/>
    <mergeCell ref="Q72:S72"/>
    <mergeCell ref="T72:V72"/>
    <mergeCell ref="W72:Y72"/>
    <mergeCell ref="Z72:AB72"/>
    <mergeCell ref="AC72:AE72"/>
    <mergeCell ref="AF72:AH72"/>
    <mergeCell ref="W71:Y71"/>
    <mergeCell ref="Z71:AB71"/>
    <mergeCell ref="AC71:AE71"/>
    <mergeCell ref="AF71:AH71"/>
    <mergeCell ref="AJ71:AK71"/>
    <mergeCell ref="B72:D72"/>
    <mergeCell ref="E72:G72"/>
    <mergeCell ref="H72:J72"/>
    <mergeCell ref="K72:M72"/>
    <mergeCell ref="N72:P72"/>
    <mergeCell ref="AC70:AE70"/>
    <mergeCell ref="AF70:AH70"/>
    <mergeCell ref="AJ70:AK70"/>
    <mergeCell ref="B71:D71"/>
    <mergeCell ref="E71:G71"/>
    <mergeCell ref="H71:J71"/>
    <mergeCell ref="K71:M71"/>
    <mergeCell ref="N71:P71"/>
    <mergeCell ref="Q71:S71"/>
    <mergeCell ref="T71:V71"/>
    <mergeCell ref="AJ69:AK69"/>
    <mergeCell ref="B70:D70"/>
    <mergeCell ref="E70:G70"/>
    <mergeCell ref="H70:J70"/>
    <mergeCell ref="K70:M70"/>
    <mergeCell ref="N70:P70"/>
    <mergeCell ref="Q70:S70"/>
    <mergeCell ref="T70:V70"/>
    <mergeCell ref="W70:Y70"/>
    <mergeCell ref="Z70:AB70"/>
    <mergeCell ref="Q69:S69"/>
    <mergeCell ref="T69:V69"/>
    <mergeCell ref="W69:Y69"/>
    <mergeCell ref="Z69:AB69"/>
    <mergeCell ref="AC69:AE69"/>
    <mergeCell ref="AF69:AH69"/>
    <mergeCell ref="W68:Y68"/>
    <mergeCell ref="Z68:AB68"/>
    <mergeCell ref="AC68:AE68"/>
    <mergeCell ref="AF68:AH68"/>
    <mergeCell ref="AJ68:AK68"/>
    <mergeCell ref="B69:D69"/>
    <mergeCell ref="E69:G69"/>
    <mergeCell ref="H69:J69"/>
    <mergeCell ref="K69:M69"/>
    <mergeCell ref="N69:P69"/>
    <mergeCell ref="AC67:AE67"/>
    <mergeCell ref="AF67:AH67"/>
    <mergeCell ref="AJ67:AK67"/>
    <mergeCell ref="B68:D68"/>
    <mergeCell ref="E68:G68"/>
    <mergeCell ref="H68:J68"/>
    <mergeCell ref="K68:M68"/>
    <mergeCell ref="N68:P68"/>
    <mergeCell ref="Q68:S68"/>
    <mergeCell ref="T68:V68"/>
    <mergeCell ref="AJ66:AK66"/>
    <mergeCell ref="B67:D67"/>
    <mergeCell ref="E67:G67"/>
    <mergeCell ref="H67:J67"/>
    <mergeCell ref="K67:M67"/>
    <mergeCell ref="N67:P67"/>
    <mergeCell ref="Q67:S67"/>
    <mergeCell ref="T67:V67"/>
    <mergeCell ref="W67:Y67"/>
    <mergeCell ref="Z67:AB67"/>
    <mergeCell ref="Q66:S66"/>
    <mergeCell ref="T66:V66"/>
    <mergeCell ref="W66:Y66"/>
    <mergeCell ref="Z66:AB66"/>
    <mergeCell ref="AC66:AE66"/>
    <mergeCell ref="AF66:AH66"/>
    <mergeCell ref="W65:Y65"/>
    <mergeCell ref="Z65:AB65"/>
    <mergeCell ref="AC65:AE65"/>
    <mergeCell ref="AF65:AH65"/>
    <mergeCell ref="AJ65:AK65"/>
    <mergeCell ref="B66:D66"/>
    <mergeCell ref="E66:G66"/>
    <mergeCell ref="H66:J66"/>
    <mergeCell ref="K66:M66"/>
    <mergeCell ref="N66:P66"/>
    <mergeCell ref="AC64:AE64"/>
    <mergeCell ref="AF64:AH64"/>
    <mergeCell ref="AJ64:AK64"/>
    <mergeCell ref="B65:D65"/>
    <mergeCell ref="E65:G65"/>
    <mergeCell ref="H65:J65"/>
    <mergeCell ref="K65:M65"/>
    <mergeCell ref="N65:P65"/>
    <mergeCell ref="Q65:S65"/>
    <mergeCell ref="T65:V65"/>
    <mergeCell ref="AJ63:AK63"/>
    <mergeCell ref="B64:D64"/>
    <mergeCell ref="E64:G64"/>
    <mergeCell ref="H64:J64"/>
    <mergeCell ref="K64:M64"/>
    <mergeCell ref="N64:P64"/>
    <mergeCell ref="Q64:S64"/>
    <mergeCell ref="T64:V64"/>
    <mergeCell ref="W64:Y64"/>
    <mergeCell ref="Z64:AB64"/>
    <mergeCell ref="Q63:S63"/>
    <mergeCell ref="T63:V63"/>
    <mergeCell ref="W63:Y63"/>
    <mergeCell ref="Z63:AB63"/>
    <mergeCell ref="AC63:AE63"/>
    <mergeCell ref="AF63:AH63"/>
    <mergeCell ref="W62:Y62"/>
    <mergeCell ref="Z62:AB62"/>
    <mergeCell ref="AC62:AE62"/>
    <mergeCell ref="AF62:AH62"/>
    <mergeCell ref="AJ62:AK62"/>
    <mergeCell ref="B63:D63"/>
    <mergeCell ref="E63:G63"/>
    <mergeCell ref="H63:J63"/>
    <mergeCell ref="K63:M63"/>
    <mergeCell ref="N63:P63"/>
    <mergeCell ref="AC61:AE61"/>
    <mergeCell ref="AF61:AH61"/>
    <mergeCell ref="AJ61:AK61"/>
    <mergeCell ref="B62:D62"/>
    <mergeCell ref="E62:G62"/>
    <mergeCell ref="H62:J62"/>
    <mergeCell ref="K62:M62"/>
    <mergeCell ref="N62:P62"/>
    <mergeCell ref="Q62:S62"/>
    <mergeCell ref="T62:V62"/>
    <mergeCell ref="AJ60:AK60"/>
    <mergeCell ref="B61:D61"/>
    <mergeCell ref="E61:G61"/>
    <mergeCell ref="H61:J61"/>
    <mergeCell ref="K61:M61"/>
    <mergeCell ref="N61:P61"/>
    <mergeCell ref="Q61:S61"/>
    <mergeCell ref="T61:V61"/>
    <mergeCell ref="W61:Y61"/>
    <mergeCell ref="Z61:AB61"/>
    <mergeCell ref="Q60:S60"/>
    <mergeCell ref="T60:V60"/>
    <mergeCell ref="W60:Y60"/>
    <mergeCell ref="Z60:AB60"/>
    <mergeCell ref="AC60:AE60"/>
    <mergeCell ref="AF60:AH60"/>
    <mergeCell ref="W59:Y59"/>
    <mergeCell ref="Z59:AB59"/>
    <mergeCell ref="AC59:AE59"/>
    <mergeCell ref="AF59:AH59"/>
    <mergeCell ref="AJ59:AK59"/>
    <mergeCell ref="B60:D60"/>
    <mergeCell ref="E60:G60"/>
    <mergeCell ref="H60:J60"/>
    <mergeCell ref="K60:M60"/>
    <mergeCell ref="N60:P60"/>
    <mergeCell ref="AC58:AE58"/>
    <mergeCell ref="AF58:AH58"/>
    <mergeCell ref="AJ58:AK58"/>
    <mergeCell ref="B59:D59"/>
    <mergeCell ref="E59:G59"/>
    <mergeCell ref="H59:J59"/>
    <mergeCell ref="K59:M59"/>
    <mergeCell ref="N59:P59"/>
    <mergeCell ref="Q59:S59"/>
    <mergeCell ref="T59:V59"/>
    <mergeCell ref="AJ57:AK57"/>
    <mergeCell ref="B58:D58"/>
    <mergeCell ref="E58:G58"/>
    <mergeCell ref="H58:J58"/>
    <mergeCell ref="K58:M58"/>
    <mergeCell ref="N58:P58"/>
    <mergeCell ref="Q58:S58"/>
    <mergeCell ref="T58:V58"/>
    <mergeCell ref="W58:Y58"/>
    <mergeCell ref="Z58:AB58"/>
    <mergeCell ref="Q57:S57"/>
    <mergeCell ref="T57:V57"/>
    <mergeCell ref="W57:Y57"/>
    <mergeCell ref="Z57:AB57"/>
    <mergeCell ref="AC57:AE57"/>
    <mergeCell ref="AF57:AH57"/>
    <mergeCell ref="W56:Y56"/>
    <mergeCell ref="Z56:AB56"/>
    <mergeCell ref="AC56:AE56"/>
    <mergeCell ref="AF56:AH56"/>
    <mergeCell ref="AJ56:AK56"/>
    <mergeCell ref="B57:D57"/>
    <mergeCell ref="E57:G57"/>
    <mergeCell ref="H57:J57"/>
    <mergeCell ref="K57:M57"/>
    <mergeCell ref="N57:P57"/>
    <mergeCell ref="AC55:AE55"/>
    <mergeCell ref="AF55:AH55"/>
    <mergeCell ref="AJ55:AK55"/>
    <mergeCell ref="B56:D56"/>
    <mergeCell ref="E56:G56"/>
    <mergeCell ref="H56:J56"/>
    <mergeCell ref="K56:M56"/>
    <mergeCell ref="N56:P56"/>
    <mergeCell ref="Q56:S56"/>
    <mergeCell ref="T56:V56"/>
    <mergeCell ref="AJ54:AK54"/>
    <mergeCell ref="B55:D55"/>
    <mergeCell ref="E55:G55"/>
    <mergeCell ref="H55:J55"/>
    <mergeCell ref="K55:M55"/>
    <mergeCell ref="N55:P55"/>
    <mergeCell ref="Q55:S55"/>
    <mergeCell ref="T55:V55"/>
    <mergeCell ref="W55:Y55"/>
    <mergeCell ref="Z55:AB55"/>
    <mergeCell ref="Q54:S54"/>
    <mergeCell ref="T54:V54"/>
    <mergeCell ref="W54:Y54"/>
    <mergeCell ref="Z54:AB54"/>
    <mergeCell ref="AC54:AE54"/>
    <mergeCell ref="AF54:AH54"/>
    <mergeCell ref="W53:Y53"/>
    <mergeCell ref="Z53:AB53"/>
    <mergeCell ref="AC53:AE53"/>
    <mergeCell ref="AF53:AH53"/>
    <mergeCell ref="AJ53:AK53"/>
    <mergeCell ref="B54:D54"/>
    <mergeCell ref="E54:G54"/>
    <mergeCell ref="H54:J54"/>
    <mergeCell ref="K54:M54"/>
    <mergeCell ref="N54:P54"/>
    <mergeCell ref="AC52:AE52"/>
    <mergeCell ref="AF52:AH52"/>
    <mergeCell ref="AJ52:AK52"/>
    <mergeCell ref="B53:D53"/>
    <mergeCell ref="E53:G53"/>
    <mergeCell ref="H53:J53"/>
    <mergeCell ref="K53:M53"/>
    <mergeCell ref="N53:P53"/>
    <mergeCell ref="Q53:S53"/>
    <mergeCell ref="T53:V53"/>
    <mergeCell ref="AJ51:AK51"/>
    <mergeCell ref="B52:D52"/>
    <mergeCell ref="E52:G52"/>
    <mergeCell ref="H52:J52"/>
    <mergeCell ref="K52:M52"/>
    <mergeCell ref="N52:P52"/>
    <mergeCell ref="Q52:S52"/>
    <mergeCell ref="T52:V52"/>
    <mergeCell ref="W52:Y52"/>
    <mergeCell ref="Z52:AB52"/>
    <mergeCell ref="Q51:S51"/>
    <mergeCell ref="T51:V51"/>
    <mergeCell ref="W51:Y51"/>
    <mergeCell ref="Z51:AB51"/>
    <mergeCell ref="AC51:AE51"/>
    <mergeCell ref="AF51:AH51"/>
    <mergeCell ref="W50:Y50"/>
    <mergeCell ref="Z50:AB50"/>
    <mergeCell ref="AC50:AE50"/>
    <mergeCell ref="AF50:AH50"/>
    <mergeCell ref="AJ50:AK50"/>
    <mergeCell ref="B51:D51"/>
    <mergeCell ref="E51:G51"/>
    <mergeCell ref="H51:J51"/>
    <mergeCell ref="K51:M51"/>
    <mergeCell ref="N51:P51"/>
    <mergeCell ref="AC49:AE49"/>
    <mergeCell ref="AF49:AH49"/>
    <mergeCell ref="AJ49:AK49"/>
    <mergeCell ref="B50:D50"/>
    <mergeCell ref="E50:G50"/>
    <mergeCell ref="H50:J50"/>
    <mergeCell ref="K50:M50"/>
    <mergeCell ref="N50:P50"/>
    <mergeCell ref="Q50:S50"/>
    <mergeCell ref="T50:V50"/>
    <mergeCell ref="AJ48:AK48"/>
    <mergeCell ref="B49:D49"/>
    <mergeCell ref="E49:G49"/>
    <mergeCell ref="H49:J49"/>
    <mergeCell ref="K49:M49"/>
    <mergeCell ref="N49:P49"/>
    <mergeCell ref="Q49:S49"/>
    <mergeCell ref="T49:V49"/>
    <mergeCell ref="W49:Y49"/>
    <mergeCell ref="Z49:AB49"/>
    <mergeCell ref="Q48:S48"/>
    <mergeCell ref="T48:V48"/>
    <mergeCell ref="W48:Y48"/>
    <mergeCell ref="Z48:AB48"/>
    <mergeCell ref="AC48:AE48"/>
    <mergeCell ref="AF48:AH48"/>
    <mergeCell ref="W47:Y47"/>
    <mergeCell ref="Z47:AB47"/>
    <mergeCell ref="AC47:AE47"/>
    <mergeCell ref="AF47:AH47"/>
    <mergeCell ref="AJ47:AK47"/>
    <mergeCell ref="B48:D48"/>
    <mergeCell ref="E48:G48"/>
    <mergeCell ref="H48:J48"/>
    <mergeCell ref="K48:M48"/>
    <mergeCell ref="N48:P48"/>
    <mergeCell ref="AC46:AE46"/>
    <mergeCell ref="AF46:AH46"/>
    <mergeCell ref="AJ46:AK46"/>
    <mergeCell ref="B47:D47"/>
    <mergeCell ref="E47:G47"/>
    <mergeCell ref="H47:J47"/>
    <mergeCell ref="K47:M47"/>
    <mergeCell ref="N47:P47"/>
    <mergeCell ref="Q47:S47"/>
    <mergeCell ref="T47:V47"/>
    <mergeCell ref="AJ45:AK45"/>
    <mergeCell ref="B46:D46"/>
    <mergeCell ref="E46:G46"/>
    <mergeCell ref="H46:J46"/>
    <mergeCell ref="K46:M46"/>
    <mergeCell ref="N46:P46"/>
    <mergeCell ref="Q46:S46"/>
    <mergeCell ref="T46:V46"/>
    <mergeCell ref="W46:Y46"/>
    <mergeCell ref="Z46:AB46"/>
    <mergeCell ref="Q45:S45"/>
    <mergeCell ref="T45:V45"/>
    <mergeCell ref="W45:Y45"/>
    <mergeCell ref="Z45:AB45"/>
    <mergeCell ref="AC45:AE45"/>
    <mergeCell ref="AF45:AH45"/>
    <mergeCell ref="W44:Y44"/>
    <mergeCell ref="Z44:AB44"/>
    <mergeCell ref="AC44:AE44"/>
    <mergeCell ref="AF44:AH44"/>
    <mergeCell ref="AJ44:AK44"/>
    <mergeCell ref="B45:D45"/>
    <mergeCell ref="E45:G45"/>
    <mergeCell ref="H45:J45"/>
    <mergeCell ref="K45:M45"/>
    <mergeCell ref="N45:P45"/>
    <mergeCell ref="AC43:AE43"/>
    <mergeCell ref="AF43:AH43"/>
    <mergeCell ref="AJ43:AK43"/>
    <mergeCell ref="B44:D44"/>
    <mergeCell ref="E44:G44"/>
    <mergeCell ref="H44:J44"/>
    <mergeCell ref="K44:M44"/>
    <mergeCell ref="N44:P44"/>
    <mergeCell ref="Q44:S44"/>
    <mergeCell ref="T44:V44"/>
    <mergeCell ref="AJ42:AK42"/>
    <mergeCell ref="B43:D43"/>
    <mergeCell ref="E43:G43"/>
    <mergeCell ref="H43:J43"/>
    <mergeCell ref="K43:M43"/>
    <mergeCell ref="N43:P43"/>
    <mergeCell ref="Q43:S43"/>
    <mergeCell ref="T43:V43"/>
    <mergeCell ref="W43:Y43"/>
    <mergeCell ref="Z43:AB43"/>
    <mergeCell ref="Q42:S42"/>
    <mergeCell ref="T42:V42"/>
    <mergeCell ref="W42:Y42"/>
    <mergeCell ref="Z42:AB42"/>
    <mergeCell ref="AC42:AE42"/>
    <mergeCell ref="AF42:AH42"/>
    <mergeCell ref="W41:Y41"/>
    <mergeCell ref="Z41:AB41"/>
    <mergeCell ref="AC41:AE41"/>
    <mergeCell ref="AF41:AH41"/>
    <mergeCell ref="AJ41:AK41"/>
    <mergeCell ref="B42:D42"/>
    <mergeCell ref="E42:G42"/>
    <mergeCell ref="H42:J42"/>
    <mergeCell ref="K42:M42"/>
    <mergeCell ref="N42:P42"/>
    <mergeCell ref="AC40:AE40"/>
    <mergeCell ref="AF40:AH40"/>
    <mergeCell ref="AJ40:AK40"/>
    <mergeCell ref="B41:D41"/>
    <mergeCell ref="E41:G41"/>
    <mergeCell ref="H41:J41"/>
    <mergeCell ref="K41:M41"/>
    <mergeCell ref="N41:P41"/>
    <mergeCell ref="Q41:S41"/>
    <mergeCell ref="T41:V41"/>
    <mergeCell ref="AJ39:AK39"/>
    <mergeCell ref="B40:D40"/>
    <mergeCell ref="E40:G40"/>
    <mergeCell ref="H40:J40"/>
    <mergeCell ref="K40:M40"/>
    <mergeCell ref="N40:P40"/>
    <mergeCell ref="Q40:S40"/>
    <mergeCell ref="T40:V40"/>
    <mergeCell ref="W40:Y40"/>
    <mergeCell ref="Z40:AB40"/>
    <mergeCell ref="Q39:S39"/>
    <mergeCell ref="T39:V39"/>
    <mergeCell ref="W39:Y39"/>
    <mergeCell ref="Z39:AB39"/>
    <mergeCell ref="AC39:AE39"/>
    <mergeCell ref="AF39:AH39"/>
    <mergeCell ref="W38:Y38"/>
    <mergeCell ref="Z38:AB38"/>
    <mergeCell ref="AC38:AE38"/>
    <mergeCell ref="AF38:AH38"/>
    <mergeCell ref="AJ38:AK38"/>
    <mergeCell ref="B39:D39"/>
    <mergeCell ref="E39:G39"/>
    <mergeCell ref="H39:J39"/>
    <mergeCell ref="K39:M39"/>
    <mergeCell ref="N39:P39"/>
    <mergeCell ref="AC37:AE37"/>
    <mergeCell ref="AF37:AH37"/>
    <mergeCell ref="AJ37:AK37"/>
    <mergeCell ref="B38:D38"/>
    <mergeCell ref="E38:G38"/>
    <mergeCell ref="H38:J38"/>
    <mergeCell ref="K38:M38"/>
    <mergeCell ref="N38:P38"/>
    <mergeCell ref="Q38:S38"/>
    <mergeCell ref="T38:V38"/>
    <mergeCell ref="AJ36:AK36"/>
    <mergeCell ref="B37:D37"/>
    <mergeCell ref="E37:G37"/>
    <mergeCell ref="H37:J37"/>
    <mergeCell ref="K37:M37"/>
    <mergeCell ref="N37:P37"/>
    <mergeCell ref="Q37:S37"/>
    <mergeCell ref="T37:V37"/>
    <mergeCell ref="W37:Y37"/>
    <mergeCell ref="Z37:AB37"/>
    <mergeCell ref="Q36:S36"/>
    <mergeCell ref="T36:V36"/>
    <mergeCell ref="W36:Y36"/>
    <mergeCell ref="Z36:AB36"/>
    <mergeCell ref="AC36:AE36"/>
    <mergeCell ref="AF36:AH36"/>
    <mergeCell ref="W35:Y35"/>
    <mergeCell ref="Z35:AB35"/>
    <mergeCell ref="AC35:AE35"/>
    <mergeCell ref="AF35:AH35"/>
    <mergeCell ref="AJ35:AK35"/>
    <mergeCell ref="B36:D36"/>
    <mergeCell ref="E36:G36"/>
    <mergeCell ref="H36:J36"/>
    <mergeCell ref="K36:M36"/>
    <mergeCell ref="N36:P36"/>
    <mergeCell ref="AC34:AE34"/>
    <mergeCell ref="AF34:AH34"/>
    <mergeCell ref="AJ34:AK34"/>
    <mergeCell ref="B35:D35"/>
    <mergeCell ref="E35:G35"/>
    <mergeCell ref="H35:J35"/>
    <mergeCell ref="K35:M35"/>
    <mergeCell ref="N35:P35"/>
    <mergeCell ref="Q35:S35"/>
    <mergeCell ref="T35:V35"/>
    <mergeCell ref="AJ33:AK33"/>
    <mergeCell ref="B34:D34"/>
    <mergeCell ref="E34:G34"/>
    <mergeCell ref="H34:J34"/>
    <mergeCell ref="K34:M34"/>
    <mergeCell ref="N34:P34"/>
    <mergeCell ref="Q34:S34"/>
    <mergeCell ref="T34:V34"/>
    <mergeCell ref="W34:Y34"/>
    <mergeCell ref="Z34:AB34"/>
    <mergeCell ref="Q33:S33"/>
    <mergeCell ref="T33:V33"/>
    <mergeCell ref="W33:Y33"/>
    <mergeCell ref="Z33:AB33"/>
    <mergeCell ref="AC33:AE33"/>
    <mergeCell ref="AF33:AH33"/>
    <mergeCell ref="W32:Y32"/>
    <mergeCell ref="Z32:AB32"/>
    <mergeCell ref="AC32:AE32"/>
    <mergeCell ref="AF32:AH32"/>
    <mergeCell ref="AJ32:AK32"/>
    <mergeCell ref="B33:D33"/>
    <mergeCell ref="E33:G33"/>
    <mergeCell ref="H33:J33"/>
    <mergeCell ref="K33:M33"/>
    <mergeCell ref="N33:P33"/>
    <mergeCell ref="A28:AK29"/>
    <mergeCell ref="A30:AK30"/>
    <mergeCell ref="A31:AK31"/>
    <mergeCell ref="B32:D32"/>
    <mergeCell ref="E32:G32"/>
    <mergeCell ref="H32:J32"/>
    <mergeCell ref="K32:M32"/>
    <mergeCell ref="N32:P32"/>
    <mergeCell ref="Q32:S32"/>
    <mergeCell ref="T32:V32"/>
    <mergeCell ref="Q27:R27"/>
    <mergeCell ref="T27:U27"/>
    <mergeCell ref="W27:X27"/>
    <mergeCell ref="Z27:AA27"/>
    <mergeCell ref="AC27:AD27"/>
    <mergeCell ref="AF27:AG27"/>
    <mergeCell ref="B26:C26"/>
    <mergeCell ref="B27:C27"/>
    <mergeCell ref="E27:F27"/>
    <mergeCell ref="H27:I27"/>
    <mergeCell ref="K27:L27"/>
    <mergeCell ref="N27:O27"/>
    <mergeCell ref="AI21:AI22"/>
    <mergeCell ref="AJ21:AK21"/>
    <mergeCell ref="B22:C22"/>
    <mergeCell ref="B23:C23"/>
    <mergeCell ref="B24:C24"/>
    <mergeCell ref="B25:C25"/>
    <mergeCell ref="Q21:S21"/>
    <mergeCell ref="T21:V21"/>
    <mergeCell ref="W21:Y21"/>
    <mergeCell ref="Z21:AB21"/>
    <mergeCell ref="AC21:AE21"/>
    <mergeCell ref="AF21:AH21"/>
    <mergeCell ref="Z18:AB18"/>
    <mergeCell ref="AF18:AH18"/>
    <mergeCell ref="AI18:AK18"/>
    <mergeCell ref="A19:AK20"/>
    <mergeCell ref="A21:A22"/>
    <mergeCell ref="B21:D21"/>
    <mergeCell ref="E21:G21"/>
    <mergeCell ref="H21:J21"/>
    <mergeCell ref="K21:M21"/>
    <mergeCell ref="N21:P21"/>
    <mergeCell ref="B18:D18"/>
    <mergeCell ref="E18:G18"/>
    <mergeCell ref="N18:P18"/>
    <mergeCell ref="Q18:S18"/>
    <mergeCell ref="T18:V18"/>
    <mergeCell ref="W18:Y18"/>
    <mergeCell ref="AI16:AK16"/>
    <mergeCell ref="B17:D17"/>
    <mergeCell ref="E17:G17"/>
    <mergeCell ref="N17:P17"/>
    <mergeCell ref="Q17:S17"/>
    <mergeCell ref="T17:V17"/>
    <mergeCell ref="W17:Y17"/>
    <mergeCell ref="Z17:AB17"/>
    <mergeCell ref="AF17:AH17"/>
    <mergeCell ref="AI17:AK17"/>
    <mergeCell ref="AF15:AH15"/>
    <mergeCell ref="AI15:AK15"/>
    <mergeCell ref="B16:D16"/>
    <mergeCell ref="E16:G16"/>
    <mergeCell ref="N16:P16"/>
    <mergeCell ref="Q16:S16"/>
    <mergeCell ref="T16:V16"/>
    <mergeCell ref="W16:Y16"/>
    <mergeCell ref="Z16:AB16"/>
    <mergeCell ref="AF16:AH16"/>
    <mergeCell ref="AI14:AK14"/>
    <mergeCell ref="B15:D15"/>
    <mergeCell ref="E15:G15"/>
    <mergeCell ref="K15:M15"/>
    <mergeCell ref="N15:P15"/>
    <mergeCell ref="Q15:S15"/>
    <mergeCell ref="T15:V15"/>
    <mergeCell ref="W15:Y15"/>
    <mergeCell ref="Z15:AB15"/>
    <mergeCell ref="AC15:AE15"/>
    <mergeCell ref="AI13:AK13"/>
    <mergeCell ref="B14:D14"/>
    <mergeCell ref="E14:G14"/>
    <mergeCell ref="N14:P14"/>
    <mergeCell ref="Q14:S14"/>
    <mergeCell ref="T14:V14"/>
    <mergeCell ref="W14:Y14"/>
    <mergeCell ref="Z14:AB14"/>
    <mergeCell ref="AC14:AE14"/>
    <mergeCell ref="AF14:AH14"/>
    <mergeCell ref="AI12:AK12"/>
    <mergeCell ref="B13:D13"/>
    <mergeCell ref="E13:G13"/>
    <mergeCell ref="N13:P13"/>
    <mergeCell ref="Q13:S13"/>
    <mergeCell ref="T13:V13"/>
    <mergeCell ref="W13:Y13"/>
    <mergeCell ref="Z13:AB13"/>
    <mergeCell ref="AC13:AE13"/>
    <mergeCell ref="AF13:AH13"/>
    <mergeCell ref="AI11:AK11"/>
    <mergeCell ref="B12:D12"/>
    <mergeCell ref="E12:G12"/>
    <mergeCell ref="N12:P12"/>
    <mergeCell ref="Q12:S12"/>
    <mergeCell ref="T12:V12"/>
    <mergeCell ref="W12:Y12"/>
    <mergeCell ref="Z12:AB12"/>
    <mergeCell ref="AC12:AE12"/>
    <mergeCell ref="AF12:AH12"/>
    <mergeCell ref="Q11:S11"/>
    <mergeCell ref="T11:V11"/>
    <mergeCell ref="W11:Y11"/>
    <mergeCell ref="Z11:AB11"/>
    <mergeCell ref="AC11:AE11"/>
    <mergeCell ref="AF11:AH11"/>
    <mergeCell ref="A1:AK4"/>
    <mergeCell ref="A5:AK6"/>
    <mergeCell ref="A7:AK8"/>
    <mergeCell ref="A9:AK9"/>
    <mergeCell ref="A10:AK10"/>
    <mergeCell ref="B11:D11"/>
    <mergeCell ref="E11:G11"/>
    <mergeCell ref="H11:J11"/>
    <mergeCell ref="K11:M11"/>
    <mergeCell ref="N11:P11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SET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ANIPA</dc:creator>
  <cp:lastModifiedBy>ANIPA</cp:lastModifiedBy>
  <dcterms:created xsi:type="dcterms:W3CDTF">2020-10-06T16:20:25Z</dcterms:created>
  <dcterms:modified xsi:type="dcterms:W3CDTF">2020-10-06T16:24:57Z</dcterms:modified>
</cp:coreProperties>
</file>