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dos\Desktop\FINANCEIRO\05. FINANCEIRO\2019\09. SET\Histórico Mensal\"/>
    </mc:Choice>
  </mc:AlternateContent>
  <xr:revisionPtr revIDLastSave="0" documentId="13_ncr:1_{08335D27-7FA5-4F35-A567-BB0CA27358A7}" xr6:coauthVersionLast="41" xr6:coauthVersionMax="43" xr10:uidLastSave="{00000000-0000-0000-0000-000000000000}"/>
  <bookViews>
    <workbookView xWindow="-120" yWindow="-120" windowWidth="20730" windowHeight="11160" xr2:uid="{B3E74167-1BA6-457C-94B0-FD62536A9C52}"/>
  </bookViews>
  <sheets>
    <sheet name="S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4" i="4" l="1"/>
  <c r="AC107" i="4" l="1"/>
  <c r="AC105" i="4"/>
  <c r="AF76" i="4"/>
  <c r="AH25" i="4"/>
  <c r="AH24" i="4"/>
  <c r="AF65" i="4"/>
  <c r="AC65" i="4"/>
  <c r="AE25" i="4"/>
  <c r="AF98" i="4" l="1"/>
  <c r="AF96" i="4"/>
  <c r="AF95" i="4"/>
  <c r="AF94" i="4"/>
  <c r="AF93" i="4"/>
  <c r="AF92" i="4"/>
  <c r="AF89" i="4"/>
  <c r="AF85" i="4"/>
  <c r="AF84" i="4"/>
  <c r="AF83" i="4"/>
  <c r="AF78" i="4"/>
  <c r="AF79" i="4"/>
  <c r="AF74" i="4"/>
  <c r="AF73" i="4"/>
  <c r="AF72" i="4"/>
  <c r="AF64" i="4"/>
  <c r="AF63" i="4"/>
  <c r="AF56" i="4"/>
  <c r="AF55" i="4"/>
  <c r="AF54" i="4"/>
  <c r="AF52" i="4"/>
  <c r="AF46" i="4"/>
  <c r="AF37" i="4"/>
  <c r="AF36" i="4"/>
  <c r="AF35" i="4"/>
  <c r="AC106" i="4"/>
  <c r="AE27" i="4"/>
  <c r="AF24" i="4"/>
  <c r="AC27" i="4"/>
  <c r="AC24" i="4"/>
  <c r="AC74" i="4" l="1"/>
  <c r="AC73" i="4"/>
  <c r="AC79" i="4"/>
  <c r="AC84" i="4"/>
  <c r="Z83" i="4"/>
  <c r="AC85" i="4"/>
  <c r="AC83" i="4"/>
  <c r="AE24" i="4"/>
  <c r="AC63" i="4"/>
  <c r="AC78" i="4"/>
  <c r="AC94" i="4"/>
  <c r="AC92" i="4"/>
  <c r="AC35" i="4"/>
  <c r="AC108" i="4" l="1"/>
  <c r="Z86" i="4"/>
  <c r="AC86" i="4"/>
  <c r="T86" i="4"/>
  <c r="W86" i="4"/>
  <c r="N86" i="4"/>
  <c r="Q86" i="4"/>
  <c r="E86" i="4"/>
  <c r="K86" i="4"/>
  <c r="H86" i="4"/>
  <c r="AC55" i="4" l="1"/>
  <c r="AC54" i="4"/>
  <c r="AC98" i="4"/>
  <c r="AC46" i="4"/>
  <c r="AC95" i="4"/>
  <c r="AC96" i="4"/>
  <c r="AC64" i="4" l="1"/>
  <c r="AC56" i="4"/>
  <c r="AC37" i="4"/>
  <c r="AC62" i="4"/>
  <c r="AC52" i="4"/>
  <c r="AC72" i="4"/>
  <c r="AC93" i="4"/>
  <c r="AC89" i="4"/>
  <c r="AC36" i="4"/>
  <c r="AC80" i="4"/>
  <c r="AC67" i="4"/>
  <c r="AC45" i="4"/>
  <c r="AC42" i="4"/>
  <c r="AC33" i="4"/>
  <c r="AC49" i="4" l="1"/>
  <c r="AC91" i="4"/>
  <c r="AB25" i="4"/>
  <c r="AF90" i="4"/>
  <c r="Z65" i="4"/>
  <c r="AC99" i="4" l="1"/>
  <c r="AJ90" i="4"/>
  <c r="AF87" i="4"/>
  <c r="AF75" i="4"/>
  <c r="AF47" i="4"/>
  <c r="Z63" i="4"/>
  <c r="Z96" i="4"/>
  <c r="Z35" i="4"/>
  <c r="Z87" i="4"/>
  <c r="AC100" i="4" l="1"/>
  <c r="Z24" i="4"/>
  <c r="AA24" i="4"/>
  <c r="AB24" i="4" l="1"/>
  <c r="AB27" i="4" s="1"/>
  <c r="Z74" i="4"/>
  <c r="Z85" i="4"/>
  <c r="Z80" i="4"/>
  <c r="Z76" i="4"/>
  <c r="Z84" i="4"/>
  <c r="Z73" i="4"/>
  <c r="Z78" i="4"/>
  <c r="AJ50" i="4"/>
  <c r="AF51" i="4"/>
  <c r="AJ51" i="4"/>
  <c r="Z52" i="4"/>
  <c r="AJ52" i="4"/>
  <c r="AJ53" i="4"/>
  <c r="Z47" i="4"/>
  <c r="Z45" i="4" s="1"/>
  <c r="Z92" i="4"/>
  <c r="Z79" i="4"/>
  <c r="Z56" i="4"/>
  <c r="Z64" i="4"/>
  <c r="Z62" i="4" s="1"/>
  <c r="Z90" i="4"/>
  <c r="Z72" i="4"/>
  <c r="Z55" i="4"/>
  <c r="Z37" i="4"/>
  <c r="Z54" i="4"/>
  <c r="Z49" i="4" s="1"/>
  <c r="Z36" i="4"/>
  <c r="Z42" i="4"/>
  <c r="Z91" i="4"/>
  <c r="Z33" i="4" l="1"/>
  <c r="Z67" i="4"/>
  <c r="Z99" i="4" l="1"/>
  <c r="Z100" i="4" s="1"/>
  <c r="AF97" i="4" l="1"/>
  <c r="W97" i="4"/>
  <c r="W47" i="4"/>
  <c r="AI12" i="4"/>
  <c r="AF12" i="4"/>
  <c r="B101" i="4"/>
  <c r="B17" i="4" s="1"/>
  <c r="B14" i="4"/>
  <c r="B13" i="4"/>
  <c r="B15" i="4"/>
  <c r="B12" i="4" l="1"/>
  <c r="B107" i="4"/>
  <c r="E107" i="4" s="1"/>
  <c r="H107" i="4" s="1"/>
  <c r="K107" i="4" s="1"/>
  <c r="N107" i="4" s="1"/>
  <c r="Q107" i="4" s="1"/>
  <c r="T107" i="4" s="1"/>
  <c r="W107" i="4" s="1"/>
  <c r="Z107" i="4" s="1"/>
  <c r="B106" i="4"/>
  <c r="E106" i="4" s="1"/>
  <c r="H106" i="4" s="1"/>
  <c r="K106" i="4" s="1"/>
  <c r="N106" i="4" s="1"/>
  <c r="Q106" i="4" s="1"/>
  <c r="T106" i="4" s="1"/>
  <c r="W106" i="4" s="1"/>
  <c r="Z106" i="4" s="1"/>
  <c r="B105" i="4"/>
  <c r="B108" i="4" l="1"/>
  <c r="E105" i="4"/>
  <c r="AK26" i="4"/>
  <c r="AK23" i="4"/>
  <c r="D23" i="4"/>
  <c r="H105" i="4" l="1"/>
  <c r="E108" i="4"/>
  <c r="AF71" i="4"/>
  <c r="H108" i="4" l="1"/>
  <c r="K105" i="4"/>
  <c r="AJ35" i="4"/>
  <c r="N105" i="4" l="1"/>
  <c r="K108" i="4"/>
  <c r="X24" i="4"/>
  <c r="Q105" i="4" l="1"/>
  <c r="N108" i="4"/>
  <c r="W65" i="4"/>
  <c r="W63" i="4"/>
  <c r="W35" i="4"/>
  <c r="W73" i="4"/>
  <c r="W92" i="4"/>
  <c r="W79" i="4"/>
  <c r="W64" i="4"/>
  <c r="W87" i="4"/>
  <c r="W78" i="4"/>
  <c r="W91" i="4"/>
  <c r="W37" i="4"/>
  <c r="W54" i="4"/>
  <c r="W52" i="4"/>
  <c r="W56" i="4"/>
  <c r="W72" i="4"/>
  <c r="W36" i="4"/>
  <c r="W55" i="4"/>
  <c r="W89" i="4"/>
  <c r="W71" i="4"/>
  <c r="W83" i="4"/>
  <c r="W80" i="4" s="1"/>
  <c r="W76" i="4"/>
  <c r="W74" i="4"/>
  <c r="W42" i="4"/>
  <c r="W33" i="4" l="1"/>
  <c r="W49" i="4"/>
  <c r="W62" i="4"/>
  <c r="Q108" i="4"/>
  <c r="T105" i="4"/>
  <c r="W67" i="4"/>
  <c r="Y25" i="4"/>
  <c r="Y24" i="4"/>
  <c r="E49" i="4"/>
  <c r="H49" i="4"/>
  <c r="K49" i="4"/>
  <c r="N49" i="4"/>
  <c r="Q49" i="4"/>
  <c r="T49" i="4"/>
  <c r="B61" i="4"/>
  <c r="B60" i="4"/>
  <c r="B59" i="4"/>
  <c r="B58" i="4"/>
  <c r="B57" i="4"/>
  <c r="B56" i="4"/>
  <c r="B55" i="4"/>
  <c r="B54" i="4"/>
  <c r="B53" i="4"/>
  <c r="B52" i="4"/>
  <c r="B51" i="4"/>
  <c r="B50" i="4"/>
  <c r="E45" i="4"/>
  <c r="H45" i="4"/>
  <c r="K45" i="4"/>
  <c r="N45" i="4"/>
  <c r="Q45" i="4"/>
  <c r="T45" i="4"/>
  <c r="W45" i="4"/>
  <c r="E42" i="4"/>
  <c r="H42" i="4"/>
  <c r="K42" i="4"/>
  <c r="N42" i="4"/>
  <c r="Q42" i="4"/>
  <c r="T42" i="4"/>
  <c r="B48" i="4"/>
  <c r="B47" i="4"/>
  <c r="B46" i="4"/>
  <c r="B44" i="4"/>
  <c r="B43" i="4"/>
  <c r="B41" i="4"/>
  <c r="B40" i="4"/>
  <c r="B39" i="4"/>
  <c r="B38" i="4"/>
  <c r="B37" i="4"/>
  <c r="B36" i="4"/>
  <c r="B34" i="4"/>
  <c r="B24" i="4"/>
  <c r="B27" i="4" s="1"/>
  <c r="D25" i="4"/>
  <c r="D24" i="4"/>
  <c r="AJ23" i="4"/>
  <c r="E27" i="4" l="1"/>
  <c r="H27" i="4" s="1"/>
  <c r="K27" i="4" s="1"/>
  <c r="N27" i="4" s="1"/>
  <c r="Q27" i="4" s="1"/>
  <c r="T27" i="4" s="1"/>
  <c r="AF27" i="4"/>
  <c r="W99" i="4"/>
  <c r="T108" i="4"/>
  <c r="W105" i="4"/>
  <c r="B45" i="4"/>
  <c r="B49" i="4"/>
  <c r="B42" i="4"/>
  <c r="B33" i="4"/>
  <c r="V27" i="4"/>
  <c r="S27" i="4"/>
  <c r="P27" i="4"/>
  <c r="M27" i="4"/>
  <c r="K100" i="4" s="1"/>
  <c r="J27" i="4"/>
  <c r="G25" i="4"/>
  <c r="AK25" i="4" s="1"/>
  <c r="W108" i="4" l="1"/>
  <c r="Z105" i="4"/>
  <c r="Z108" i="4" s="1"/>
  <c r="G24" i="4"/>
  <c r="AK24" i="4" s="1"/>
  <c r="G27" i="4" l="1"/>
  <c r="D27" i="4"/>
  <c r="B16" i="4" l="1"/>
  <c r="B18" i="4" s="1"/>
  <c r="B100" i="4"/>
  <c r="AK27" i="4"/>
  <c r="AI16" i="4" s="1"/>
  <c r="AH27" i="4"/>
  <c r="W24" i="4"/>
  <c r="AJ24" i="4" s="1"/>
  <c r="AJ27" i="4" s="1"/>
  <c r="Y27" i="4"/>
  <c r="W100" i="4" s="1"/>
  <c r="T91" i="4"/>
  <c r="T80" i="4"/>
  <c r="T67" i="4"/>
  <c r="T62" i="4"/>
  <c r="T33" i="4"/>
  <c r="Q91" i="4"/>
  <c r="Q80" i="4"/>
  <c r="Q67" i="4"/>
  <c r="Q62" i="4"/>
  <c r="Q33" i="4"/>
  <c r="N91" i="4"/>
  <c r="N80" i="4"/>
  <c r="N67" i="4"/>
  <c r="N62" i="4"/>
  <c r="N33" i="4"/>
  <c r="K91" i="4"/>
  <c r="K80" i="4"/>
  <c r="K67" i="4"/>
  <c r="K62" i="4"/>
  <c r="K33" i="4"/>
  <c r="H91" i="4"/>
  <c r="H80" i="4"/>
  <c r="H67" i="4"/>
  <c r="H62" i="4"/>
  <c r="H33" i="4"/>
  <c r="E91" i="4"/>
  <c r="E80" i="4"/>
  <c r="E67" i="4"/>
  <c r="E62" i="4"/>
  <c r="E33" i="4"/>
  <c r="AI25" i="4" l="1"/>
  <c r="AF16" i="4"/>
  <c r="AI24" i="4"/>
  <c r="W27" i="4"/>
  <c r="Z27" i="4" s="1"/>
  <c r="E99" i="4"/>
  <c r="E100" i="4" s="1"/>
  <c r="Q99" i="4"/>
  <c r="Q100" i="4" s="1"/>
  <c r="N99" i="4"/>
  <c r="N100" i="4" s="1"/>
  <c r="T99" i="4"/>
  <c r="T100" i="4" s="1"/>
  <c r="H99" i="4"/>
  <c r="H100" i="4" s="1"/>
  <c r="AJ98" i="4" l="1"/>
  <c r="AJ97" i="4"/>
  <c r="AJ96" i="4"/>
  <c r="AJ95" i="4"/>
  <c r="AJ94" i="4"/>
  <c r="AJ93" i="4"/>
  <c r="AJ89" i="4"/>
  <c r="AF88" i="4"/>
  <c r="AJ85" i="4"/>
  <c r="AJ83" i="4"/>
  <c r="AJ82" i="4"/>
  <c r="AJ81" i="4"/>
  <c r="AJ79" i="4"/>
  <c r="AJ78" i="4"/>
  <c r="AJ77" i="4"/>
  <c r="AJ76" i="4"/>
  <c r="AJ75" i="4"/>
  <c r="AJ74" i="4"/>
  <c r="AJ73" i="4"/>
  <c r="AJ72" i="4"/>
  <c r="AJ71" i="4"/>
  <c r="AF70" i="4"/>
  <c r="AJ70" i="4" s="1"/>
  <c r="AF69" i="4"/>
  <c r="AJ68" i="4"/>
  <c r="AJ66" i="4"/>
  <c r="AJ65" i="4"/>
  <c r="AJ63" i="4"/>
  <c r="AJ61" i="4"/>
  <c r="AF60" i="4"/>
  <c r="AJ60" i="4" s="1"/>
  <c r="AJ59" i="4"/>
  <c r="AJ58" i="4"/>
  <c r="AF57" i="4"/>
  <c r="AJ57" i="4" s="1"/>
  <c r="AJ56" i="4"/>
  <c r="AJ55" i="4"/>
  <c r="AJ54" i="4"/>
  <c r="AF48" i="4"/>
  <c r="AJ48" i="4" s="1"/>
  <c r="AJ46" i="4"/>
  <c r="AJ44" i="4"/>
  <c r="AJ43" i="4"/>
  <c r="AF42" i="4"/>
  <c r="AJ41" i="4"/>
  <c r="AF40" i="4"/>
  <c r="AJ40" i="4" s="1"/>
  <c r="AJ39" i="4"/>
  <c r="AJ38" i="4"/>
  <c r="AJ37" i="4"/>
  <c r="AJ36" i="4"/>
  <c r="AF34" i="4"/>
  <c r="AJ88" i="4" l="1"/>
  <c r="AF86" i="4"/>
  <c r="AJ84" i="4"/>
  <c r="AJ80" i="4" s="1"/>
  <c r="AF80" i="4"/>
  <c r="AJ92" i="4"/>
  <c r="AJ91" i="4" s="1"/>
  <c r="AF91" i="4"/>
  <c r="AF49" i="4"/>
  <c r="AJ64" i="4"/>
  <c r="AJ62" i="4" s="1"/>
  <c r="AF62" i="4"/>
  <c r="AF67" i="4"/>
  <c r="AJ87" i="4"/>
  <c r="AJ86" i="4" s="1"/>
  <c r="AF45" i="4"/>
  <c r="AJ34" i="4"/>
  <c r="AJ33" i="4" s="1"/>
  <c r="AF33" i="4"/>
  <c r="AJ42" i="4"/>
  <c r="AJ47" i="4"/>
  <c r="AJ45" i="4" s="1"/>
  <c r="AJ49" i="4"/>
  <c r="AJ69" i="4"/>
  <c r="AJ67" i="4" s="1"/>
  <c r="AF99" i="4" l="1"/>
  <c r="AI27" i="4"/>
  <c r="AJ99" i="4"/>
  <c r="AI17" i="4" s="1"/>
  <c r="AI18" i="4" s="1"/>
  <c r="AI50" i="4" l="1"/>
  <c r="AI53" i="4"/>
  <c r="AI51" i="4"/>
  <c r="AI52" i="4"/>
  <c r="AF100" i="4"/>
  <c r="AI90" i="4"/>
  <c r="AI35" i="4"/>
  <c r="AF17" i="4"/>
  <c r="AF18" i="4" s="1"/>
  <c r="AI100" i="4"/>
  <c r="AI95" i="4"/>
  <c r="AI87" i="4"/>
  <c r="AI86" i="4"/>
  <c r="AI85" i="4"/>
  <c r="AI59" i="4"/>
  <c r="AI46" i="4"/>
  <c r="AI43" i="4"/>
  <c r="AI94" i="4"/>
  <c r="AI54" i="4"/>
  <c r="AI37" i="4"/>
  <c r="AI97" i="4"/>
  <c r="AI96" i="4"/>
  <c r="AI92" i="4"/>
  <c r="AI89" i="4"/>
  <c r="AI88" i="4"/>
  <c r="AI82" i="4"/>
  <c r="AI79" i="4"/>
  <c r="AI78" i="4"/>
  <c r="AI77" i="4"/>
  <c r="AI74" i="4"/>
  <c r="AI68" i="4"/>
  <c r="AI65" i="4"/>
  <c r="AI60" i="4"/>
  <c r="AI47" i="4"/>
  <c r="AI38" i="4"/>
  <c r="AI76" i="4"/>
  <c r="AI66" i="4"/>
  <c r="AI61" i="4"/>
  <c r="AI56" i="4"/>
  <c r="AI39" i="4"/>
  <c r="AI36" i="4"/>
  <c r="AI99" i="4"/>
  <c r="AI58" i="4"/>
  <c r="AI44" i="4"/>
  <c r="AI41" i="4"/>
  <c r="AI84" i="4"/>
  <c r="AI81" i="4"/>
  <c r="AI70" i="4"/>
  <c r="AI55" i="4"/>
  <c r="AI34" i="4"/>
  <c r="AI42" i="4"/>
  <c r="AI67" i="4"/>
  <c r="AI98" i="4"/>
  <c r="AI48" i="4"/>
  <c r="AI83" i="4"/>
  <c r="AI71" i="4"/>
  <c r="AI64" i="4"/>
  <c r="AI75" i="4"/>
  <c r="AI93" i="4"/>
  <c r="AI45" i="4"/>
  <c r="AI73" i="4"/>
  <c r="AI63" i="4"/>
  <c r="AI33" i="4"/>
  <c r="AI72" i="4"/>
  <c r="AI49" i="4"/>
  <c r="AI69" i="4"/>
  <c r="AI57" i="4"/>
  <c r="AI40" i="4"/>
  <c r="AI91" i="4"/>
  <c r="AI80" i="4"/>
  <c r="AI62" i="4"/>
</calcChain>
</file>

<file path=xl/sharedStrings.xml><?xml version="1.0" encoding="utf-8"?>
<sst xmlns="http://schemas.openxmlformats.org/spreadsheetml/2006/main" count="176" uniqueCount="114">
  <si>
    <t>Bens da ANIPA</t>
  </si>
  <si>
    <t>Evolução histórica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</si>
  <si>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</si>
  <si>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</si>
  <si>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</si>
  <si>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</si>
  <si>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</si>
  <si>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</si>
  <si>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</si>
  <si>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S</t>
  </si>
  <si>
    <t>E</t>
  </si>
  <si>
    <t>Valor</t>
  </si>
  <si>
    <t>Q</t>
  </si>
  <si>
    <t>Associados / Mensalidades</t>
  </si>
  <si>
    <t>Receitas Financeiras</t>
  </si>
  <si>
    <t xml:space="preserve">Outras Receitas </t>
  </si>
  <si>
    <t>Total Associados / Receitas</t>
  </si>
  <si>
    <t>Serviços de Terceiros</t>
  </si>
  <si>
    <t>Serviços administrativos Advogados</t>
  </si>
  <si>
    <t xml:space="preserve">Serviços Contábeis </t>
  </si>
  <si>
    <t>Consultoria/Assessoria Técnica (Fin, Cont, TI)</t>
  </si>
  <si>
    <t>Telemarketing (associados regular termos)</t>
  </si>
  <si>
    <t>Assessoria Comunicação</t>
  </si>
  <si>
    <t xml:space="preserve">Serviços eventuais de apoio </t>
  </si>
  <si>
    <t>Custos das Ações</t>
  </si>
  <si>
    <t>Honorários Advocatícios Iniciais Ações</t>
  </si>
  <si>
    <t>Honorários mensais das ações</t>
  </si>
  <si>
    <t>Registros/Cartórios/Publicações</t>
  </si>
  <si>
    <t>Registros e Taxas(Cart, Pref, RF...)</t>
  </si>
  <si>
    <t>Cartórios (Aut, Doc, Rec Firma)</t>
  </si>
  <si>
    <t>Publicações Legais/Editais</t>
  </si>
  <si>
    <t>Tecnologia</t>
  </si>
  <si>
    <t>Desenvolvimento novo SITE</t>
  </si>
  <si>
    <t>Serviço de E-mail</t>
  </si>
  <si>
    <t>Serviço de Mensagens por celular</t>
  </si>
  <si>
    <t>Desenv/Serviço Sist Assembleia Virtual</t>
  </si>
  <si>
    <t>Desenv/Serviço Sist Eleição Virtual</t>
  </si>
  <si>
    <t>Desenv/Serviço Fórum Site ANIPA</t>
  </si>
  <si>
    <t>Registro Domínio ANIPA</t>
  </si>
  <si>
    <t>Certificado Segurança SITE / Certificado Digital</t>
  </si>
  <si>
    <t>Bancos/Impostos/Juros</t>
  </si>
  <si>
    <t>Impostos recolhidos à terceiros (INSS, IR, CONTR. FEDER. ...)</t>
  </si>
  <si>
    <t>IRRF/IOF operações financeiras (sobre os investimentos)</t>
  </si>
  <si>
    <t>Despesas com Juros/Outras despesas financeiras</t>
  </si>
  <si>
    <t xml:space="preserve">Escritório ANIPA </t>
  </si>
  <si>
    <t>Móveis/Utensílios</t>
  </si>
  <si>
    <t>Softwares (Office, Antivírus, Adobe mensal)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</si>
  <si>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</si>
  <si>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</si>
  <si>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</si>
  <si>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</si>
  <si>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Higiene e Limpeza (material e serviço)</t>
  </si>
  <si>
    <t>Serviço de Seleção e Recrutamento</t>
  </si>
  <si>
    <t xml:space="preserve">Encargos trabalhistas (INSS, FGTS, PIS, Transp, Alim, Sind) </t>
  </si>
  <si>
    <t>Outros Serviços</t>
  </si>
  <si>
    <t>Serv. Gráficos/Digitalizações/Cópias</t>
  </si>
  <si>
    <t>Serviços MSN/Telefonia</t>
  </si>
  <si>
    <t>Motoboy</t>
  </si>
  <si>
    <t>Correios</t>
  </si>
  <si>
    <t>Deslocamento (para serviços externos)</t>
  </si>
  <si>
    <t>Outros</t>
  </si>
  <si>
    <t>Locação sala Eventos/Assembleia/Equipamentos</t>
  </si>
  <si>
    <t>Apoio a mobilizações</t>
  </si>
  <si>
    <t>Devoluções/Recebimentos indevidos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</si>
  <si>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</si>
  <si>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</si>
  <si>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</si>
  <si>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</si>
  <si>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</si>
  <si>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</si>
  <si>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</si>
  <si>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t>Total Despesas</t>
  </si>
  <si>
    <t>Investimentos</t>
  </si>
  <si>
    <t>Caixa FIC GIRO</t>
  </si>
  <si>
    <t>CDB Flex Empresarial</t>
  </si>
  <si>
    <t>Caixa FI RENDA FIXA Simples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</si>
  <si>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</si>
  <si>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</si>
  <si>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</si>
  <si>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ANIPA.</t>
  </si>
  <si>
    <t>Assessoria Atuarial</t>
  </si>
  <si>
    <t>Imobilizado (computadores, equipamentos)</t>
  </si>
  <si>
    <t>Resultado / Saldo em Conta</t>
  </si>
  <si>
    <t>Desenvolvimento/Hospedagem SITE e Sistema inicial</t>
  </si>
  <si>
    <t xml:space="preserve">Hospedagem/Manutenção novo SITE </t>
  </si>
  <si>
    <t xml:space="preserve">Desenvolvimento novo Sistema ANIPA </t>
  </si>
  <si>
    <t xml:space="preserve">Hospedagem / Manutenção novo Sistema ANIPA </t>
  </si>
  <si>
    <t>(2) Do total das tarifas CAIXA, 97% corresponde ao convênio para débito em conta (R$ 0,60 por débito).</t>
  </si>
  <si>
    <t>Tarifas Bancárias CAIXA (2)</t>
  </si>
  <si>
    <t>Acumulado 2019</t>
  </si>
  <si>
    <t>Acumulado até 2018</t>
  </si>
  <si>
    <t>Computadores 3, impressoras 1, celular 1</t>
  </si>
  <si>
    <t>DETALHAMENTO DE DESPESAS</t>
  </si>
  <si>
    <t>JUL</t>
  </si>
  <si>
    <t>Assessoria Jurídica</t>
  </si>
  <si>
    <t>JAN</t>
  </si>
  <si>
    <t>FEV</t>
  </si>
  <si>
    <t>MAR</t>
  </si>
  <si>
    <t>MAI</t>
  </si>
  <si>
    <t>JUN</t>
  </si>
  <si>
    <t>ABR</t>
  </si>
  <si>
    <t>Acumulado 2018</t>
  </si>
  <si>
    <t>DETALHAMENTO DE BENS E RECEITAS</t>
  </si>
  <si>
    <t>Associados / Prestador de serviço / Funcionários (1)</t>
  </si>
  <si>
    <t>Receitas anteriores / Associados</t>
  </si>
  <si>
    <t>Saldos totais</t>
  </si>
  <si>
    <t>Despesas Acumuladas até 2018</t>
  </si>
  <si>
    <t xml:space="preserve">Total bens </t>
  </si>
  <si>
    <t>Manutenção (de computadores, impressora)</t>
  </si>
  <si>
    <t>AGO</t>
  </si>
  <si>
    <t>Participações em outras associações</t>
  </si>
  <si>
    <r>
      <t xml:space="preserve">CONTROLE FINANCEIRO 2019
</t>
    </r>
    <r>
      <rPr>
        <b/>
        <sz val="12"/>
        <rFont val="Calibri"/>
        <family val="2"/>
        <scheme val="minor"/>
      </rPr>
      <t>Posição SETEMBRO</t>
    </r>
  </si>
  <si>
    <t>SET</t>
  </si>
  <si>
    <t>Salários (mês, 13°, férias, rescisão)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</si>
</sst>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_ ;[Red]\-#,##0\ 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9ECA8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5">
    <xf numFmtId="0" fontId="0" fillId="0" borderId="0" xfId="0"/>
    <xf numFmtId="0" fontId="6" fillId="3" borderId="1" xfId="0" applyFont="1" applyFill="1" applyBorder="1" applyAlignment="1"/>
    <xf numFmtId="0" fontId="6" fillId="3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3" fontId="7" fillId="11" borderId="1" xfId="0" applyNumberFormat="1" applyFont="1" applyFill="1" applyBorder="1"/>
    <xf numFmtId="164" fontId="7" fillId="11" borderId="1" xfId="0" applyNumberFormat="1" applyFont="1" applyFill="1" applyBorder="1" applyAlignment="1">
      <alignment horizontal="right"/>
    </xf>
    <xf numFmtId="164" fontId="7" fillId="11" borderId="1" xfId="0" applyNumberFormat="1" applyFont="1" applyFill="1" applyBorder="1"/>
    <xf numFmtId="10" fontId="9" fillId="11" borderId="1" xfId="0" applyNumberFormat="1" applyFont="1" applyFill="1" applyBorder="1"/>
    <xf numFmtId="0" fontId="6" fillId="12" borderId="1" xfId="0" applyFont="1" applyFill="1" applyBorder="1"/>
    <xf numFmtId="164" fontId="6" fillId="12" borderId="1" xfId="0" applyNumberFormat="1" applyFont="1" applyFill="1" applyBorder="1"/>
    <xf numFmtId="164" fontId="6" fillId="3" borderId="1" xfId="0" applyNumberFormat="1" applyFont="1" applyFill="1" applyBorder="1"/>
    <xf numFmtId="0" fontId="7" fillId="3" borderId="1" xfId="0" applyFont="1" applyFill="1" applyBorder="1"/>
    <xf numFmtId="0" fontId="8" fillId="13" borderId="1" xfId="0" applyFont="1" applyFill="1" applyBorder="1"/>
    <xf numFmtId="10" fontId="10" fillId="13" borderId="1" xfId="0" applyNumberFormat="1" applyFont="1" applyFill="1" applyBorder="1"/>
    <xf numFmtId="40" fontId="8" fillId="6" borderId="1" xfId="0" applyNumberFormat="1" applyFont="1" applyFill="1" applyBorder="1"/>
    <xf numFmtId="10" fontId="12" fillId="10" borderId="1" xfId="0" applyNumberFormat="1" applyFont="1" applyFill="1" applyBorder="1" applyAlignment="1">
      <alignment horizontal="right"/>
    </xf>
    <xf numFmtId="10" fontId="13" fillId="3" borderId="1" xfId="0" applyNumberFormat="1" applyFont="1" applyFill="1" applyBorder="1" applyAlignment="1">
      <alignment horizontal="right"/>
    </xf>
    <xf numFmtId="10" fontId="12" fillId="10" borderId="6" xfId="0" applyNumberFormat="1" applyFont="1" applyFill="1" applyBorder="1" applyAlignment="1">
      <alignment horizontal="right"/>
    </xf>
    <xf numFmtId="10" fontId="13" fillId="3" borderId="1" xfId="1" applyNumberFormat="1" applyFont="1" applyFill="1" applyBorder="1" applyAlignment="1">
      <alignment horizontal="right"/>
    </xf>
    <xf numFmtId="0" fontId="16" fillId="0" borderId="0" xfId="0" applyFont="1" applyBorder="1"/>
    <xf numFmtId="40" fontId="8" fillId="3" borderId="0" xfId="0" applyNumberFormat="1" applyFont="1" applyFill="1" applyBorder="1"/>
    <xf numFmtId="40" fontId="8" fillId="3" borderId="0" xfId="0" applyNumberFormat="1" applyFont="1" applyFill="1" applyBorder="1" applyAlignment="1">
      <alignment horizontal="center"/>
    </xf>
    <xf numFmtId="40" fontId="17" fillId="3" borderId="0" xfId="0" applyNumberFormat="1" applyFont="1" applyFill="1" applyBorder="1"/>
    <xf numFmtId="0" fontId="8" fillId="0" borderId="0" xfId="0" applyFont="1" applyBorder="1"/>
    <xf numFmtId="0" fontId="6" fillId="0" borderId="0" xfId="0" applyFont="1"/>
    <xf numFmtId="0" fontId="6" fillId="11" borderId="1" xfId="0" applyFont="1" applyFill="1" applyBorder="1"/>
    <xf numFmtId="165" fontId="8" fillId="6" borderId="1" xfId="0" applyNumberFormat="1" applyFont="1" applyFill="1" applyBorder="1" applyAlignment="1">
      <alignment horizontal="right"/>
    </xf>
    <xf numFmtId="40" fontId="5" fillId="13" borderId="1" xfId="0" applyNumberFormat="1" applyFont="1" applyFill="1" applyBorder="1"/>
    <xf numFmtId="0" fontId="6" fillId="11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/>
    </xf>
    <xf numFmtId="10" fontId="9" fillId="3" borderId="1" xfId="0" applyNumberFormat="1" applyFont="1" applyFill="1" applyBorder="1"/>
    <xf numFmtId="3" fontId="6" fillId="3" borderId="1" xfId="0" applyNumberFormat="1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/>
    </xf>
    <xf numFmtId="10" fontId="8" fillId="9" borderId="1" xfId="0" applyNumberFormat="1" applyFont="1" applyFill="1" applyBorder="1" applyAlignment="1">
      <alignment horizontal="right"/>
    </xf>
    <xf numFmtId="4" fontId="8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0" fontId="8" fillId="11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 vertical="center" wrapText="1"/>
    </xf>
    <xf numFmtId="3" fontId="5" fillId="8" borderId="3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0" fontId="0" fillId="0" borderId="1" xfId="0" applyFont="1" applyBorder="1"/>
    <xf numFmtId="40" fontId="5" fillId="13" borderId="5" xfId="0" applyNumberFormat="1" applyFont="1" applyFill="1" applyBorder="1"/>
    <xf numFmtId="165" fontId="7" fillId="11" borderId="1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right" vertical="center" wrapText="1"/>
    </xf>
    <xf numFmtId="40" fontId="5" fillId="3" borderId="0" xfId="0" applyNumberFormat="1" applyFont="1" applyFill="1" applyBorder="1"/>
    <xf numFmtId="0" fontId="14" fillId="0" borderId="0" xfId="0" applyFont="1"/>
    <xf numFmtId="166" fontId="6" fillId="11" borderId="1" xfId="0" applyNumberFormat="1" applyFont="1" applyFill="1" applyBorder="1" applyAlignment="1">
      <alignment horizontal="right"/>
    </xf>
    <xf numFmtId="0" fontId="5" fillId="10" borderId="5" xfId="0" applyFont="1" applyFill="1" applyBorder="1" applyAlignment="1">
      <alignment horizontal="center"/>
    </xf>
    <xf numFmtId="4" fontId="20" fillId="3" borderId="0" xfId="0" applyNumberFormat="1" applyFont="1" applyFill="1" applyBorder="1" applyAlignment="1"/>
    <xf numFmtId="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164" fontId="7" fillId="11" borderId="5" xfId="0" applyNumberFormat="1" applyFont="1" applyFill="1" applyBorder="1" applyAlignment="1">
      <alignment horizontal="right"/>
    </xf>
    <xf numFmtId="164" fontId="7" fillId="3" borderId="5" xfId="0" applyNumberFormat="1" applyFont="1" applyFill="1" applyBorder="1" applyAlignment="1">
      <alignment horizontal="right"/>
    </xf>
    <xf numFmtId="0" fontId="5" fillId="10" borderId="1" xfId="0" applyFont="1" applyFill="1" applyBorder="1" applyAlignment="1"/>
    <xf numFmtId="164" fontId="7" fillId="11" borderId="1" xfId="0" applyNumberFormat="1" applyFont="1" applyFill="1" applyBorder="1" applyAlignment="1"/>
    <xf numFmtId="40" fontId="5" fillId="13" borderId="4" xfId="0" applyNumberFormat="1" applyFont="1" applyFill="1" applyBorder="1" applyAlignment="1"/>
    <xf numFmtId="0" fontId="11" fillId="5" borderId="1" xfId="0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8" fillId="9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4" fontId="21" fillId="3" borderId="0" xfId="0" applyNumberFormat="1" applyFont="1" applyFill="1" applyBorder="1" applyAlignment="1">
      <alignment vertical="center" wrapText="1"/>
    </xf>
    <xf numFmtId="4" fontId="20" fillId="3" borderId="0" xfId="0" applyNumberFormat="1" applyFont="1" applyFill="1" applyBorder="1" applyAlignment="1">
      <alignment vertical="center" wrapText="1"/>
    </xf>
    <xf numFmtId="4" fontId="21" fillId="3" borderId="0" xfId="0" applyNumberFormat="1" applyFont="1" applyFill="1" applyBorder="1" applyAlignment="1"/>
    <xf numFmtId="4" fontId="0" fillId="0" borderId="0" xfId="0" applyNumberFormat="1"/>
    <xf numFmtId="4" fontId="5" fillId="10" borderId="5" xfId="0" applyNumberFormat="1" applyFont="1" applyFill="1" applyBorder="1" applyAlignment="1">
      <alignment horizontal="right"/>
    </xf>
    <xf numFmtId="4" fontId="5" fillId="10" borderId="3" xfId="0" applyNumberFormat="1" applyFont="1" applyFill="1" applyBorder="1" applyAlignment="1">
      <alignment horizontal="right"/>
    </xf>
    <xf numFmtId="4" fontId="7" fillId="3" borderId="5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right"/>
    </xf>
    <xf numFmtId="4" fontId="7" fillId="3" borderId="4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4" fontId="11" fillId="14" borderId="5" xfId="0" applyNumberFormat="1" applyFont="1" applyFill="1" applyBorder="1" applyAlignment="1">
      <alignment horizontal="right"/>
    </xf>
    <xf numFmtId="4" fontId="11" fillId="14" borderId="3" xfId="0" applyNumberFormat="1" applyFont="1" applyFill="1" applyBorder="1" applyAlignment="1">
      <alignment horizontal="right"/>
    </xf>
    <xf numFmtId="4" fontId="11" fillId="14" borderId="4" xfId="0" applyNumberFormat="1" applyFont="1" applyFill="1" applyBorder="1" applyAlignment="1">
      <alignment horizontal="right"/>
    </xf>
    <xf numFmtId="38" fontId="5" fillId="13" borderId="1" xfId="0" applyNumberFormat="1" applyFont="1" applyFill="1" applyBorder="1" applyAlignment="1">
      <alignment horizontal="center"/>
    </xf>
    <xf numFmtId="4" fontId="20" fillId="3" borderId="9" xfId="0" applyNumberFormat="1" applyFont="1" applyFill="1" applyBorder="1" applyAlignment="1">
      <alignment horizontal="center" vertical="center" wrapText="1"/>
    </xf>
    <xf numFmtId="4" fontId="20" fillId="3" borderId="0" xfId="0" applyNumberFormat="1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/>
    </xf>
    <xf numFmtId="4" fontId="8" fillId="13" borderId="5" xfId="0" applyNumberFormat="1" applyFont="1" applyFill="1" applyBorder="1" applyAlignment="1">
      <alignment horizontal="right"/>
    </xf>
    <xf numFmtId="4" fontId="8" fillId="9" borderId="5" xfId="0" applyNumberFormat="1" applyFont="1" applyFill="1" applyBorder="1" applyAlignment="1">
      <alignment horizontal="right"/>
    </xf>
    <xf numFmtId="4" fontId="8" fillId="9" borderId="3" xfId="0" applyNumberFormat="1" applyFont="1" applyFill="1" applyBorder="1" applyAlignment="1">
      <alignment horizontal="right"/>
    </xf>
    <xf numFmtId="4" fontId="2" fillId="10" borderId="5" xfId="0" applyNumberFormat="1" applyFont="1" applyFill="1" applyBorder="1" applyAlignment="1">
      <alignment horizontal="right"/>
    </xf>
    <xf numFmtId="4" fontId="2" fillId="10" borderId="3" xfId="0" applyNumberFormat="1" applyFont="1" applyFill="1" applyBorder="1" applyAlignment="1">
      <alignment horizontal="right"/>
    </xf>
    <xf numFmtId="4" fontId="2" fillId="10" borderId="4" xfId="0" applyNumberFormat="1" applyFont="1" applyFill="1" applyBorder="1" applyAlignment="1">
      <alignment horizontal="right"/>
    </xf>
    <xf numFmtId="4" fontId="7" fillId="11" borderId="5" xfId="0" applyNumberFormat="1" applyFont="1" applyFill="1" applyBorder="1" applyAlignment="1">
      <alignment horizontal="right"/>
    </xf>
    <xf numFmtId="4" fontId="7" fillId="11" borderId="3" xfId="0" applyNumberFormat="1" applyFont="1" applyFill="1" applyBorder="1" applyAlignment="1">
      <alignment horizontal="right"/>
    </xf>
    <xf numFmtId="4" fontId="7" fillId="11" borderId="4" xfId="0" applyNumberFormat="1" applyFont="1" applyFill="1" applyBorder="1" applyAlignment="1">
      <alignment horizontal="right"/>
    </xf>
    <xf numFmtId="4" fontId="5" fillId="7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/>
    </xf>
    <xf numFmtId="3" fontId="5" fillId="13" borderId="5" xfId="0" applyNumberFormat="1" applyFont="1" applyFill="1" applyBorder="1" applyAlignment="1">
      <alignment horizontal="center"/>
    </xf>
    <xf numFmtId="3" fontId="5" fillId="13" borderId="4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5" fillId="8" borderId="5" xfId="0" applyNumberFormat="1" applyFont="1" applyFill="1" applyBorder="1" applyAlignment="1">
      <alignment horizontal="center"/>
    </xf>
    <xf numFmtId="3" fontId="5" fillId="8" borderId="3" xfId="0" applyNumberFormat="1" applyFont="1" applyFill="1" applyBorder="1" applyAlignment="1">
      <alignment horizontal="center"/>
    </xf>
    <xf numFmtId="3" fontId="5" fillId="8" borderId="4" xfId="0" applyNumberFormat="1" applyFont="1" applyFill="1" applyBorder="1" applyAlignment="1">
      <alignment horizontal="center"/>
    </xf>
    <xf numFmtId="4" fontId="14" fillId="0" borderId="5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1" fillId="14" borderId="5" xfId="0" applyNumberFormat="1" applyFont="1" applyFill="1" applyBorder="1" applyAlignment="1">
      <alignment horizontal="center"/>
    </xf>
    <xf numFmtId="4" fontId="11" fillId="14" borderId="3" xfId="0" applyNumberFormat="1" applyFont="1" applyFill="1" applyBorder="1" applyAlignment="1">
      <alignment horizontal="center"/>
    </xf>
    <xf numFmtId="4" fontId="11" fillId="14" borderId="4" xfId="0" applyNumberFormat="1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right"/>
    </xf>
    <xf numFmtId="4" fontId="11" fillId="14" borderId="1" xfId="0" applyNumberFormat="1" applyFont="1" applyFill="1" applyBorder="1" applyAlignment="1">
      <alignment horizontal="right"/>
    </xf>
    <xf numFmtId="4" fontId="0" fillId="11" borderId="5" xfId="0" applyNumberFormat="1" applyFont="1" applyFill="1" applyBorder="1" applyAlignment="1">
      <alignment horizontal="center"/>
    </xf>
    <xf numFmtId="4" fontId="0" fillId="11" borderId="3" xfId="0" applyNumberFormat="1" applyFont="1" applyFill="1" applyBorder="1" applyAlignment="1">
      <alignment horizontal="center"/>
    </xf>
    <xf numFmtId="4" fontId="0" fillId="11" borderId="4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8" fillId="4" borderId="5" xfId="0" applyNumberFormat="1" applyFont="1" applyFill="1" applyBorder="1" applyAlignment="1">
      <alignment horizontal="right"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4" fontId="11" fillId="4" borderId="5" xfId="0" applyNumberFormat="1" applyFont="1" applyFill="1" applyBorder="1" applyAlignment="1">
      <alignment horizontal="center"/>
    </xf>
    <xf numFmtId="4" fontId="11" fillId="4" borderId="3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3" fontId="5" fillId="8" borderId="5" xfId="0" applyNumberFormat="1" applyFont="1" applyFill="1" applyBorder="1" applyAlignment="1">
      <alignment horizontal="right"/>
    </xf>
    <xf numFmtId="3" fontId="5" fillId="8" borderId="3" xfId="0" applyNumberFormat="1" applyFont="1" applyFill="1" applyBorder="1" applyAlignment="1">
      <alignment horizontal="right"/>
    </xf>
    <xf numFmtId="3" fontId="5" fillId="8" borderId="4" xfId="0" applyNumberFormat="1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3" fontId="7" fillId="3" borderId="5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7" fillId="11" borderId="5" xfId="0" applyNumberFormat="1" applyFont="1" applyFill="1" applyBorder="1" applyAlignment="1">
      <alignment horizontal="center"/>
    </xf>
    <xf numFmtId="3" fontId="7" fillId="11" borderId="4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5" fillId="10" borderId="4" xfId="0" applyNumberFormat="1" applyFont="1" applyFill="1" applyBorder="1" applyAlignment="1">
      <alignment horizontal="right"/>
    </xf>
    <xf numFmtId="3" fontId="7" fillId="4" borderId="5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4" fontId="7" fillId="8" borderId="5" xfId="0" applyNumberFormat="1" applyFont="1" applyFill="1" applyBorder="1" applyAlignment="1">
      <alignment horizontal="right"/>
    </xf>
    <xf numFmtId="4" fontId="7" fillId="8" borderId="3" xfId="0" applyNumberFormat="1" applyFont="1" applyFill="1" applyBorder="1" applyAlignment="1">
      <alignment horizontal="right"/>
    </xf>
    <xf numFmtId="4" fontId="7" fillId="8" borderId="4" xfId="0" applyNumberFormat="1" applyFont="1" applyFill="1" applyBorder="1" applyAlignment="1">
      <alignment horizontal="right"/>
    </xf>
    <xf numFmtId="4" fontId="7" fillId="4" borderId="5" xfId="0" applyNumberFormat="1" applyFont="1" applyFill="1" applyBorder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7" fillId="4" borderId="4" xfId="0" applyNumberFormat="1" applyFont="1" applyFill="1" applyBorder="1" applyAlignment="1">
      <alignment horizontal="right"/>
    </xf>
    <xf numFmtId="4" fontId="5" fillId="11" borderId="5" xfId="0" applyNumberFormat="1" applyFont="1" applyFill="1" applyBorder="1" applyAlignment="1">
      <alignment horizontal="right"/>
    </xf>
    <xf numFmtId="4" fontId="5" fillId="11" borderId="3" xfId="0" applyNumberFormat="1" applyFont="1" applyFill="1" applyBorder="1" applyAlignment="1">
      <alignment horizontal="right"/>
    </xf>
    <xf numFmtId="4" fontId="5" fillId="11" borderId="4" xfId="0" applyNumberFormat="1" applyFont="1" applyFill="1" applyBorder="1" applyAlignment="1">
      <alignment horizontal="right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8" fillId="9" borderId="5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7" fillId="11" borderId="1" xfId="0" applyNumberFormat="1" applyFon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8" fillId="9" borderId="4" xfId="0" applyNumberFormat="1" applyFont="1" applyFill="1" applyBorder="1" applyAlignment="1">
      <alignment horizontal="right"/>
    </xf>
    <xf numFmtId="4" fontId="8" fillId="10" borderId="5" xfId="0" applyNumberFormat="1" applyFont="1" applyFill="1" applyBorder="1" applyAlignment="1">
      <alignment horizontal="right"/>
    </xf>
    <xf numFmtId="4" fontId="8" fillId="10" borderId="3" xfId="0" applyNumberFormat="1" applyFont="1" applyFill="1" applyBorder="1" applyAlignment="1">
      <alignment horizontal="right"/>
    </xf>
    <xf numFmtId="4" fontId="8" fillId="10" borderId="4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19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2" fillId="10" borderId="1" xfId="0" applyNumberFormat="1" applyFont="1" applyFill="1" applyBorder="1" applyAlignment="1">
      <alignment horizontal="right"/>
    </xf>
    <xf numFmtId="0" fontId="2" fillId="14" borderId="4" xfId="0" applyFont="1" applyFill="1" applyBorder="1" applyAlignment="1">
      <alignment horizontal="center"/>
    </xf>
    <xf numFmtId="4" fontId="5" fillId="7" borderId="6" xfId="0" applyNumberFormat="1" applyFont="1" applyFill="1" applyBorder="1" applyAlignment="1">
      <alignment horizontal="right"/>
    </xf>
    <xf numFmtId="2" fontId="0" fillId="11" borderId="1" xfId="0" applyNumberFormat="1" applyFill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9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" fontId="5" fillId="13" borderId="5" xfId="0" applyNumberFormat="1" applyFont="1" applyFill="1" applyBorder="1" applyAlignment="1">
      <alignment horizontal="right"/>
    </xf>
    <xf numFmtId="4" fontId="5" fillId="13" borderId="3" xfId="0" applyNumberFormat="1" applyFont="1" applyFill="1" applyBorder="1" applyAlignment="1">
      <alignment horizontal="right"/>
    </xf>
    <xf numFmtId="4" fontId="5" fillId="13" borderId="4" xfId="0" applyNumberFormat="1" applyFont="1" applyFill="1" applyBorder="1" applyAlignment="1">
      <alignment horizontal="right"/>
    </xf>
    <xf numFmtId="4" fontId="5" fillId="13" borderId="1" xfId="0" applyNumberFormat="1" applyFont="1" applyFill="1" applyBorder="1" applyAlignment="1">
      <alignment horizontal="right"/>
    </xf>
    <xf numFmtId="4" fontId="5" fillId="9" borderId="1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center"/>
    </xf>
    <xf numFmtId="164" fontId="8" fillId="13" borderId="1" xfId="0" applyNumberFormat="1" applyFont="1" applyFill="1" applyBorder="1" applyAlignment="1">
      <alignment horizontal="right"/>
    </xf>
    <xf numFmtId="164" fontId="8" fillId="13" borderId="5" xfId="0" applyNumberFormat="1" applyFont="1" applyFill="1" applyBorder="1" applyAlignment="1">
      <alignment horizontal="right"/>
    </xf>
    <xf numFmtId="4" fontId="14" fillId="3" borderId="5" xfId="0" applyNumberFormat="1" applyFont="1" applyFill="1" applyBorder="1" applyAlignment="1">
      <alignment horizontal="right"/>
    </xf>
    <xf numFmtId="4" fontId="14" fillId="3" borderId="3" xfId="0" applyNumberFormat="1" applyFont="1" applyFill="1" applyBorder="1" applyAlignment="1">
      <alignment horizontal="right"/>
    </xf>
    <xf numFmtId="4" fontId="14" fillId="3" borderId="4" xfId="0" applyNumberFormat="1" applyFont="1" applyFill="1" applyBorder="1" applyAlignment="1">
      <alignment horizontal="right"/>
    </xf>
    <xf numFmtId="4" fontId="8" fillId="6" borderId="1" xfId="0" applyNumberFormat="1" applyFont="1" applyFill="1" applyBorder="1" applyAlignment="1">
      <alignment horizontal="right"/>
    </xf>
    <xf numFmtId="38" fontId="5" fillId="13" borderId="5" xfId="0" applyNumberFormat="1" applyFont="1" applyFill="1" applyBorder="1" applyAlignment="1">
      <alignment horizontal="center"/>
    </xf>
    <xf numFmtId="38" fontId="5" fillId="13" borderId="4" xfId="0" applyNumberFormat="1" applyFont="1" applyFill="1" applyBorder="1" applyAlignment="1">
      <alignment horizontal="center"/>
    </xf>
    <xf numFmtId="4" fontId="8" fillId="7" borderId="5" xfId="0" applyNumberFormat="1" applyFont="1" applyFill="1" applyBorder="1" applyAlignment="1">
      <alignment horizontal="right"/>
    </xf>
    <xf numFmtId="4" fontId="8" fillId="7" borderId="3" xfId="0" applyNumberFormat="1" applyFont="1" applyFill="1" applyBorder="1" applyAlignment="1">
      <alignment horizontal="right"/>
    </xf>
    <xf numFmtId="4" fontId="8" fillId="7" borderId="4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4" fontId="6" fillId="8" borderId="5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6" fillId="8" borderId="4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>
      <alignment horizontal="right" vertical="center" wrapText="1"/>
    </xf>
    <xf numFmtId="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7" fillId="3" borderId="1" xfId="0" applyNumberFormat="1" applyFont="1" applyFill="1" applyBorder="1" applyAlignment="1"/>
    <xf numFmtId="165" fontId="7" fillId="3" borderId="1" xfId="0" applyNumberFormat="1" applyFont="1" applyFill="1" applyBorder="1" applyAlignment="1"/>
    <xf numFmtId="164" fontId="7" fillId="3" borderId="1" xfId="0" applyNumberFormat="1" applyFont="1" applyFill="1" applyBorder="1" applyAlignmen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AEB"/>
      <color rgb="FF9ECA80"/>
      <color rgb="FFB0B0B0"/>
      <color rgb="FF87A4D9"/>
      <color rgb="FFC2D1EC"/>
      <color rgb="FFCCABFF"/>
      <color rgb="FFBD85FF"/>
      <color rgb="FFA07CDA"/>
      <color rgb="FFA078DA"/>
      <color rgb="FFB67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3EADA3-42C5-4655-B9A0-7C96206F369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86217B-A2E0-4C00-ADDF-3550292B42E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0812FF-0FFB-4AFF-B672-84DA26B9A96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A47698-1631-46AC-BB96-5A7607937F9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3DCFCF-7EB7-4BD8-BBED-26A487B85E8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E051E4-EF43-4DEB-938E-C2C50A7A5B7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398995-1DFB-4EC8-BF40-42783BD03D6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B59F5E-0F47-48EF-B16F-B15DB4591CF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B14785-7530-496D-BDEC-0264CCDC22C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F5E07E-9186-4376-9005-5B6EA59D45D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FB42D3-D320-4C00-B409-5229D011256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3031EA-369F-41A8-A9F7-31B6F79433F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AD88DF-99B8-49D3-91D9-6BD547DB398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2369A7-C905-4194-807D-33520C51377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F73D2-EA9F-404E-8311-AF45815B4C2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1FF734-A69F-4AA2-84DC-40455F63A48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876D0E-EDDA-45AC-AFED-C684EF27ABB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C4CB50-007C-4C20-9316-427B0BF0FBF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6262ED-B4D0-4164-B1B7-A9ED279B647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0A63D4-DA32-4653-9259-4C94BC89BAE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101640-9503-4E08-AA5B-B2EFDE0FA46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DF7156-1951-4B0A-B78A-04BAB2AB4E9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BD1F42-2D33-4707-9BC1-B931C440A0F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62781A-48DE-4A5F-94EE-AF06904C09F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71DC1-6CAB-4BF1-918F-DF3A7EF9CF7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97ECFF-42C5-41D4-B8FF-FD72C46162C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59BB6F-E3BA-42F0-85A8-0222B7EABF0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63B87A-A45E-4A5C-9B2F-5996FF6312C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D483C8-53C6-4370-B5BC-FD99FE9ED9A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F786BE-C620-49E7-B135-8E2FA88CEC1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46F193-FBF3-4ABF-B6ED-B3C0723AF47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C58072-E7C5-4B28-B547-0C9EAA51620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B0A67C-9163-41B7-8CD2-D3E6B51152F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24EAD-3DEF-4F54-B925-1E4DEA13F36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F819E7-FF5F-491E-B30D-BE24F9DC2ED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567161-2035-4B33-9727-94F1D0C4F0C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299949-36A3-4182-96D9-1D8C3CFE40B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7D7281-161A-4D11-8636-4875D7CD00C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E6A741-A267-4FD1-914F-D40B73B7133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0C6791-7959-4367-991F-5AB78D234D7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24ACD-B07C-4CBD-B384-9FED5A9002E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A1CA60-7ADE-4407-8C1E-D6668421521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496276-33A5-4A50-918A-989176C6208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89B85-8A90-4C5B-8509-28EDBFC882C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3103D1-899A-4208-81BF-73A4FBDCDB2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07DC4-41EE-4313-A1AC-C234161DF2E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76B537-A8D1-4F1D-8D85-E68D5CD3E88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CAD59B-CF8C-4397-A664-B65F9F0A60B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9305C0-E663-4DBB-A8B8-D3DBE37CC5C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442690-80F2-4797-B98E-AD69C04A4D0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46683A-00F3-4406-A9F6-F9D06A650EC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6C582-25D2-40FB-9EF0-22C9D0BE505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B38D18-CE6C-4866-BC48-16AA21BCACE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D470E9-7B38-4E5A-8412-84872A6FE0A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16061A-81EE-442B-B6EF-CF768163A1A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6A30DC-AC20-4779-861C-6D62450B2CF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41B19D-D967-4A83-A779-10EBBF82C26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9BF30F-B6D4-4203-AB4A-B2B3A799D94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EA3387-223F-4FF3-9EED-2D575B68DE5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100851-10F9-4903-AF72-C1C1C0E0797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C88E8E-856B-4CCC-B3FA-B9BF7095038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1913F1-FE23-41E4-873C-1F1F7D5C096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A921B9-7E6A-4EA4-B23D-16EBD828B70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42B744-2376-470E-9872-6B3FD3FBA79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E7C7CC-06DF-424D-9111-7B691756BE18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61D60-D56A-4829-957F-1E78BBA109E1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4CB0E7-F194-4654-B09C-6CA04F1789F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5D5A4C-2D63-4935-BBB9-4424B7C8D1A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BA30B4-6855-4CDC-8CBE-49D87EB1CB3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70B66F-7254-4051-80D3-578C41A6306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2FABA9-D393-4312-9D02-C4325BE88D6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BBCF26-9776-45AF-9427-E054873D250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F32F8-6EA5-4CDB-A29B-DFC5F8B708D8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DDD3D0-35F2-4B50-8E84-DCFA8E3F1214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F30389-EDE2-481B-AD99-5DCCACA16E5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7B05E-1A6D-4376-8A84-4C2EF89730F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383528-ABCB-4315-B18E-A84D3BEF523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91DFF8-90B1-4D88-A293-FFFE965A01C3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5B2238-AF70-4F39-8536-740BCA90D09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026D3B-4717-4C15-B070-1A04036F1A5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F711E5-0009-4D74-ADE3-2FB9D2C4390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16000A-AE5F-4459-9D5D-31476F75A23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21B2DA-C553-473A-A389-2EFC08F64101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BC6AF-AA12-4E7E-9897-BFAAD390FCB9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8C255-F378-4D0C-976F-0DEFA2A8096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ECA3FC-6632-4DFB-8962-CD6BB394A8A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260111-E6A6-477C-9C26-785E5FA9521D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EB196A-5FA6-4F47-AB83-111BF96DE50D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B8F3FB-2BE4-4726-ACE5-1F1E6EBD594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09BF2F-0CF9-4954-AC1A-FEE396E5E1E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C5068F-2380-4990-A8DF-9967308DEC9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94DDAE-453F-4467-AAF6-8A71A1D2C4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24F93F-D905-4CAD-8EC5-9681CC0533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3AA80-126C-4346-81CE-0AD4852EE4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3E2569-2399-4454-8619-0491A73188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859AFC-B5EB-4EAD-ACF7-F9BDD39ECD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332375-24FF-43B4-936A-2C5F0E9C04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6DE4AF-5385-4FEB-99E3-7955BBDF43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CAB440-AAD9-44AB-A162-3BDFE78080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B68D36-6078-433C-A696-AF6BDF2671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A53558-416F-4E40-AB32-0F41D52C67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17B77F-B08E-4A03-B6AC-933A25F2ED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BD41DD-3945-45A8-8115-1DFA9687AC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7EB757-1FB7-4BFF-B4BB-D029AE028E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DF19DE-B2D1-4D30-94DC-CFE3A4CF8F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8CED9E-2D8A-4271-A7F2-E7C19FF85A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4FC8D6-F87F-4C7B-B6A5-0DA32417C3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A21FBA-5378-4C71-B031-C9639C04EC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AD49B0-4D9C-4A01-8F50-16BF2E4D69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1CED74-344A-4C51-813D-92298C5A08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8D197-DE15-4887-BD71-F4AEFEF563C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5BDB8-8B26-4B50-ADDB-C19BEF5EE8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B21D53-64F4-40A7-8513-8EEEB8E56AB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D6A663-9DA7-4796-822D-A974BF25B0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90C269-C486-46E2-9CD2-6C82A61B8A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0C91EF-A5CD-40EF-A24E-536A3737D45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14F4A2-3EA2-449B-A608-F0AE63EF4E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59DBF0-8322-4867-B831-AA357F0D55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CC0A5-78E8-4010-999D-8F73FF4D323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656DF5-6493-4FA6-8955-FA4DE45212C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FA4DC2-6C7E-4AA1-A337-D2A650BD206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7ED475-37F3-4F0C-959E-71CC2F3AD10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02DDBA-D173-487E-9A04-F23293C9D44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E0E5AF-9113-471C-AA98-CD0100F4030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EEB2F6-27FB-4AED-89C5-558074BCDF8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FC45E7-38BA-4150-A4B4-E27778FDEF29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3CFA8E-0E18-48D6-98C2-9E63AE7FAC3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02A2EE-082D-41AE-90B8-4F129A95412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EB9D3C-3306-42AE-B631-171366208371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A501D8-3A77-42F6-8E52-BDC2065569F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692A5B-6030-4513-91B3-703162996EA4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213C3F-23CD-4969-9A83-B4504F30AC4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984B80-4677-4575-8D7D-64912C4CD9E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97AF5F-B1A3-4BFD-B193-2A4B68C0BCC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F18C8-DB09-41AA-95E1-B23F2827E53C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30D8DE-8679-45DE-BF75-5D02F284A0C1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B78C7C-8C34-4903-A70B-97BBB59431CD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511D5D-10C1-4F96-92DE-EC21B46D053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609F08-D6B7-4102-B2CE-BAD8E4F448F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64F694-70A8-4139-B39A-BC47B83B1826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C104F9-59FF-464C-9E1C-5235548D0FC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BB6F3C-2A73-4440-A907-10D6D48E899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DB931-2C52-40C4-8B80-E2323BE91D9A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FADB4A-A509-42DA-B3B7-F46334E4007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FE3337-B343-4209-A378-AA572E6CC11F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2205F-E614-406F-9296-65B030FFA945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9FE8C-A0B1-4F29-9AA4-F21C0A33120E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697D2E-01E9-44D8-9DBA-2AE008FB3E23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35BEAD-43B4-4D0C-A71C-88F0ED9DA83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F537CE-3548-4220-BBF0-362B87623D1A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1F4C11-BFA3-4985-896B-D5F458693917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27D4C6-3E4D-4184-9DC5-CDC302526CAB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7F9BA0-964E-45C5-8849-D7D435454C29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C30D50-B856-45C4-9AF8-D72CE197A45A}"/>
            </a:ext>
          </a:extLst>
        </xdr:cNvPr>
        <xdr:cNvSpPr>
          <a:spLocks noChangeAspect="1" noChangeArrowheads="1"/>
        </xdr:cNvSpPr>
      </xdr:nvSpPr>
      <xdr:spPr bwMode="auto">
        <a:xfrm>
          <a:off x="4991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E1599B-011D-42CB-BCDC-714975C442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295F1A-6D2D-4A0A-9911-708E50B77F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24CC78-F8AE-4E31-8E12-F8EB087BF5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4F4E0C-1EEA-4C11-909B-8768CF0487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938EB-893B-4D97-A792-D413A326C8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84B1C6-3A03-4AAB-B8C1-C7563BBF6F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9E9C26-C94A-4877-8F23-2DD1EE4E21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2F159-4DE0-4081-A3B9-2F79A48D61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C65C07-0F31-4C0B-A86B-8985872CFC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1A63FA-C2EE-4BAC-821F-81B7F36263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A243AE-B9A8-4569-9C51-7C8A76A8CA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31A4EC-FBAD-4095-8CC7-86B6C48B81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775794-50E4-4993-BE68-94722333C0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709C3D-810E-45AF-BD9C-9D443EBAAD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3ECDEF-5BDF-4C4C-8FAA-B05D11C49FB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0701A6-0234-43E2-B1CE-E6A813A0653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8FE34B-0DE5-44D0-9AE5-B6672BA1B4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714375" cy="304800"/>
    <xdr:sp macro="" textlink="">
      <xdr:nvSpPr>
        <xdr:cNvPr id="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2F8903-2AAF-4771-8E63-AE36D41045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D65E1C-0D8F-40D5-A7CE-97DE4D2E83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1E1C28-E0F9-4C00-8364-8890236CDB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9A4C54-C6E9-4F1E-94FA-E545179EB8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59D9FB-4BBE-4B16-A0C5-A62F93F0F3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5085F3-9E21-4E49-A1D7-54DF784839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CC8ABD-9F23-4D13-B716-2D74F91AEC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F2053F-4838-4472-B3AF-2C7F18FEFE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B6C2D6-1BB2-43BE-9267-AA13FEB069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5</xdr:row>
      <xdr:rowOff>0</xdr:rowOff>
    </xdr:from>
    <xdr:ext cx="304800" cy="304800"/>
    <xdr:sp macro="" textlink="">
      <xdr:nvSpPr>
        <xdr:cNvPr id="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30401C-D8DD-4D2C-B266-527B9091B5D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B9E84D-3165-4BEA-B066-F571985356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9A2FD3-CADD-4195-B1BB-908104076A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5B86B7-3477-4633-AB31-6FC947A9F2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5F3DD8-654C-4649-8CFC-25B39B9655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A639A7-51D1-44EA-AC56-12C03CFBF2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1C0DF9-1775-4075-8846-ED63A9555D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B4897D-1F4C-4C6E-A580-EE5C889212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622FF7-D531-4854-B566-C22C1774803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6AF0E3-9CA4-484C-BFBD-D4CC96F611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90883-5215-4A56-98A5-01A2FBF357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DD774D-539F-46C7-9749-00A550FE19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D2EE2B-3376-4AC6-A6FB-E4E859D6E5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15EAEF-3A86-4AD1-A9E8-0E38F7FB28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B3D8D1-7210-4728-AD2D-F2B09E4C23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4DBD63-8B90-4224-B7D4-1CBBB7F52C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803FCA-6138-43C6-A7BA-4FBAF1A610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A7E753-6935-4556-BD70-D88C69800C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92B33E-993C-4DF5-AE9F-FB81E9EE8C9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703054-FA2C-48C5-BF2E-A6996AA435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9E289C-2CAE-484A-B912-7102F2211F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1B937F-AC2B-4360-8639-EFF1AD65EB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6A3E60-92C6-426C-9615-A6C343737E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2EAE7B-FA95-49E9-B608-D0FB7A39E2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D5A8DC-5EDD-4D07-9733-228F1B2F15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DD011A-08F9-4A73-8334-50DBF4FF67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AEB50E-2F08-4149-B4DC-6B950CCE4C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BD717-5F1C-4378-B844-B9C6463C3A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20D78A-BE8D-412B-8256-B4802D38A6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327319-1A50-4882-88E9-5BD709C45E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C4C172-350A-42E1-88E9-30C1492584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9D9E9A-FDBF-4D6A-A9C3-4026174224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F90EB9-A69C-4C54-AADE-458D81B5AF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442515-8D08-42B8-8362-4548018994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A0FD17-6852-484C-9776-C65128CD52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AE6D2-C0A1-43BB-A674-6AFE7284C1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BEDBA1-DE09-4B85-92F5-96290B142D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529C67-5D16-4F03-ABA2-7635BC25EB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A847E7-CCB0-4D36-B146-37EAF53F53A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0E8783-5D81-4219-A728-36536B9E03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4DDE13-18A3-4069-9D7C-F8F49DEB2B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413348-7237-4819-BF67-4C8B832891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D62254-ABDC-403F-82EF-90D76959FE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D1A9FD-747F-4764-B1EC-68CE1CA706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FF9974-6D23-4382-9604-D13DCF5BEC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4CE3DB-61EE-4825-9A26-0476A75D5D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4E6BC4-A503-4E88-9407-632D39E54F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B8F8F3-ACE1-4904-8F4E-3DED16FCC5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9A91B2-AB50-4439-8A38-A06AF6BEB5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5BFC04-C608-4CE3-ABB4-80168D3369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28575</xdr:colOff>
      <xdr:row>0</xdr:row>
      <xdr:rowOff>28575</xdr:rowOff>
    </xdr:from>
    <xdr:to>
      <xdr:col>12</xdr:col>
      <xdr:colOff>266428</xdr:colOff>
      <xdr:row>3</xdr:row>
      <xdr:rowOff>133790</xdr:rowOff>
    </xdr:to>
    <xdr:pic>
      <xdr:nvPicPr>
        <xdr:cNvPr id="232" name="Imagem 231">
          <a:extLst>
            <a:ext uri="{FF2B5EF4-FFF2-40B4-BE49-F238E27FC236}">
              <a16:creationId xmlns:a16="http://schemas.microsoft.com/office/drawing/2014/main" id="{B2BDDF4D-C134-412C-BA04-773CA681F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5657578" cy="676715"/>
        </a:xfrm>
        <a:prstGeom prst="rect">
          <a:avLst/>
        </a:prstGeom>
      </xdr:spPr>
    </xdr:pic>
    <xdr:clientData/>
  </xdr:two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523FBD-9F47-48C3-9011-83DD2DE537E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C8ACD0-2BCD-4EC8-B1EA-A2F580756D3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47831-1E5D-4913-8FEC-07AD6B19832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3B5B23-C5B9-49D8-AEF1-3D58A3556C5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757EE5-89AF-4BE0-B35B-717D73D55D5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D2472A-635F-434B-A7E9-D96EF03DE86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D13D68-9C8A-49F0-8D36-41F99061647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250C18-2580-4F9C-8425-3FC6D240059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D0372-D11C-42D9-BB4D-1968B4CC25D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A594F6-EBA7-4B27-A908-1933E02C234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BAA002-4942-455E-A62F-232355123CF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990BF-B2E9-4725-BFCE-9378AC15F69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143C09-05FB-4F67-B588-160F5826152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04D7C5-92F9-455C-9C2B-63C2D29A244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F24647-15E1-46D6-A963-CCB1EBDB741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A83F20-33EE-4601-B38B-EA34D8C611A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2D81CC-779E-4FB5-A0A5-6BC3DB23CDC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0FB081-A919-4DD6-AEBE-665D5EFB7AC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499B13-F046-4410-9161-CFBEA0E0C98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B0D72E-C43D-4843-8903-6CB7C6D3207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C3BB23-4AEB-4E04-A7CE-93AF7EDC875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939081-7E0B-4F0B-B2F9-22ADA59E0D8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8A2FDC-E61E-41A6-8090-17AC055CD33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9057A1-96AA-4024-8256-6B8A1BD1723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366226-E045-4101-8DBC-14BB362355E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D6121A-EEFA-41DB-B4C6-BF45422A69B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21D117-E022-4722-BF8D-86CE97923A9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A43A82-F274-4E45-8CD8-998B415ECC8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BC9A11-D834-4283-9928-8DF6A166E05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4204B8-8CF9-4714-A2E8-9A320E1FA12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ADB7F0-9AE6-462E-9D90-4E5D13AD0E9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002390-367C-499C-B490-EAB6A5EDB24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19EFE5-E3B7-4065-8636-04F2358C237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F3B163-31E2-4CCD-8004-BFE853CBD59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621DBE-5DDF-4F06-A605-6CC2575B62D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0049A1-7B11-4A0D-AD5B-C2F337031E2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1C3B24-0FE0-45DA-B48A-1EC44EE697A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DABA8E-44F4-48C6-908C-39F7E694006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726C3F-9C7E-4C93-B7B8-56582905BED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7B3D20-2FD9-4D2D-8A58-6D7EB1F84FC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93DB1D-D78A-4BEA-A508-BCDED8CE782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115199-5380-4D0B-9E37-F71C9F0DF61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C054C6-4976-4279-81C7-1A6E3CC1BF6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9FD8F-A40C-496D-9FF9-DD503D1A786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9E9522-CC77-4B06-B818-FC57DDD76FD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73273D-71A2-46EB-8B1B-929B4A7FD1E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5C3CF-72F9-4620-8FD1-5E8779CD7EF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BBCC61-7C34-4750-9F23-E9C00F2EA5C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DF1FCF-B901-4BA7-AD97-2F2B4AC3AF79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2F3E3-F401-4EDD-B6B9-E8410401155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CDA6AE-D94B-4936-B491-DADE2998B88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802EC4-62A4-4219-80E5-DA11CFC85C16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0D689F-6806-4AFE-B6FE-6A5C40DC651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332F57-CAC2-422D-81D7-0DB990C2C57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50A010-5E33-4905-81CF-12B0C9F30C3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F481DE-A5B9-479D-AE4E-DD04226E6969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D1C3F9-DB70-4729-9593-A24CDF702A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E8FB1B-CAEF-4FC5-B35D-9DF9E22EEC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8877B1-5E3E-4EBE-9C5C-6D27D9BDBD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43BF18-5FBD-4A94-B132-0ED0FF7F88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DB1B94-A605-45E3-9C66-52850B7629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2D1D9C-FD6D-4001-BAF2-986B23487E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42733-1559-4298-8559-5EF739B252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EFD20D-F919-496F-B4A3-1946011F47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1C1B08-71E9-40D4-BBC5-06CD4ADA2E0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03DDD6-8DB4-4D2D-BE8F-1EBF6B4616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33EF23-766F-4660-8829-55FB2E6ED6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407B12-CF1D-4E20-B516-338A12FD33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0B37F4-11AC-4325-9C2A-06A7A0D2A1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30B7DA-2AB3-451C-B0A8-5B103E4A2D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A5C0B9-E195-4552-ABAE-8E2139248A1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7B8A5C-F13D-496B-BD34-AF1E501010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102F04-7C36-4484-8025-EEBF1A93FA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5D531D-4149-4714-B1FB-B8206BA031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22C5A4-E1B2-4E0A-8361-934484F24E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4EAB80-4C76-4EEA-AA06-736FA8DA6A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269CA4-B834-4AB3-9581-59718FB9BA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59BD18-2263-4C8A-A1F4-E59BC8E365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50FBBC-171F-414E-8EDD-828F8E0923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8D6EDF-FCC4-48FA-93A2-CD39ABD8FB7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FCE64C-C830-4E43-87CD-228AF3DE4F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EBA374-5087-4E41-96A1-349FA9BF87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569946-F68B-4510-8561-CEB3D918DD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17A6EA-C511-477E-829C-547F15AD6E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9AEAC8-00FE-4FDA-8C3B-45572950CB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39A9EC-D3C5-4803-BE34-ED095F0B99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E87B58-EB43-4351-B987-5980C2EBD7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D2C387-1ED9-4C60-A1BF-9989A4AC59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C85FE9-5A24-4F2B-8D9B-2D22B2DA82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EBC4E1-2617-45E9-BAFF-1F9263312A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D4C13D-28B8-4D30-BB45-4DD7D5C30B3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789091-FF1D-42AC-BAF3-4B95C2BFD7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FDF887-2E2A-4A5D-9148-FC4B3A4BBE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4171C9-A36D-4939-996A-5B95D49F25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AAEF23-8E61-45A8-A0D3-B4A730C5CD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E5C3D6-3A90-47D4-859B-60DC90C51A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1C989F-F6A7-4947-B9E7-3614DF5B21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F1D12A-694C-45FE-8996-8BC1E8B8DC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D4EEA9-CF68-4DE9-BE81-00C18253B1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E3CDF0-41D7-471D-9CC9-360EB65E67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1927A1-DF0D-49A7-B77C-9768627634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271B0-86EB-46AA-9CA0-D7891342AD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9E2D1-1E94-4361-BBDF-938C6A2CB9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5ED19A-1DC5-4038-B272-13283E3F21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0A1CC6-A302-4D2D-985F-1158ADE3C6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8376A-F159-4A6D-9D3A-719CCDF939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E3357C-34D9-4B94-A835-7A74D41FB6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0F6AB8-A1EC-49CD-8488-D8311F9DFF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1A450-1A5F-4D2F-B97E-691D4198A2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AA194A-2D26-45F2-84E2-7A36FB086D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26995-D9BF-4EC8-8045-3FCE31985F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A4F1D4-38C0-4DB3-8A4D-C900827D82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6B8B5D-79BC-4DDA-9A7B-68918242DF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B33E28-8207-43CC-B6C9-8CC5E9AE2A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DFFAD5-42D7-405D-8FA0-CC6F0CCF77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D4AA97-DC47-40AC-A629-819EF0F1B4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C7D417-109F-42D5-AB6B-CDF5E2F9DF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138CD2-00D5-4DD1-9482-B5A463298D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8CEB41-86DE-4971-ABFE-2B376DF7A5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B9BA0-3806-427C-B5B5-A5696E975B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8B1EF-1F4F-457E-9E0E-C284F0F824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79D51A-73F5-43E3-AA04-2964B430BB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81C507-2F12-46E5-AE56-275F2C31C1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368F37-0C80-4A1E-A77C-9A36C12CE4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D27014-9527-413E-B2FA-8D95C9C64D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D1E73-91A0-453B-940A-FF5A21E12E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6214AA-41EC-4521-80AB-947B103629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F9568-3754-472E-81D7-6DB6D8997D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12A42D-916F-40F9-BCDF-5D0D2D1BA21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8119FE-E894-468C-B0A2-3B2FE1AF84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6F6B0E-8F55-41E3-846D-8FC115B617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712ECA-6840-4B09-B803-0262DBC768C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7874C4-AD20-483E-A3BA-C1AA552C13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B48B21-F993-4444-9DAC-F78E1828F4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14923E-0494-45EE-A29C-8ACDD0444F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1D2E73-7515-4534-A94D-AA086B9FA5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613B73-541E-4860-AA13-BD2164D3F3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1563C0-28D7-4581-8429-755DC910E0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C57A1F-2388-4CAC-8259-E9A48F64BF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D12C3C-96F2-4330-B5CD-C3BA196283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449E7-6A7C-4686-9A5D-49D09A853C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67B7F-C473-4D75-8101-8C8B24A4D1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ED8A41-5130-44D7-937F-074494CDF7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9E25F5-2625-4711-A552-E0FEDF275F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754280-0374-4951-808E-ABB0D080D0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2CD3C8-7293-41F3-A083-E3D1E461AA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972E21-1B82-4F25-A695-FD4057847A6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B69C5A-0D77-4595-9FFD-21098071DA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3341EB-8B26-496F-A200-D329AE9D19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3DBAB-EBFB-4130-AD83-7E602151D6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964088-CF0C-49FD-94A4-ABE3DBDBB5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22837A-C212-49C8-A9C4-0B94EE78D8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F65E5B-1C9B-432A-8593-BE8C7DB203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6</xdr:row>
      <xdr:rowOff>0</xdr:rowOff>
    </xdr:from>
    <xdr:ext cx="304800" cy="304800"/>
    <xdr:sp macro="" textlink="">
      <xdr:nvSpPr>
        <xdr:cNvPr id="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28BE25-B36B-4A5A-A6CC-DF6056E0E6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EECD7F-7C10-4D7B-9207-BACF0D5B89CF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3ED625-DD69-42A4-A93B-1927BE8E959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D8A0E7-79E2-4529-AC8C-97AC80FE53A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81F28F-4EB1-4E5D-8660-5D96A481FA2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82EF20-7D2E-4414-AA20-518C177A6A8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B3FF94-A3B1-4DA3-BD75-FF77AA8929D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7C9CE-4C6E-419B-925D-899794AC191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2C11E2-EE6E-4A29-A6C2-918E2C4C49E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49E9B9-727F-44CE-A5A5-F18C923789B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3C591C-9971-4E29-8615-88A9252A800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8872DE-AE11-46AC-BCCC-E4831AAA6A9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7F4755-B251-4B69-B584-1F58FE2B898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572624-B044-4C4A-948A-9D2120287BD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38CB6D-2654-4C40-BD19-EB5E920FF30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6A54E7-0BB9-4CB8-81CB-34D3BF99128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BEE536-C954-4D6B-8D7C-34B98C3FEE7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1C9B93-230A-434B-83FC-4F7122FA752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E685B0-275D-4420-B9BD-4F85331963F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DDC096-274D-4E23-A2D7-DB314E41AF7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ACF778-CFE0-46AE-91DB-AA4F5F52ED5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2A50B9-5162-49FA-891A-2E78B6F6A7F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19BBD-51AA-4DB0-B1F9-4B3C27B3A47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20</xdr:row>
      <xdr:rowOff>0</xdr:rowOff>
    </xdr:from>
    <xdr:ext cx="304800" cy="304800"/>
    <xdr:sp macro="" textlink="">
      <xdr:nvSpPr>
        <xdr:cNvPr id="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9D4B10-7BB5-45AF-AF24-6F77FC7E2A4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333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6E0976-2538-423C-9665-D297D09D420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2214AF-7C71-459E-8D5E-513355384FE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50749E-6CB8-4204-A57E-364AADF434D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DD4E5B-14A0-4F24-9785-98E7E47CFF82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E679CC-5C4C-4885-9C0C-C836EE360AF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32E168-E53A-4410-9975-D787AE6854C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F30BD1-2757-403B-B56D-920A80DF2A03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5E955C-4DD4-495F-90BA-19E58E211F8B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204578-9758-412E-BBD2-A15D5A437621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C78485-D8A3-4995-966C-7D2DD6D2627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EB6F5A-03FC-4E01-B9CE-ADA32C2819D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0DC49-1384-49F6-B2EB-7EECF90E697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BA8F51-77B2-43A8-B13D-464FA0997F3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168C13-587B-4F19-8718-3D1D612F512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FECE65-365B-43F3-B4E2-5FCC8975837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484C0E-AA76-4C52-892B-A1A67084724A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DCF83F-3B85-4554-BCB0-85FFD9F75AF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2BA03E-C7D9-435D-B745-43F0592D9FD5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BF9682-3ED9-4FC4-8C0E-00318637E280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FAB31E-1896-4213-B7C5-6C323258468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EA72D1-F4EA-45B4-82EC-EF84D6B58AA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0D7C73-2E62-44BE-9793-C97F5A5BD9C4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437DA9-0C78-4538-A708-859EF019AA87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304E08-932A-4BAD-BE13-18F4793DC9FE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6CF191-A575-4086-806E-0CFAEA15BA1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D173AB-F00A-4728-8D55-12B34FA9878D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AF4E64-C595-4B43-810C-2526D6106AE8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28</xdr:row>
      <xdr:rowOff>0</xdr:rowOff>
    </xdr:from>
    <xdr:ext cx="304800" cy="304800"/>
    <xdr:sp macro="" textlink="">
      <xdr:nvSpPr>
        <xdr:cNvPr id="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2023D9-7870-4006-9F48-21186C64A4BC}"/>
            </a:ext>
          </a:extLst>
        </xdr:cNvPr>
        <xdr:cNvSpPr>
          <a:spLocks noChangeAspect="1" noChangeArrowheads="1"/>
        </xdr:cNvSpPr>
      </xdr:nvSpPr>
      <xdr:spPr bwMode="auto">
        <a:xfrm>
          <a:off x="6829425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9C2503-195E-4501-A53C-02E1B572F4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32253B-5948-4DF2-9CE3-480CC496B5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456273-3607-44C9-B313-158DB3F856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880EE7-B732-41BD-A267-27AFB1ADAA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91624E-1AE2-4A05-BA14-7AA07A4D9C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168F9F-A347-4B20-8B81-A4437D594E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04EBCF-BF57-4F6F-9997-BBB90721A4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29C9BA-DCE5-40D5-B3A5-A444ED0B83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C7EE66-E8AA-4F92-B88B-CDA4912B45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9BCD4-2F65-49B5-9837-82DA75FD74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5A42C0-4042-4D96-80F8-91B440DD859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C1D0A3-20FF-49EF-8886-2B4F2E11B4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D88F16-2048-4008-9485-3E741E5A83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B8F7E9-F012-4D6E-B8B2-F789999BEA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E4DE23-25B7-4E17-9E35-FAAA62ACE8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736AE9-7F9E-427A-86C7-B3A8EED90F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75D5B9-61F4-4731-952B-597285A2B8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EE5C32-E78B-450A-AAAC-D0945D5996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402627-7A43-4F89-969F-35756FBA5C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A796E1-95C5-4C48-9782-0A67F15C36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8CF55A-9FAA-447A-BC1B-6920167BA4E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EFF093-C5F5-49F9-86F2-853804D133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D41A59-FAAB-4372-88DE-33A0FDCAA5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801590-2764-4962-811D-C137253D95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71CCAD-6197-4B29-AE1D-C49D37B0D1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535744-F61B-4D62-A48C-717D11F5B6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E4399E-A55D-43F8-8F5E-884B96F404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1A0693-5CCC-46F5-947C-4D773385A8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127E1C-14FC-4154-9130-5EA1E1BA3D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93F9BE-9DB9-46E3-B686-99223BD59A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C543CF-C62A-445C-B26A-16405203F1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0BE52E-5A95-4ACB-9715-462A5D132A7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590051-9F29-45D6-9CF4-71CFE4DF9A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AE31E7-DC8B-484F-A101-5F3BA52B97B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155F98-8CFD-4E63-BC4C-DEB1D55DB2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16CE3A-808D-4303-B426-B04C1DAC7C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4D1DC3-839A-434B-BC4C-55CFBBB637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B269EF-E013-473D-8FF0-14E28084C9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9EF6BC-4902-4120-9C22-63C0307B92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A80714-FBF1-4E8C-B15A-7257A140E3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2CB326-3656-4CAF-88B3-8B1021AB35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23995D-C359-4819-8D7C-35585EFD78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EF6A29-5A0F-4BA4-9E24-8A5EDD02DD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99E999-9B6C-4FE5-996A-F5F25935A0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EA73F9-5540-419C-9E4F-073AD916FB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846DBA-4A09-460C-8DE0-6B8C49AC4F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6F4BE8-09E5-4A08-9595-CE1E7984CC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D3495-7886-45E8-A001-8383133E29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2F32DF-E7C3-49F5-9D39-6CF9914D85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CF034E-FF03-4664-AEC1-11DCD1D130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C1489C-FEC0-405B-8B2D-1B7B34F9E4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6AF71B-D2B7-492D-8D0B-40A3808BC8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1324CF-307F-4686-847F-48478458A4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CA47C7-FB64-43E2-B5A9-6AC129222CB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3DEDF1-2902-43F9-BDCD-31A17E89DD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B36631-DB05-4532-89CE-7C1F09B99D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5B9FB1-9EA5-46BE-A145-81A177B4FF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A04FEE-6A5D-4B64-91D8-6BDC74D3C2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EA454A-0F79-480F-BCBB-C5DCD13040D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B0DD0A-86DA-4608-80E8-7AB5788DEA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90631F-A387-4269-8ED7-F0577A8676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66D664-189E-4BF7-8689-5CFB058FE2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5F7FD0-9C04-43F9-9EA4-F6C42A5B557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D1ABA7-AEE8-47B5-B51B-BB1AD6C32ED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50EA4A-7300-4929-BC59-0E31CF7C517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7A533E-8855-4E2E-BA0A-63254E2857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49985A-7BEF-4E60-91B8-E2A1EE6F03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1F95B5-C708-4EAC-9D92-BF845A81C0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FF59C8-2139-421F-B990-5C33E699A5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70422A-981E-496F-885D-E422ABFE8B7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38D871-86D0-4940-8F84-A3438CD871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D2175B-4AFE-406F-965C-0CFCBBE5B3D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B8966D-17FE-451B-9C4D-EC8ECE9828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A286DA-2672-482D-A34D-3770FE9B8B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A15C5D-AD25-4D4F-93E8-FA114AE4A0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3BA176-BD7C-4531-A880-29E4F8EF17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438F8B-45E4-4D64-BE8C-BB148FBD9A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10A83E-F2AA-4D79-A312-2258280C0E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D4B8C6-97D2-4FBE-8222-B71C7B1326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EEBF1A-C857-46F2-87FF-EB456AB450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011C5D-7314-45E4-B7EB-43851FA1DC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ED6A72-573B-4405-A289-6F355D6EB97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FAFDDF-8C83-42FB-BA1F-BB61AD1D8D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60ADC8-86C0-4E74-8255-14886FCD39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492CA6-0F30-41EE-88C8-B5D1B64239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EC0C0-BC17-4F20-A677-29723ED9B9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927D9C-6A0A-443E-AC13-779E5C06A36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CD216E-2C9C-48A6-9A18-8EAA5C3D3B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CCCEBE-558E-466D-9CEB-E9A67D4CCF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A29F6C-CB26-4A54-833E-2090F2DAFF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08AC3-6082-48A9-909E-FC36E366B4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96DAFD-85EA-47DF-B513-B81B288ADB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10479A-A949-4834-9ED0-E8DA63B246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C04638-C464-4990-A33C-F7BDA48D10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5BD41E-9964-41AF-9915-649AFED329E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F5B1DD-3EB7-4E42-AAD0-4656594267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07615A-9250-4AAC-8122-089E1723BE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187B8E-4FA8-43F5-BD51-F887746996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100585-6BFF-4D9F-9D1F-31E7ABAD89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0BC43D-62E8-4F19-9BA7-B98484CEE0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ED9B04-14ED-4F5E-B5DD-47B3F5CC7C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570C6C-D9F2-4CEF-A5CC-2CCE7D0E33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2003FA-1E08-440A-9D88-599AE79093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BD5859-C65F-42AC-8E60-F7E4DC1630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DBE4C7-2FAE-4520-9061-C7AB31FEA08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F78539-50AD-42DE-B3F4-93DC49D0BA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2D2C9A-3086-422A-98CB-CC6C8411A6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E2FD20-71DE-45C8-9D9D-C46CA81358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2E5033-4B3E-4053-8AAF-1762FD97BF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D44C19-29AF-4138-9DB3-C3C631F66F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4629A9-76CB-43AE-8647-48A7D9047A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96F35B-3C8B-4066-82DD-FA06BF207A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090795-E5F0-4B6F-A619-624427CDDE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9A4204-0AFF-4A40-8EC3-4F3F8AEFD1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F9A98-573D-4B61-88FE-4688839E16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A23FF7-45DA-4963-B25F-EADF602CB47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BE891C-70A8-4EA0-AFBA-997B11BD9B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D49871-CA79-4332-BFC3-93F1026E632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E480DB-51FE-4424-BA5E-A9E0FA39F94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C753C9-5C34-452B-9A65-39FFCFEEB0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4CCE4C-5F30-4059-8E7B-CE41B3C821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4D8744-E42E-4A9B-90BA-56C44C769E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39FE66-B394-409F-94B4-FC71643CA0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EE33BE-33B0-4A43-B112-66F5A21777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2215A-84C7-4876-8557-929EB6947B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13264C-8AD5-431B-89F8-82A6AB207B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E80C0F-41D3-45FF-84B2-4A5339071A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B7D743-3537-414F-941C-96C38E5FCE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777C1E-6B11-4CF8-B99C-AC672AF7CA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C6F03-B2DD-46E6-9090-F9EC776B57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464AE8-C8FA-4F01-9189-2D8466BA92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458BED-C9FC-42FE-83CD-94A10FACFB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9E7953-D11B-4323-927E-180340EFA1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A79DB7-F951-4F8D-83B7-550FD6D0D5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2C3508-EA8E-4577-A806-87A8C88EB0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8D5756-E820-4817-BD2A-0732EF49AF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BE90DD-0889-4E0A-A356-E58B855871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18A401-52A7-40DF-9E27-CD4A2A75E5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4CAEC5-00DE-4086-B94A-365BCF5424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F6C11-7014-4712-95E8-89B8180354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A0F6B2-75A7-4CB0-B65D-E40FAAF26F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2C3EEE-859B-4215-BCF4-021D69A26E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EB4BAA-EF41-4DA9-A6FD-7F81EEF6B4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B8658B-4FCE-4901-92A4-AFE354FDA0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7C3C24-467B-4F12-B090-0C21AA1BB2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CB305D-4F3C-4F3C-B19B-D8B372A92F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E598BB-82CC-4E43-86B1-099267FC16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E06632-6B2A-49D0-9DF3-E151C37D65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DFF25-71EF-4196-A882-98D7A3F7AF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8551CB-DF5B-4EA6-9B17-C0D3F317A5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379586-2443-4FFD-B431-375FC8116B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DAF125-DA65-46FC-8293-2379D6E388B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B9A291-B089-4D64-89DF-ED9F0EB6489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0055AB-63F8-4405-8571-67008FA588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ADE0A1-D468-4410-95B9-F23788C5C6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2A3F30-53C6-4BC2-8FEE-0AC7E6F9B0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5E9078-4C6B-4DC7-A02F-D6B83B27AB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C05DE-4331-4754-BFFD-68D4F2652E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B6FCFA-F832-4D0A-A6A8-DD139CEB519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86554B-F1F1-4D20-8709-ED0A35E69B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C3BC9-D267-4077-BB25-6C4FDE85A2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1BA37C-A79C-4CEE-AB77-BA21A377CB2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662C45-C3DB-48BC-B097-AEFC40D1C3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4203E3-2509-4DFD-B2C7-7985C654DA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26355B-443E-46CB-A2D6-53A4A9C668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A67914-48AE-4A10-9986-07DB05ECC7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50B8BB-D62A-4A76-A013-7036D39E6D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6C590E-A7B3-42B5-8F7F-89C0F84432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7ED635-A04A-42E8-ACCE-D2A7D43CB1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B83CA5-9A5F-44F5-8C19-CE230D5599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2E65B0-2E90-4187-90D0-F27D5F145C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BC659C-8E02-4C83-8BD6-A5C02FA264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12CC65-2E9A-4923-B995-71B6106802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E3AE1B-0139-4BA5-BCF8-48116AF283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02EE70-2013-4DAA-801B-50FB49B03B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4A66A8-417B-4C62-B8F3-687F21AB2E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F06798-CACB-4B98-8EDA-1916226024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2AB298-F256-4A76-9FC3-E9D2EE7050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49ECB3-6904-465E-8287-05A7071116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BA560C-2475-4E00-B530-F954B0A467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D3CD3A-41F3-4310-9F77-644B96DC28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A1C82C-9E64-4A7F-BB06-290D64FECA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23F470-5AA5-496D-9484-DF6F15C25B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D8F9FF-D189-47F6-A636-BE014D1110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34A661-6F8F-44CF-9348-8B4B57EE62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81E50C-CAE2-4B3E-A7BD-569E48249F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EBFAF2-517F-4E0B-890D-BF3268D748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E81F24-941C-4552-BC65-76B4481B15D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84CA38-E680-4901-ABD8-FCD2EBB014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319143-1876-415A-BE7F-FB8C7C7E47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7C9AF1-9081-4443-996D-058BF679A6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AC085C-88BB-45DD-83F7-033BA172BE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15DAF-55F1-45F5-9A2C-57A9985F86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7A0B1D-953B-4116-B3A5-2D1DEFF0CC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10797E-9E1E-4B4F-8EDF-6A4DCC5622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246A3A-662F-4459-B97C-EE7A5B98BD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1720C3-21E1-4F64-9196-AFF4A66B28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FF157C-FDFD-4589-8088-6C0557252B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9D0AD4-E217-4433-BDE0-3D53B5E6E3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3F116A-FBCC-4CAD-999D-8D3085B3D5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E33E73-05D0-4F17-BD74-3BE6683927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40574C-A2F3-45C8-B849-C92ED6F7C8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F11BA6-5382-488F-A9B6-8218232679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21253E-EDEE-424B-A3A8-217BE1CAB0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B2B01D-2A08-4329-A39B-39BCF6FFE6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C97411-89A5-49DB-A2A7-4C7981B986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2E51F0-21EB-43C1-A814-AD7E9B864E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90D0C4-B29C-45DF-88C1-BD640CEDD2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DC8ADB-CA99-468A-A364-8F4DABBE36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430205-D9B6-4B21-889A-6088A24701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CE106-E82D-4AD9-BFD0-A2DF9CE4B0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49982B-3504-4E12-8F5E-77A646A8D9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2D12AC-E9A6-4F46-B74E-3C25A4C636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8413C3-A9E6-4EC4-8455-515B2CCBEA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0ED707-A5A3-4533-AFBE-7A5437D9E2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A4FD4E-B05F-495A-984D-F029CAF476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15D0B6-4579-40D3-A572-84CF26C4E5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E01A18-3BCB-41FE-A9A2-3023847696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A0D6B-7C30-43AE-AEBD-94AE578D53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11D05E-2BB2-4F10-AD29-2DA434F901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8A585A-87FF-4A9C-8950-BC5A1CD56F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7DB50C-39D8-46F2-8990-6FC583F7E2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DC470-69A6-44AD-AF39-232332C7AC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D35B0E-0D8D-4D17-8A1D-D4C6F919C2C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BFA3AA-8C85-4C1F-889F-2BC5FBFBD74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FF8402-2E9E-412E-A890-DA660B5C0A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177BD0-AEBD-4086-8816-734E0C3538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28A508-6AAF-43F3-99EF-6DD3F1719B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B9EDA9-89F0-4280-925E-E311825FFC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AAF4CA-6FD3-40A4-9AED-9F3BE2B69B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4D9954-CC4D-455C-AE90-7BA493B887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16E3E8-0805-486D-932C-AFCF9234F9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EE83CF-8AAE-49CB-84BF-BD61895A071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5D90CE-4B2F-43B1-8315-84D354C0FE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FAB376-3D04-4058-B23C-8A04DF0CC7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6CAFF1-FA77-470B-A47C-E1AC1D0E8D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AAFB82-16A4-4037-A6DE-BCCA5B7208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B4107C-B11C-4DCD-A46B-DD1964AB62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2764F0-6255-4663-B44C-E6059E7B7A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757686-9B0F-4BD4-AC91-448C51CFFB1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A5E593-2E00-4C9F-9017-0CE66D0AC53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B4CB97-081A-4F81-A40B-454940EF706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28FCAC-EC22-4717-AC12-E00E0CDA57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DEE36A-C0B4-400A-A5DB-581C660AE7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023F75-49A2-468D-B729-ABB2588CB1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0D750-721A-4D71-926E-48EC27E917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EA8826-05EE-4248-8338-87B5BF0A70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EA5EF-EFCF-4923-98DA-4F2A18E292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409708-A49E-43B5-A582-51D40554D4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354D59-9018-40F2-BEDA-B2DEE6130C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9BF772-17C4-4CBA-9578-72A5B63BBD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14C93-398A-43B5-B946-9E0FBFDFFC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89D93A-D17E-4562-B7E9-B4A164795A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412CFB-E3F2-4632-9B7C-ACF1CD76B2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A8B2A2-4498-47F9-B4C6-371210BF91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3AB617-6F73-45EE-9561-2CFD127E12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03FD1F-A3FE-4B4B-8BBF-EE340FF611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0DDEFA-597C-4346-AE63-2CDE31F4C4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87687F-BFF8-4F3F-919D-137935C9FE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3D5558-BD2C-456D-A7A1-E0BE185DAB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636005-70DA-463B-836F-1C13C54F40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8545A5-9F49-4E9E-93DE-89CE9FDCC2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B3B01-543A-4792-873A-467B9845B0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1AA92D-1529-426E-8D3D-61175FFE13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1C0F9A-C702-49AB-AD5F-7F97639DE1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D3C720-05F8-4D29-A976-26E1C3D90F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B5B5CA-51EE-4D62-957F-BBB7A223CD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A49486-6AEB-472D-A2C2-79A3A0A622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2AD190-4128-41C7-950E-126618B3BA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49FB00-B6E9-4250-8192-096451ED867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89EA92-79A2-463F-A5CC-467A5C41D4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AFF065-2F3E-493F-ADE7-01E9EF29E1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E2044A-1BBC-4FBB-9494-783BE6DA55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387941-B99C-4B5C-ACE5-185B36DCB5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9389BF-0356-41A7-AC40-4895EE747F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F1D22-E85B-4CF3-A58B-5D8D116694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C5AE25-5437-4AF1-BA47-413BE9E86C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572339-CC3A-4978-B2EB-CFFA97E11E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EF19BB-86E4-40D8-87E3-6F4487CF5D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3B8840-4CD2-4269-B7A8-45A3A94BE7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0B0C7C-1676-4312-BFFA-8438FD3D95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AE499-27B6-4191-B110-8F9A0F7622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18E9FD-4E4A-48D5-8B38-5E3BEC06EC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4887BD-45A8-4B1A-A247-27ACFABABA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DF616C-FEE0-4199-BF97-9CA45B69C8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AFDA48-8A14-44F7-AD96-CC5FEF14AE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420C2D-A0E4-4A5E-BADA-778F41227D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24F2B3-F1FB-49E9-BA91-FDA65AB55A5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C4E5D5-2CB1-4994-8EA4-8715759D7E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0B6591-49A0-4873-B92B-FA648FFFE7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630CE4-41F3-4E7E-BFC1-CA39358A3F3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239966-AF6D-481B-B33D-D8A2B0059C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A556C-B1A2-4B52-9F2C-4FF567A4DB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101</xdr:row>
      <xdr:rowOff>0</xdr:rowOff>
    </xdr:from>
    <xdr:ext cx="304800" cy="304800"/>
    <xdr:sp macro="" textlink="">
      <xdr:nvSpPr>
        <xdr:cNvPr id="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BA93D0-E4E9-4579-AFEE-CA399E690B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893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7D7472-32E9-425F-BEFC-26082EF13F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71E832-99ED-4226-BF81-F1D3D8A4D8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F157D2-0086-422D-BA87-01C32FCC45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60EB0D-9148-411C-BF05-20949F11C5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A35E97-6B71-4E86-A77C-F2F2629745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E5E385-D5C7-41DB-9368-6B10279E3B8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69EDBF-FAE0-4266-83C5-3EB559D827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43D5E2-3DAF-405E-89AF-977BD8F0D8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A1686F-D599-4DA4-8A43-03C8353885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31BFB0-D9D7-4F42-81ED-A47FD78C15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D4AED1-1B97-4432-8A1A-347D0E8C26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71BE8A-3327-4863-82F9-CBCE68A2C7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2E5AA9-1ED5-4370-A985-1EF75379710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1503B0-CEA5-4B64-8F44-7B6A051285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358F36-E6E1-47F9-8079-C3A77E918E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9F6215-F156-43B8-95FA-234A461BB3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A85848-6CC5-4A08-86F5-06D1A57192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CF0C3-60BA-4FC5-961A-2817FA2565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474309-6026-49BE-AC69-C78F8EB966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80B26-629A-412B-85D4-43B260049E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20DA70-C7E0-450D-8A27-6C5275DD54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F4ED8A-1138-4891-8AD3-B30A6DD9C0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ACE405-318E-40FF-A6EF-BACDBB4308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EEC9A1-A02B-4BF3-8B7B-67F27EE00B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D1FB14-DED9-42CC-B4B3-141821BFF1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FABC30-2402-4A57-846F-81846D53FB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5BFB8-B184-477E-A8C9-349485BB44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0291C1-69AB-4804-8827-FD26DE3EA5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91F180-0510-4D26-8B26-3BD5AA786E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3F4D38-831D-4CE0-9FA2-191BC631ED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05CF2F-4AF7-4C09-9826-14FBBB8F22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7E7012-2F5A-49DD-95B1-7009BC6867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F2F904-788C-4FF3-8359-9CE4EC779B3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82846-2A68-4FCD-97E0-8F2B7F4542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831849-0141-431E-A765-99CA3B60C4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1000B8-CEC6-41FE-A579-6D4ED66F05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CFC57-2AFC-4D9E-B400-5FBAED97A1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1D9374-05CE-4111-8FFC-3C2A597B15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D027E3-091A-4557-AEB4-A5F3A331CE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18D988-1225-42B6-861D-4FBE1B8E22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F384CF-56A2-4397-8AA5-486F430E78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B61FDD-F556-4BAE-AEC6-95415DFAD4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561D07-CA50-4CD1-9110-4A3D9E0A2F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82F64-83A9-44CF-A159-742E5D40D20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342070-4553-4A76-A324-A511DF5B77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C2EF2E-D3B6-4D57-A392-62D97409DDA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CB5491-44FF-4A28-BB2B-04BCF44C2F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5E467F-9871-4B54-96BC-0EFB3A50F5B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D34C9A-595C-4BAA-8483-9B07B6C6CB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B8B3D8-E5E7-4BA9-96DC-CD89E4FEFB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CBDDCC-9739-47A1-9BD1-9CBB4924856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6DE033-A6C8-4329-8BCA-829BFFB33C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2B4FBB-BB37-4B00-BBE1-F6D22CFAD4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11257E-3152-4F3E-BD0A-1BA8D476F9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52CDB8-9B67-4A32-BD35-AEDA308A55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CA48E7-2AA4-4FB4-B354-0325ACC792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188837-F212-49FE-9554-678359FB99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A30FA0-D09D-406F-A18B-5BD7483884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AAF7C6-3D52-46CD-BC98-D9808EB483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49D73C-E315-4E1D-A853-3CDB0CD694B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03DE21-3C7F-443C-A3FB-2F097F3D7D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543FEA-1136-4E05-81F5-D8180CB79F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6944A3-095B-4A90-9F76-71D42F2067D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CC35C6-7044-458E-8ED2-00C9C978B39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275167-D73B-43C3-80AC-C330791777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77820E-8969-4B3E-B8DB-E4DA3B096A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3B73E6-AAB6-4A27-A4BA-5055B10C7F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68576D-E4C4-430C-AAA5-B266F5EABE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71C8DC-C71C-4FF3-A9EE-BCB036029F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49F88F-EB9C-4026-84C1-820C3468AE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CE7122-7FD9-4098-9CA5-7760FDDBBD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EF0B12-732D-4ED3-85C6-F3A15E1CA8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F6382-5332-4106-8EA5-8F041CC6D9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7B4F91-5009-4871-879E-42AACBCD3B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13D3B3-0ABB-4A82-BAF3-2A1C130C26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A2C883-43D5-42DB-ACE0-3804782B2F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4A61F5-D4B9-431F-89D1-5601FAE557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4AA994-CF81-45A1-B391-FE03F7FAD2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BBCF10-0614-4E4B-BA69-780D73907C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E3DF07-3EA8-4833-80BF-9A4AE6D988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1054F8-4917-418F-9B07-2AD1CDDA72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5064FE-133F-4888-9058-5831761C54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B62BA2-D155-428C-ACA6-DFAEC0D6C9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8D417C-2E75-45BA-857F-BA2940C34D3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7C7973-D834-469F-B962-9159DB61BB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7AE7FC-CF26-446E-90BB-CAE2904DCDF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88362A-3DB1-4308-BF26-4589F11FD6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B80831-4D8B-4532-A92D-0FC27CCD8E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12D763-8C81-496F-B2CA-8CD82B24B4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0B00DD-A1BA-4D27-A179-0FFA4CE173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709BC-6F9C-44CF-9FD6-3D49A1C1CE9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CBADB6-EB80-4311-BAEB-A5E5F770293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CEF94D-180F-4305-8B67-44100335B1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2A810-DF89-4FBA-B193-19AC8BE198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C558D8-9BE3-4BF4-9FC8-EE79499FA7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ADE386-CBB4-4915-8540-4D3168F43A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6B9A6-6A64-46CB-9122-909444E8CF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AF595D-FF33-40C5-A7A2-69FF203A3C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F2887E-BFAC-4594-95DE-16718372BD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DE3AED-631B-43AA-B865-38201C861C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EA4052-70BC-4E05-BD0C-51848D99C6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E43DEF-65A5-458B-B734-8CF56BABF5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218E71-990F-43D0-845F-8214D3C004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94F9FF-1F28-4161-9E73-EAD2E3C27D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08D265-C39D-46BA-8078-4355998261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98B7F-3BD7-4EF8-B725-DBE1EC8D44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74ABEF-5E1E-4C6F-AA86-76A2306D24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E81DD7-0AC4-4361-BE2C-650B12ACA3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4C3617-18C0-4B54-B4CA-2AA4DA9E4F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9F8D94-03AB-4166-A8BF-7FEA069B29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B85A73-93AC-46D0-87DB-FFCB02E244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CCA0D0-9762-4D29-9DC9-440E6A3721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6E3046-8277-416D-9A1F-A7DBBD40433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7B41F4-3C58-41AE-843A-1785832B37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E552FE-4D1B-44BE-87C2-23F1E706AC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7C4859-E824-492A-94DC-EF56EC80C5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2446A-C7F4-457E-848B-63DB987D50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F57691-C8FA-48C7-8BCF-47E33B531E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DB6211-2439-4AEB-BE7E-D67E31C769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453608-31E0-4A0D-86F7-9E8254137C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2221A1-858A-45FC-A6C5-E20919E59F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517830-3E85-45D6-8D31-75AEE6030F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E54788-4B18-42C1-8031-78C7B5BC10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30857C-6E1D-4A84-909F-B9BEA088D2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57B265-B188-4218-9D08-CF369747FA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143F46-9CD8-4758-8E87-04CDFD93B1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1DB0AA-EB52-403A-968B-2C5E12BC3F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F56316-9726-4E9F-BD11-E91143B20C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60B12E-99AC-41AB-9C81-1A839AEECD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1B0B23-0357-44BF-81EC-FB2EB47D63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9087E0-CA22-44FF-B987-1EFFFFAD62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7B42E5-638D-416F-B4A8-3D32C12BB0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408049-8E92-437B-A3B4-3310464FB4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F2256D-5DD9-4AD1-AEA2-10344EBC96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59CC7F-7ACC-41AC-A939-C61C249AD6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701E4-7E76-4B48-B6BF-61DBD3A81B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6D03C0-316A-4C1A-868F-E3EBBF5A54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D61C27-EF74-4E73-AB66-F31E68EE96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C783DF-3E30-44A7-B7DB-7FF69AE169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DFD0F6-1675-428C-BE8B-3707E9DD69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A1A7C9-865C-4F39-B4AA-8DE1D819C7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06FC5-3F07-4D23-8049-177C56DA51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A89C61-F266-4A93-811E-4C7C4AB777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BDF701-2EB3-4AB3-9FAE-509FA522FB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138522-3AFA-4FFB-99EE-E0EBAF7FD5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564EB-1131-42B0-B653-ED3ACF8EC0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CCD28D-CE86-405B-8850-5D5CE26211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D56556-3DBE-4D8C-ADF2-C3F7A94740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2BB150-ED83-495E-98DB-7449117072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D127AF-E505-4009-9F5C-7B10ABC0B7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C5326F-A85B-47D5-A678-2249D635015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DC0F9F-CC1C-4258-AAAA-3ACF3BDC3E7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7D9901-11A1-4D0A-A3BE-79C0B474AD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87F036-387C-442A-90CC-E589C8C72C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73B861-59CA-42F9-9DC5-F9533A4C5C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C64C14-90A1-49FF-BE06-F1A8BF5B819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16CE8F-0308-4DB4-A427-DDAB6763D8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818720-33AE-4217-BB97-329A3BCE13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5EB09F-BEA6-4A81-8344-E5149AD9F6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F5CA30-D2C0-4C50-B73A-3FF1726472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CEAF51-60D5-4F4E-969B-4BB20EF1AD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E607A5-72B4-467D-8FCE-1D22A8F537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3222DF-1363-4D91-9F51-772B54BAB2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3F3792-E81D-4EF0-BA16-B113CCC0FD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676DF6-0648-4D3D-AD4E-DE0A48A6B9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7EBE0F-AE51-481F-AB78-5667961D55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9C6FD2-D121-4D01-8766-F5D0DB16AC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2CCA34-2D9F-4EF7-B2B2-83CA04796A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D715A1-F7F0-4393-A7CF-6F64222933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A95173-DADE-4259-9AC3-5F1025FF20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61B84-1355-4444-BEA3-E47ABE462D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4CEA40-6104-47D9-89BE-AAD5588955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21E788-BB79-44BF-ACA7-94822CE99A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20599E-C82D-4655-9A90-801A981315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E2EADF-8225-4849-B1CC-CA5201132C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54EE4B-1C0A-402F-A056-34C3A65628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E669C1-0C03-4619-A618-68E61F609D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7D14A1-A52A-4757-9025-913B668078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480E3E-B0D0-4E47-A340-4AF766ED31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C6F6B5-F601-4C86-AA69-C38D27CA32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AD0E26-26F5-45C7-A914-A0BCAF0277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811332-1DFA-4BA1-A19E-F759BC2145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4E8694-AE87-4FA8-B679-8C7E60773E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C2BF7E-E817-4576-8C9E-13313DF457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809BCA-A170-45DE-8800-7294F5F6E6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0F6F70-3B72-44A0-A980-B6577CEE32E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D4B72E-CFE3-4995-9F05-CC6A468836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B0BC16-E168-4172-82D2-D45E98E255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48A7E4-333D-4703-BE6A-67F6523AA9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2A2AF-B9EB-4EC8-824E-04C9E151EB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2AF4C3-A634-4FB7-8E99-500D4BEA29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FC4B6-2E51-436B-B6C1-263D9244D8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47D5E0-7694-4275-93A1-F5663994AE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F8B7F2-2859-4E67-8FB9-D268987C5C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41EA06-006E-481B-ADD1-3ED91D9C8D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57041B-4027-49A5-B0F3-AAB75FC55B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DFFB46-5545-4A69-BF45-2CC0E3B434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E409DC-7D1E-4863-9F92-3135F808C8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6DD019-DE64-4D9D-9E7C-519AA67566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BD7C04-34FC-462A-9A98-48DFAAE2A9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F7E7D6-DDE6-4F87-9892-40952AB64A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B8C068-D55B-4B0A-A38E-092483925B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14C61E-A640-457B-927A-4B312F37F1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CFD19B-1DC2-4DBC-96D1-2E5C7A2B7E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2F6AE4-3630-47DC-860D-AB239EF0E2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798648-BA2B-45CC-8023-73E169F526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0F025-FDA7-436B-B160-01F97FBB17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955E7E-CCEC-4F36-B799-4854B6AE3D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32DB59-C675-40F1-AA26-FC62721AF2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E3326E-68B9-4EE4-9E23-F46B76D5B3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EE8014-23CE-4F70-8A98-DDFDC78CE2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EBE437-84AB-465C-849D-468B5DA1CF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16C2C3-C9AA-431E-8A92-0C5160E3D3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9238E5-73D8-4F52-9320-373356F921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F1779A-CEDB-49F7-BDCE-DE37C1A487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5394F9-DCC6-4811-A69D-74546D3786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7C2E23-1479-4A93-BE03-D580279AB3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3BFE4C-4251-400D-BE49-97C1D34604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9AF7C4-69EE-438A-887D-25401024B2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C53DD5-F09D-4C01-B349-2D95034878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5DB088-21C7-4085-8632-6673BC6C79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762B46-B808-445A-94E7-9ADD6C76EB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91B04B-93E8-4FC6-A8E9-55A5E525D0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72E327-D248-423C-A962-609543E1A0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D765BC-084E-4875-B5CC-EBA1CC886E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411E85-05BF-4B9D-AB0E-B29C372F60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046F1E-4ABA-48B6-9B79-50D5945FD7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D9D62-01BD-4041-BCE7-FD1F7EF8C6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1FC499-9E68-4E80-B9F4-87B48481DE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DFCD6D-D072-40C9-88CB-A419A45201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B77DCC-6E73-49F2-8570-835B7144454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69FC94-7F66-410C-8351-B3B3E3ADE6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46560-4D44-42FD-88F1-FD8B8B1D0D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A1C61C-6C8C-4387-8625-8D602A0606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9E006-4D45-4FEC-9DE4-FFF78FB7FD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39290B-1346-49EE-891D-12AEAC0DCC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38260A-F32B-4999-BD5E-28BDDE8EC9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4BB030-FA13-43D1-82DC-FEF36CD346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7AF904-701B-48A4-8A3F-9A903BFE35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36CFE-73AC-434D-B124-B7785F7FF3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6D36E2-C662-4055-AC1B-42B307DDA4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667460-64BF-4F69-B48D-FCCAF06204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5435AD-158D-41BF-B3C5-6CE2F426D2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425B92-C170-4D73-B2F9-B971F350C5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44DD4F-47C7-4ECF-8DF9-4A991FCCF9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44300D-0B71-4A62-B749-E62810D1EB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B987E6-DD3C-4B4C-B155-2171F5A37D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586960-6D6B-413A-8BC9-01549D5E96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B5AC57-9672-4EE8-AA8B-BC5EDA8A53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951516-C9FB-459F-952A-A9CC1B9044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1A88F1-CA53-43C3-B8C7-68EE0243F7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66B8EB-411C-43FA-888C-194A6436D6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9BFC80-D20F-48F8-85C6-AB9E9A0F0F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FCF8CE-4B67-48A9-8B11-B6B32BAF61F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FB24F5-227E-451B-8041-D2B12DC465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9B664D-DC66-41CB-9549-B07E737D96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57F5FD-D436-4BD2-A998-BB51788728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B11F05-AE06-4BA7-BA41-6A6F35259F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262465-4E43-42E2-BEC5-BEAC5E5763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902FFD-F241-46C9-81E9-D4C469ABD9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51CAE9-2C69-4C98-8A62-91965B3BE3D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6F4CB7-6116-4E3E-8DB4-67EB92EC10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4AE457-A5CE-4FF1-A694-580DDA81B0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2E2875-6941-402F-A6CA-93EA5A8D4D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D92049-8A0B-45D9-B9A7-90FE8E380D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FFF964-CE96-4C2F-B14C-A6B7ACD37D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B1E8F0-0DFB-4A61-89EC-59DBE023CB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91486A-11DB-444A-AE27-B82367C917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871462-FAFB-4AC1-8F72-9B7A42D8E1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7EFF13-8AE4-49FB-A3FD-03F353CEE4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8DB293-E46C-4F3C-A7C6-D899ECA01E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8FEEF-90DE-4FCA-9B13-DD3FBF6AC2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7C30D-4C0B-4916-B93C-770FD39121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D58CF0-D311-4B64-B412-D90AA136FB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72A132-11E8-4DCF-AE73-E5DF17B0AA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13DE72-5C54-44AC-BB8C-0CF4E8A021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EB9076-1D1B-45FC-BB9C-799512C73E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19D6A-43F9-4786-BAAA-56330C783D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7F7784-1E6D-4269-9EB7-26E37AFD83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B3DCF-03E9-458D-9B3D-46073C5D22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3A2E4D-478B-4D72-A0A6-52BA465160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B3B81-00EF-4B93-9DE0-BD8BA75E8A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FC9BE0-D249-45D0-A14D-0F6B6F21A2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9B5839-1AF5-4A05-9EE4-09A9146166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E249F-D526-4C96-A30B-35EC44B8B6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E680EE-3ED9-482E-B4F3-4622036A42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969F30-C6BA-4835-BEA1-8A354D647D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F0A870-85D7-43D5-A673-279E4CA751F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A1CC10-6F72-4C20-A201-339D696BFD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6ED2EF-C6BE-43AE-B4CB-57358DF74E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FF16B7-D73A-42CD-BC97-265064DC69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BC5204-0DE8-4BE0-AF62-62F1630D10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B89AC0-C2ED-48CA-B821-ED0D06A37D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FE32E0-0679-4DC1-8BB3-331A994C0D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BEE297-A76A-4973-A554-4956FF4B61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8F221-18E0-41C9-859A-A3DE13F863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F4F59E-8980-4B17-AAE4-279CC09343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A92541-FB4E-4CD3-9B4B-DDA7866068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5C8101-D340-469E-A4D3-E2095F9DAB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4E6E01-9143-42ED-B12A-E3D336B5734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AE20DB-1D87-4EEC-BE15-A94C452BA9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5982E3-5DB2-4EFC-B155-D33B6846BA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DCC98A-7460-475B-A382-7B9A85D808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2DCB1E-3BE6-436C-B5DF-0F34827F79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C3F1AD-2C00-43C7-A69E-D8C9E32F7C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4BE16F-B204-43F8-A432-7B1F0372E7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FC50E6-C838-4594-A7B7-55E2590C38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618307-6AC0-4C64-BB97-D7E8FAD4AA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B5118C-6268-482E-AE2B-DEA349A8332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0D40DA-9313-4743-92C3-2F385E56B0B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739364-B964-4189-AD5D-EB1E99A638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0396CD-B28D-4793-8108-E0C94D50144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BEA696-F4B1-4917-9E73-FFD17D1D1C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EF5BCB-196F-4F87-8942-B13B7D1A1F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BDA498-4E45-4FEC-855F-406FF6DC59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260B73-4018-40CA-B32E-40652EB92A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1546B1-2E0D-42B0-A50C-7E70E813A4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F2AAC5-F9EC-4F1F-9186-E3AA2466C46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260BF8-7A22-47E7-A391-B130FC4224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830DD5-D607-4245-A94B-F05C40A93B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3B0F16-6B10-4269-A8BD-33C2FD14AE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BDB8DB-F88B-44D0-AE35-7B1EFE54A1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4457E8-01D5-48FF-A877-DEACA368AB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752052-2EE1-4D09-8DCE-895955B512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7D6CA5-F673-4B0B-BD26-574748DABC0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DEA078-E8C5-4EEA-923B-34F8CC4B21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8595CA-3E92-44F6-A791-267A0A5465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0E155A-53D8-4142-9B7E-C73CD76B713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18EC7-EAF5-459D-AC63-8761C5D8A7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0ADF4B-2016-4509-BC68-71B56E9DB0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4FEFDD-8AD1-4383-B2DC-3419796325D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A96919-069D-428E-A400-4258AE565C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2136AF-D427-4C82-B311-24F6670E18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890DC1-DA04-4133-9D79-8A696DC132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74482C-05ED-461F-AE68-3A1CF0FF3BC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8DDF1E-864A-4C69-8D83-DD9A99B13F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27B744-319E-40ED-8E33-13CE1A493D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7F2E50-1E88-4692-9495-C0171151395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0701B7-9B2B-4616-9A8E-DF0156A146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BCE5B5-6F4C-4A21-A411-C7F96DB351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E573A5-8ABC-4361-9896-B41619F2B1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E02BC-6DF6-4603-88EC-559C33D2AA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B5E87A-C203-41A7-B95C-33BE3D19491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6AED06-F004-4958-998B-735BA2A76A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499537-B500-40BF-A3E2-FADB68D899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30C515-D7E6-46AD-8CBE-F62E5944FB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E34859-E6DF-492F-B588-8A7EAC1A76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9E5442-90DF-4433-8434-DD7690F25D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E1321B-30A1-4241-AD0E-9CE64114BE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84F5CD-FB30-4E7B-9FC4-FE16334DA28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C48365-908D-4BED-B1D2-E3613AE9C8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C5A17-08AA-4AD8-B852-76C566368A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E5F7CD-AFCA-4BC1-BDC9-DD633AD452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279F4-E836-4106-AF02-8EF776D580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B19E7E-FD19-4F53-B1B9-F8DFC1B49C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69115B-61FD-4547-97D0-EF5B4E79F74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6A44FE-ECFC-4E83-96D5-A5B50C31FB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BF6969-73CE-474B-A485-6F5BEF1282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5302AE-1695-4505-A74D-18F6E64032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C43F31-E279-494F-86C0-8709E728DA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4469FD-107E-41EF-A2AF-DBA861F622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090AF5-6B00-4FA0-942A-9830849F845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1F8BC8-7864-4523-ADC7-724901C051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FAA150-E514-471F-B1BA-E64783A22E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A2BCE2-2B37-43AE-A778-FCAF681AB63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D7A101-B22B-4A54-852F-076DC58322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5623FF-15FF-46DD-8965-768FC010D8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0F8FDB-595C-4C62-89C6-64F47A7917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B22CF4-84ED-40B3-9FCE-5206FD4C01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3C035E-BD3A-4636-A582-A52C588B11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86C98-6B02-43AF-A85C-D84BADCD6A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FEB984-00C6-481A-B16C-4CD5ED80D9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F61A2E-2CCA-4A70-A2F6-DE533D85BD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E387FC-AEE3-403F-A730-140F3A2F27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DE793B-94AF-4B1A-BF89-5B30D29974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45C162-2A68-4F8D-B1A4-D6607656BD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4D7AC0-3DBF-4936-871C-01CC1E318D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6B3CD-7513-45C9-8AB2-D5CC08BD92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5CA1A0-8D07-4072-BEB9-F14D0C1DF0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798C2-4B69-4053-84E6-784F4194F4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9A9386-0807-4BFC-81E0-0D8433BBC1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746737-6EBF-456A-9359-8C1D64B6B4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E3D6C3-CEFB-4BA3-BEB9-ECAD2437DE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4E82E-205E-4487-8032-4C84A818B0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54DDD9-6C83-4F0A-96C9-E86E6E150A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30595A-3E16-41BA-9793-7453677E50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E36BFB-8981-4BC4-BEB2-939407EB38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844F91-C263-4D8E-89E0-AF11F7EAFC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4D1A6C-7637-4A53-8593-2BA33B8F17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50C5C9-86F5-46A7-9DD5-02D9CC3771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4976D3-C787-42F8-9615-57E068BBA2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7F083B-8894-46D3-AAA0-38CE9F3894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C2BEF1-DFE3-4C49-803A-EAE0822FCC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9E929A-7F30-4F35-B1B9-F1C938FB85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FAC29-8C51-426A-AB8E-158D50996F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971FCB-ADAD-48E4-B9DE-5AFC659E50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CF695-ADE0-4175-8993-91B3E83D0F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6264CE-7DBD-47CC-9959-D95913FC28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1FCF9C-F3B8-468E-A305-38F190D4323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05494D-9735-4F8D-BAF0-7B31D346AB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8D370C-8EB1-459D-9B54-EA5EB7E4F5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5D36AD-D146-4E54-A1E5-FF334572E8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5BEBE5-F0B9-4FDC-9395-C3D63629E7B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CB84E3-FC39-4BCB-8D1A-9CF3CC9FF0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168B46-B425-417D-A988-0B301C86AC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67C8D1-C2CC-4D10-BD83-65B17451E1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6C72B0-AC28-41E2-9080-22CD9B1012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7F7601-5678-4D68-9A22-EE197DDF17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0F2FB1-0441-4F84-B9AA-C70F9CF0C4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BA8B6E-9506-4D44-AC83-69779A3D28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1CC909-1442-4A5E-B1D3-C8F78D36B4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EA3338-DB1C-490F-B578-728B6840D9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3CEC49-4DAA-44F3-94A6-3491E62E04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8A88D1-A9FA-4369-B795-C918C89575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77FC8B-1E3B-4D0E-8500-7628F9F961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31B76B-E19B-4BBD-B6DD-61754ED5D7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28A952-A936-4393-8F5A-8C379FC7FB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A727D3-D227-49AD-8C9B-B49CCD5B4BC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BEA8C0-497B-4C9C-90BC-014A388E17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266228-FA54-4D8C-A012-3155F12159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9095FB-83B5-4079-97F7-CD854004E9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8BC3BB-8BEA-4478-9352-20B1D7BDFE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0AE3A7-5933-4C76-95CD-13D89F9003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728DBF-3B57-45A1-996B-21327FC760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00C78-125C-4D4A-AE92-5CCF62CC600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B317CB-B959-42BB-87FE-DB4A25C610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A0C328-C066-48EC-AFF1-A0C601EE59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772EBD-D184-4CC5-85D1-76F962702D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14B624-79B3-4E35-A5E6-3761FC0E368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CFCFAD-4D90-417C-82FA-379B6143D0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468F3C-A2F3-466B-9719-5400167489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F8DFC3-2552-4913-8A71-6A745250DB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7CF11F-59ED-4018-971C-E2F5DC3530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CF23B0-CBB7-4C0A-9295-A49649D7842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931122-7DFC-4FB2-8C5A-32194E4283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5337B0-082C-45ED-99D0-A25C8D8CAC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D95BD8-9A19-4C8C-BC00-020D0D611F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C1F4F3-C968-4137-818D-7D8A545C21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25E784-F1DE-4362-8B34-A271677FC38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5B2CE7-E28D-4935-8892-F341D390F96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94A681-17EA-4423-ABFF-9AC0950E108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90BB26-11A2-4821-AE9E-543ABA4F860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EE955F-AEB7-45C9-8E60-39FB57EFBF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0BC034-8A95-4BA4-AE56-9996D2963A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BBA662-1977-4713-A720-0CB4FC2D2C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BFDFDA-A7C4-4AAA-BC31-EEE275BE39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69A294-BD44-4638-8B40-85C92AACE0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AB6851-7402-4716-8172-D446C4CFC4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EDAC46-520A-4AA2-A30D-A528578EE4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84E17E-4B5E-4105-A601-BC90494996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B9F8BA-88C0-4915-ACC3-E1C3146924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5A6C43-1E92-45EB-8957-A1591FABEC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A67A82-C92E-45EE-B1FF-02F14059CC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75D5F2-E480-447B-91BE-2BA689C46D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20750D-D536-4ADE-B7BA-D2209D1214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FA04A7-250D-479F-A0D9-7C1884420CB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2F5560-CCDB-4E38-8EDE-C55184BCE3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DF75C2-E60D-43B3-A270-F4D84985C7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101E42-FF23-49BD-8D3D-F3DD753F58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DCA3B5-EB4B-47C1-BA79-44F5E4C169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42DEEC-D572-40FA-8B80-4FCDDC491D0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623622-CDAA-4653-8C54-559E89CDA0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CCC365-57A4-451D-8960-7091CB431D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658D3B-CBC4-4731-846C-D00B192AAA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286E89-F7F9-45E4-920F-771F5BFC51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E26A52-B48E-4B46-802F-B8CA91F7D0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DEAEE-89D5-4A60-A450-F1E60A08C0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ACB2E1-3CBB-4EFE-976A-4233FA4FBE7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155208-678F-4BEE-9AB4-19A89E1B4C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02DFE8-91A1-4251-ADAF-837212EF15E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131871-1FC7-4705-89CA-F24DA6FFF3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58585F-50E6-4CE9-ACFC-1F1C0BABEA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26946B-46C8-43C8-88F6-06B305E498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0D8DF8-C44A-4F51-9A4D-DACE72C0AB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570D3E-9980-4BB0-A7EE-DCA6BB1004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34FF42-E5D0-4DBC-AA2E-518C2C4829D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E621F9-918B-4806-9C0E-01929CAFD5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947B66-E912-4FD7-869B-6057BAA08A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BA936B-1ABB-4475-8C2C-9AC6D3944C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44919A-CC85-46B7-8211-3340F8D8EB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87841E-A4F2-427D-B92C-9426F6FA06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B4C2EC-A313-4538-AD7B-023691A054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D90E95-E241-4A64-9B80-39D4ED54194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03665E-C3C1-403E-8DE0-F11DAD3FB0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FBA13A-6D36-45C8-A97A-66428A9E89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4E994A-B1B3-44FF-B8D3-F7D04C45C4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175457-5382-4652-9078-FBAEE2B44CC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229EE0-0168-4452-9E02-4ECCAF7C51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87C454-180E-4EB1-9826-410EDF5DBC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2E236-BB8A-4D50-BFCD-D2513D35DC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D35454-E2AB-4FBE-8EA0-89E1E17E95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599F79-1522-4663-9E4A-6151EF7FBBB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7CC1A5-1098-4D39-B398-DB2CA00D38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37EA0B-ADC1-410F-B801-279171C3D5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221199-AF47-42F7-8581-EAA9FA2B503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6C6A68-2384-432C-AC25-2DFFDCD322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96F8B7-627F-443D-9E78-26A191C8D8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2F9A49-0F80-4E5E-A9AC-FFB88350A48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176C4B-57CD-46B6-8867-FE336D996C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66A273-6BB7-486C-BA2A-206863BDBD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06BCAA-8109-4486-BD81-ACDB05546F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ECF460-5584-4FCF-9D18-2C1D7D62AD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D4C5A9-FC6C-4724-9604-24696B82C4D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700B91-D6C8-420D-B3B9-2D2D69640E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DD881D-F017-4A54-A03C-2F0FB80889D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CF0F2E-6988-4483-AE1D-56B23FFEDA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93834C-9530-4700-9AEE-80FE9CCA9D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162FF0-2252-43C6-905B-7B38E0627E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4075BE-F0CB-47D0-8A7F-6A5CC6BDFDB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52081A-1961-48DE-B907-FA9407D278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2A83D9-4B67-42F4-B59A-3CC874DDB9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EE9998-3ED1-4A17-9046-8249E7EB13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A71455-FF5D-4B4F-B97B-7CA7732D59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71578D-D293-4E50-812E-E46E6E3FF1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4FF586-C89B-4763-B131-A2541F634C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90B8E6-A6A8-4947-81E2-1EC6B389EF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6124F-B426-473F-8E72-137DCFB470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157E4F-0A1F-4B0B-BF3E-E1F937CB34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51845B-EAD8-4F4C-9E63-5E7A7A8285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01C369-09F9-4B7A-945B-75CD152FC6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3278F7-158D-4E39-B339-0FFE06C2F6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C3B36D-7468-4039-BA75-19797A1FB8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8886F5-E3F4-4BE9-AEFA-6011CD1FDB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0DF668-F616-4822-9DC2-775BAC2EB5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81C096-7805-4D8E-A727-F9C2AE4BFF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95251-019C-4AD6-8B57-5FFC2994C41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6B7795-E493-472F-9644-1FA5A128F8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B01F40-DF45-45B0-82A1-58633CDE4D3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B60E8B-BE00-4222-A7B3-01B210D2381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5D0F7D-5235-47FE-9F58-ACEF5D6F09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060DA0-1541-4306-87B7-A605BBA5F9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DCEAD4-BF5A-431C-80CF-0EBC1077E3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1A6E0-2B53-4480-A72B-735EEE46A5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422E2E-E947-42EC-8913-A16D3C3D60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AFD860-7983-4823-8C0E-79ACCF6707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550B67-49A5-4EDB-99C7-6E67DCF17D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190E3C-75E3-4683-865B-E9BCADB9F4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E2A31-28FF-4620-885B-CB819E355B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3AE61C-0ABF-423D-A576-323EEF9144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A25980-D5A2-4144-BC45-0766D53CB5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89DB0C-2C16-44DE-AD14-0B01B0DF9C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E54B49-CA11-4D9B-8566-F4CE9AF0DC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EF7A9D-2F61-41B6-BB83-3C78EBA087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2D566E-3345-4EFB-919A-0B617C33D3E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43FB94-5D95-4CDF-AE70-B2BFA34FC5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F30B7B-965F-46C2-9200-EAE76A7BA3B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8FDD98-2B96-43EA-9058-806C81EBBC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93C867-B698-4C86-88C0-47700DD06F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8DCCE-7A3F-4CC7-BE62-CC32090394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A059EA-25C4-4241-BCDB-C42A0FEF93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CECA7D-C60B-4182-8479-C41EE9BF7B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BA6874-F1B5-4DCB-9A31-C99E71FD21D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BDBFA4-50B8-42AC-9833-F4BF38348D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39F19-9EF0-4092-8947-5E73A9098C3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C195A2-6995-42C9-BA2E-1F9A833D12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E3EF97-954A-437F-B43A-FCFDD155B2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61444E-04DC-4FA6-BB34-28A7FD7B83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295391-02CC-48B1-A6F5-9F3C99CB19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93D632-2DC6-4F8E-BBAA-30353AE6759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3616DC-D0C6-4417-940E-7A24ABB35B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DDFEE7-937C-44B5-84F0-7DD4385841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3F7E8-2E5A-4905-AE6E-5223FE3037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411889-07E6-47B1-AE18-CBEA69549F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387425-4C2D-45CA-8130-48E22EDC1DE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EDE505-3064-4065-88E2-D9ED33FFC1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B3E86E-B1E4-4C94-9ADE-4A3EF48B45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7E6C1D-949A-43A2-A7C4-44A289DD7F3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143FA1-417C-403E-9F30-5AB2995A28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C90D0C-F86C-47D5-965D-DD71F5E6A3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2DB8A-9468-4649-9B37-51F68415A0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32878A-C43D-47DE-9872-E405916AB3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44C511-060B-4818-BE70-F0024220F4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AB6656-BECC-4447-A19F-5F425B6970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F713CC-88F1-4D28-8B5F-84493944F4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F9551-11B1-4B42-8339-46914FC95B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1330C9-59D0-4846-9C89-DAF2B6DC8E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69D9B6-0A79-446D-B78A-7DA2B1C807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EC37EB-06CD-4434-8915-2DF867009E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00516-BC07-4CA2-AA07-03094FBD96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48AE72-9CF0-4F9C-B463-A938165D44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7B78B-5FC9-4221-A046-43599BE871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247871-EDE9-43C8-BE49-5F2A805BCF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A7E40-8A3B-4012-94F0-DCC2AE3EB5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CDBCF4-1383-4BF1-B1CE-1D4FF4221E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058163-9E7C-4545-8AEA-7DFA4595CFB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A8C3DB-64BD-4EB0-AA26-4D76AF40FE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6F0DDB-C005-4C2C-82E2-0FA75A187C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086F4-59FD-4A51-A3F6-50062D9623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D3E1B9-E39B-4D23-83ED-9CF0180E27B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C0DC45-BC1E-4C46-9F7E-BBE6EDE05F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42C464-0536-4A6D-A910-759E772559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6A3001-28C2-4D1F-A664-98F1E3CD99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08A62C-2CF5-4979-9B01-EEFFCD1B6C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A279C1-1B25-4D7C-BD33-A0BC650BD8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88E11F-1596-4C90-ADE1-C16592E7C5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F2DC88-2666-4979-B925-4F6783BDCD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B56CBC-4F23-459C-82D1-0AB64A7B36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9DE3D4-7CC3-4D45-B5AF-BCA35F08A3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908C09-8740-4345-8FE2-42FDBF9486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496F24-4A4C-4E22-B8D2-4CC3390251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441573-DAEF-43FD-B8E9-4B7B77F6DB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51CAB8-26B7-4BC3-90E4-30746DFED6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A672AC-77D9-4BDF-8AF5-7F62C152B9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37D3F6-F94E-4CC2-8329-0BCA22DBE2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567CA-2896-4CB8-BBB9-75D71EDECD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F0710B-F196-45A2-8F26-075A82C22A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F6AD20-5BF8-480F-9D2A-D8C995C329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FDEC02-AE0E-4027-84B7-FEC0AD54F2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77B996-AF49-4BA6-8F30-05B18A90EA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588A09-336E-46C3-8E16-5BD5BC09D0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A6152E-6881-41A7-9EB6-329BC8C3C7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3E8FC-49B3-44E9-A942-8FF92191D7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D22E01-D671-4A16-9357-129459F34E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864AD-683E-48F5-B372-B61E65926F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8B100D-62C7-44C4-A631-15BD6BA5F5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522056-C793-42A5-AC98-AFA97F4D66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E963B6-AF0D-434C-8C2E-6D2B4C9AEC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27B30D-0CC1-49A0-A7EF-002F86464A1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68DB78-651D-4B30-BED2-D0E60667FC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465D14-637F-4AD9-909C-22C50798B7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D9AF73-6ACD-491E-A8BB-6AE80D33E2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F993E7-28D9-43BB-9F09-B770B1C0237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3EF1E0-116A-4D9F-A998-05E1A97858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F9AF97-0BA8-4492-8B3D-22F5D1F7CB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647F19-F9B8-4E4C-86FA-3387E4486C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1D0818-4750-476F-BDD5-EA97140D9C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48FD0B-F3DD-429E-8C17-FD19FC8629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EDEE44-BE40-422C-9FE9-A0C8A2C79E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149DB6-2404-49CF-AA79-A4D21D267B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FA87FA-D51F-4D7F-8374-A47426E732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0DE247-4DAF-48B3-89C9-4210D47E5CE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4A2EBE-B4AD-445F-8E7C-0F4C1E299E7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7046B3-770B-49C5-B49C-7F6CDF8C68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C14427-742D-4E6C-A345-16A4A6C4F0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824B96-2E7E-42F7-A2B9-38F3F8BDB5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4F7C2F-A7CD-47EC-AE3E-6B1250E97B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4B2147-CDAD-4D8B-9F41-204BED8105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AE98F9-83B1-439D-BC6B-1632BCB5A5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2BDA29-32AC-4E97-9EB9-27565213F4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308086-B8AD-45A4-B763-1818F2C762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9CEC65-F6DA-4A43-B1E8-2A3F65FE22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3AA48-6B4A-47DB-BCAE-275990AE7F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ECD7B-1994-4579-90C3-AAA3469EEF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098113-EE50-4790-AE81-0213C85584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64B55A-03A9-4D4E-98E3-7B8A7FFCF8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BB80CC-D738-4F5E-9F50-841FAAA53E5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96E0DD-2B01-47F5-AF55-B988A4D669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3F9524-B8D7-40D1-A54E-A918378D18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617AFA-4CDD-4E2E-92D4-3EA41DFD093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18D860-D949-4412-97EA-C3C01319E6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D23E3C-992A-41A7-9E4F-80D7E16441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CBCFE0-826F-4A0D-A39A-800485F749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9FE772-9D9E-4E1D-979D-F9438788C5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C7975F-13E4-44BD-822C-18FB06EDA5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79CC29-8113-48C5-9C3D-42D2EF775A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B5F0B0-EC9E-418A-A2B4-755693E571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1587D4-A892-406B-8149-DB4F718461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5B490D-A065-4D9C-9E11-C694F6EE19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6EC176-38C6-467C-A185-09B110D74E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1BC234-F5C8-4820-94BA-44E0C65F1D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3FF77B-6D66-48DE-A42B-9F6885FDD0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9F4C59-9E4E-4934-BAE1-007279C1D3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A8BE69-99F0-4E06-8E2D-B3FD5635932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420F67-037B-442B-B643-8BF1F71121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2753DC-76A8-4401-8ADA-D8E1C5BFB6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8F6526-B6F4-45D2-9F51-26FDD3859C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E41A50-F3A1-400D-8572-4BE0071F20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53FA1B-93AA-4422-9F50-6D385DA011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332F4A-2E6A-4E6C-BB66-F5092078B6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672538-D33D-4C5D-BFC0-2FEDCC2388B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F73429-8357-4F44-A165-4DCFDEE09C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E6864D-BD9C-4A54-AED9-F47A4D9742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6F1388-CE00-4DDF-B4F5-4C01738350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BAF04-37BB-4F7E-88F9-C33F71ED10E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72B0E7-F135-4545-B70F-365222BF5C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5CEA1B-3C34-4A02-8BB8-26A66C690C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BE9B34-05D7-4592-B8BF-7CCC7F1E84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17C2BA-C1EC-4504-B3DE-AEBC98AC89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A730D6-0E1E-4929-A2CA-7585CBF86D4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AB37BF-9CA8-45C2-8A54-5D75DAB957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986E6-5CF5-4EC0-A84C-558F971A9FD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53A624-C3FF-4CAE-AD9F-A994110776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98F0B-64A4-4A24-94C0-1EF0550C4E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E5E657-1408-4D47-8FEF-B068FD94B6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D3CDC4-C771-4CBD-B816-FAC2801C19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427D14-B7ED-4BC9-A5A9-462FE794B0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639CBE-E039-4EA2-99DA-FF9915D29C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6CFC07-CE8C-4D41-950A-5F4619EE4E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869778-7A94-4FF4-9AB5-8AA10BA6EC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54052E-81B9-476E-A517-1EAA73B91A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CB90BF-4C14-484D-A44B-68B479ED0F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A2AAC8-6FE9-4DCE-9787-ABD5B5037ED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E794CE-D130-4E89-A806-23ED38D6DF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D20E67-2337-4E74-B6B4-82A41FDF1F0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B6A2C7-2AA2-48D2-93CB-58F315ACE3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D64188-ECA0-4F27-A6FF-F5EDAE1180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EA3D0F-636F-4D76-BC5B-E71B2878F3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F59A3E-A5AF-4557-829E-CD5332ACBD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5D9AB9-7997-4C05-B95D-AA3BD3ABB1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5C8BF-D3FB-4436-9684-C7D7A75591C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044CB0-27CC-4D21-B04B-FC05D85504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782E49-4138-43B8-A245-BC4EF6B4621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278D1E-E1BB-4930-8E7F-3163BF1572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1E9FBC-ABE1-457E-8D0E-1842BB19F4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240BA9-C87C-4351-A08D-59A08A3AEA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D9475C-1AFA-4B92-A084-8A7BD6E8397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4B2B85-A925-4B9D-8550-65555F61D8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7BE25F-B28B-45EB-A455-6FDC0F6514E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A9B00-7044-46B4-A196-D9D48DCF5AC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B9C437-CCF8-4A1F-A0F6-723A68A0F0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99F85A-5789-41AA-AF1C-CCCD84344F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09CE17-E268-4329-9050-826C9A3BFA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045F8B-307D-47D0-B0DD-597C85ECE91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C6265F-F6FB-4BC1-92C0-710505AF0F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A0BD41-AAA8-40AE-9156-8B469F04D5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C6E8AC-29FE-480E-A846-81DD9AAEC7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58D38D-6595-4589-B6A0-5E875F4B7A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3DDDEC-59F9-4203-90CD-5DD84F6704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CB844F-1D33-49A0-8395-6ED716BDCE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AB7C80-E706-4A1A-8A70-336ADBCD86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A7BC4-EBCA-4A58-B3B6-5A36C7F348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9C6FC-B112-42BC-81C9-1CDCDEE4817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F6DF25-8B04-4AC1-B38A-1D2DE19489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64DBB6-EF01-483A-BA73-AEB1BA91B6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44C4F1-1ACC-401A-841E-58BA98187C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D28C50-B13E-40C6-B7DC-48B2A74EEB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BA54A3-E87D-4293-B45B-42CD3FC561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4762FE-B3C0-4D9F-803D-0DD7A4EE4C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C5A0EC-BC74-4F57-B3F1-1C762094603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E2F0ED-CDD9-45FC-9858-AB634F1D5F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EC8F6A-498D-40FC-8F90-6D25C5A513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721406-570C-42FF-AF57-7EB48F5ED66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3E9B35-00E8-46EF-8657-9946A1D767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268D27-1642-4D15-AB91-729F5E164D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9B350B-D4FA-4294-8FC6-03D8B1E944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08C5B9-9F67-4DD7-A62D-D104462542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62B8E-5FEE-4A60-B1F9-E03E8287DD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782C3-A8AD-416A-AFFF-94339A325B1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3B106F-BBE4-4869-8A6C-9E29FC0CCC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77C52E-AB90-418A-91A6-734AB9F1146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79FDDD-6F5D-464C-8BA6-83E64565A1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081A3F-5E1D-4768-96B3-4769EE42D3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12001-2A6D-4807-9B8A-B665F5E79CB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3CF906-802B-445E-90DE-8F8F742DF6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483597-4CDF-43F8-BE66-E9FBB446DC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C7C937-57B6-474B-B13D-BBDECCC2CD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7BB8DF-B86D-47DD-9A82-26E9CFEF2D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42DB94-AA43-4996-962D-8870A2BEB20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A4A5B6-AFE5-41AF-A1AC-F427C156875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DDBAA6-0DF3-404A-BE5D-1B67DCAA509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34795F-65C2-4E3B-8EB6-0207A6DD5D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079161-A867-42B7-8778-5B4391984F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3EB1E-83DE-4D2C-BDDD-1504D6740A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C7037-451A-4826-A2AD-F3BF50DAF6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340FE9-6DAF-4C01-BEBC-BB9A6F8151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BC7CB9-B0F1-4610-8EA6-3E1DB69EAB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BDE1A4-8EC8-4E62-A2BC-D91AB4C5E1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E75682-4F6D-42E6-A444-047D424266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73E410-71B3-4CDB-97E3-61B6E022E8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F8F5D-241A-43A3-ACDF-4FE9EA9EF1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BD42E-66AF-4CDD-90D3-EA4B33F362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F3CB1A-3B59-4537-A122-2A046F5A0E4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53DD93-28FE-46FE-92C8-D594C2A254C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110F40-F5F4-47D8-AE30-490AE672F5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9C9AB-A97F-4745-8662-0A80082952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8F70F-CD10-43A6-96AA-3CAA5557470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872AD8-6BA5-4EC6-832A-7D9B8207B5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E78AC6-0E1F-41C9-A663-AA4AAF65D5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1B36A0-8A09-4E33-B104-92C5897C65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CDE5A4-7AF2-437F-9148-26AF7BA0E3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2A12AB-0A70-4D7D-B95C-363634705E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5E4B9-F1ED-4B1C-AD93-7399D668A8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4D2F2C-D3E9-458C-A022-90A3D96E71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D1DBFC-0857-4123-9535-A3CDD63AB0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EA6752-4330-4F0A-A21B-E2AB9AB332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63C286-5634-473D-A8A2-18F56DF47F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B649E8-F6A0-4F2B-AB35-A6D13E0A9B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26FA8F-E54A-4A7C-9C65-141D106EF8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46DC0-AAA3-40AA-BE89-70FFD06E9D2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34569D-4A76-4C6C-8B5C-9953A7FBBB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9831C-9388-4CED-B8D2-E97B415212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8E3E03-958B-4AEA-81C6-07225264B0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EB99E-DFEC-4E30-8914-C5B0FD1AD3C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EAAF45-6BB9-415C-9EF2-700C5C04EF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16F4B-4D75-465C-A0BC-75F75EFA89D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CCF4C4-19C5-43FD-97CD-FA84B705CB2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182E3C-C851-4D8C-BB9B-7ABAE725B2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185A13-E4EE-4030-B94E-3AE5FABBD2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5E93F2-84DB-4C3E-8BE6-F2374CEDC6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77E612-EFCE-4ED1-B56D-BE8A6161BB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E9FACE-D8B1-4578-B65C-78BBE10BC57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FF1B29-54EA-4040-A7B9-6DBB809D37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C425B3-230E-4359-BB39-D1DCB3B932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9F8791-234D-4BB8-AB8E-A97621C06D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34D2A7-BBF2-45D8-A6D4-A24606FAA6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97BF3C-BF90-41DF-8313-AE6022A2BB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4A32E1-4CE7-4F8A-860C-25E81DA4E2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500C0C-BE85-4C5D-A5C7-155E04F4BE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1A8EEC-21C4-409E-B0FA-13BDF4E262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F72712-988F-4E94-B986-90F0F3E5BE5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ADFC9F-7716-412B-A5AC-3C29444C951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8C6CF3-F86D-4EA1-A371-22100766F5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4F79D0-7AB5-48D8-BFDD-FB32CACD6B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D69921-99D6-4102-BE44-21442296BC3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A3AC42-2229-41F7-8C7B-D29E6B2718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9F479C-5D3B-4BFB-9429-7A31B8604E9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7652BD-3745-483E-9AD1-11591A2769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D35D22-4EA4-4936-B721-6F1DF2C0EE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11EBE-F5EB-4D7C-A869-2A0AECDB2E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6B97A-E793-412E-B0D9-565ADE0392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935FEC-037C-44F7-BC94-A4A84D206E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45A87-742B-48D1-A532-74C2D8840E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C9A636-95F7-4DE9-96FB-B8A371BA1F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81F897-6BCF-4B43-9D7D-F6A2EC2086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95042B-1117-4192-8D05-4015A452E7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41F2E4-C905-46B7-95A4-8E191E5D59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6604FC-8EC7-4FE6-9E38-91CA982E6E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A6536-348E-4095-AC2B-C4F4F322B0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08A997-B785-4D70-85F5-F5AC8A6B73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29EAC0-FA18-4430-A0CE-97BAE16514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3F2112-A72A-4385-99DC-B6956F3E33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0246B7-CB9D-4C69-84D1-742D809ED0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05E09F-585E-4672-99A4-79940CD455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034132-8F16-4CD2-8314-480F9F0DEE0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83862D-FA31-4A04-AC14-CC0F0D93EB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1FE4B8-7667-42DF-9027-2460DCCCA0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9FA1B3-7943-4D0C-8287-B7D5AF5470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ECE212-80E1-4EAA-B803-94015DE201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2220E3-0179-4698-BD51-DBB27B2102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C176F5-997F-4E23-B7DD-A3F35C2D3D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B3ED48-3081-4E36-B03F-55431F5809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1B1527-5CC2-4D01-B6B6-F24D3DCE06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2A92E9-E8C9-4093-9A4A-070374D5DF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594567-1DFB-4EF7-8071-664A42C56F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1EB348-9EA6-468E-8908-98CB95044AA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532F3-C736-49FC-9B02-9E36165DA1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B0A88F-5999-4DF0-83FC-E048A328F2C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26415D-EDDD-4563-9F06-EB46F56721A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D6F103-B631-49BD-AF1C-D18154F7A1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CDF938-7D83-4815-8B80-98CBA38904F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DA0428-16BB-4A46-9216-D4BC5EB41A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91BCB-104C-4B30-B5E0-EC9BF47A4E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9CF10E-88F8-4595-8ACC-A9F82370938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FF8C40-9E7C-404D-A308-D513E597BF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5E60CC-A88C-4C1E-882A-92443A6A155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E30102-3C22-4EF6-B947-A7106668C7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BA520-5E5E-4E9D-9805-84339A1946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2E4DAD-8A62-4053-86C1-6FC4C06066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DAFC03-CFB3-4F61-A88F-FAF889AA49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A352EA-D9EA-413D-BF6F-68FA6570C0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81219D-0CE9-48DE-BBE5-E4AAC277FE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CB1147-2FA9-4CEF-9A9F-E21EA8BE45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7035E-F1C6-44E0-87E0-A50B1E46B9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2ADA98-2D74-46ED-9E1E-85963291BE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15D4EE-63FB-41D1-A60B-36CBD9716B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B3B3BB-38C5-4CA5-843A-43A46F89D0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42AAC1-E918-40D7-9C7A-93F66030BD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844FFE-6F10-4C3F-9442-8F889F017A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CC11D9-5C18-4B42-8490-75978ED025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B2042C-9B07-49D8-B544-6F46777097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81D1AF-18D9-4D37-AD4F-AD9F860B24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C3F3ED-C278-47DC-88C7-AF6DD11614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189AC1-084F-4544-B4A4-B1A4533D4B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4FE6C0-C8B0-4775-9914-78DD201A96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3796CE-27F2-4112-923D-E4831BF813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423DDF-7753-4C65-A18B-7A7424AA9D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06BF40-83B0-4035-A0BB-2EB0026ACF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111855-8A3B-4CDF-A522-F422E719AE3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54F19B-7775-4898-99AD-509E6E72ED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213442-A732-4532-8BFC-AA4B4C3AEF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71F622-92F9-40A4-A4A3-D647A5D550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CFEC64-7761-4AB0-AE2B-D7FB1D804F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A6B1F1-3C05-4338-BDB6-2B39205D057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C539F-0FBF-45FB-9864-955AB0D112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C63F88-B5D9-4D08-8B29-A8F676CFC4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6D897C-0C52-4625-97FF-B069E3B8A6A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AB6F97-8685-4AD5-B4D9-B3B5CF6C3B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F13E6A-514B-4AC0-989A-4159D7F844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E5F894-1DC0-4469-80BE-E949DE418CA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AD5E63-4129-4C0D-81D7-FA058E4E89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2E7FC6-4D4C-40A7-843C-6E7174BFF5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EE6555-8B6C-4B81-81D5-1AD1C2BC9F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2D88AF-195A-4972-8A9C-4C371086FE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965FD3-DA10-4AC1-889A-556281ED51B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EBD8B7-2C15-4AD2-ADFA-8E453DC79F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F492EF-5591-4598-99BE-6143DF75A9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123ECA-2485-4A4B-823D-B141128A349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35980B-2CB3-4337-93AB-73DCD1BD91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986FB-2C5E-4DEA-90E5-9D07AE1289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5EAB48-512D-4151-A326-E101AD48C1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2E7393-3907-4452-8F02-8B322B5DF1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007CD5-0134-4600-A9BA-01C37B2432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5A88C-C978-41BF-AB96-D408B8CF98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E6C831-8A92-423F-9E09-C9E9EB7818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065D6-A759-498E-ADF6-84C8C53831D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04109-605F-4DEA-A524-BAB57E973A1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AB5A9-387F-469C-B8DC-1C6893D67A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3F3DB5-92BB-4FE4-A5F9-E2A26ADD10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166796-0045-459C-9A98-9BF5FC3EBC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8142BD-BEB4-43D9-A8F6-5E4F5312F6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2395FB-E9AC-4D46-9300-72B29E85FB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0A1677-4B73-4638-83E4-E2199CAF77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BAEDFC-56FC-468D-8FB9-F60FB91689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517448-EE92-45D5-A435-0741A5E16ED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E9431-74F8-47A5-AF68-04236A423A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4AE4A-407C-44CF-948B-10426B8852B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097973-3097-47F7-943A-4B96FEBC76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D69C4E-B5B6-431F-8E1B-7476F613AA4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212AB9-4A80-4F17-955C-1BC6AB978AA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246F1-9D2B-49A4-AB06-2B06A4F215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A3E267-49C5-4515-B447-5A001D3A6E8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0A23D7-2601-453C-877A-BFF3DD9CBB4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7703AC-1D76-4B40-9F07-2AC19E3962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1328BC-DB37-43CD-9052-3B99DE8E9F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34AC22-AE78-4942-9F6C-64CF06F9FF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1EB031-77AF-41B8-A417-5F5CE5467E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6C6604-812A-4375-BD71-DDCF3B4D27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AD4F3C-CAD4-4500-8088-0C1B3BB71B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157CA6-AFB8-444D-AC5C-084B5E0DB0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2C7457-2217-4165-955C-A91F1C1C44E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048DCD-AC57-42C6-BF11-33CDADC641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54925-D901-46AD-A79E-328F94E811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83C86C-5B5D-4EC6-9EA7-90A88F3612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61DF53-2CCA-47FF-9614-3E13296A8A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A0F7F1-C885-4AA1-9947-ACD76F488A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8B2D12-3EF1-43E1-8DFD-FB279076A7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3B802C-DE9A-44AB-B68F-51B7A1FAD79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090132-E079-4B87-BB2D-AD22E4D627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A7D7C6-103E-4EEF-9C75-3760E275E9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D628F-2D6B-4410-945B-DA90C96526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D4850-3F9D-4A77-BC51-47BA958F43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90BC30-FA44-4498-8C01-7DD0C18CA6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F21CD7-15DF-435E-AF41-4AA8A68396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77A9ED-FD7F-495B-A52E-D6D3040E60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7D4563-1B6E-4272-A8B3-2693B5130C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F60F15-CE5C-4906-9CB4-F40ED6ADFA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1E22C4-F36B-4BDA-8722-52D86A2AF2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323D9-AB6B-4B71-A5CA-E71DA36EFC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DCA9FF-EBC0-4042-8379-5E2E60BE42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12FA29-7C8E-42A3-A75D-A468C8B734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AF8590-65A4-41A5-B704-D0D3ECA9823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0970AA-04B9-4E0B-927E-4A2A72A9D72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23DF6E-DD3C-4A41-AFB6-845C927E737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D22D8E-9F1E-4C2B-AD6F-644052E8E7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FCE114-961B-4AE5-A260-4509773644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18C1C2-9C94-4066-B93D-FECF7552A4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596EAC-538B-45E8-86F8-784E298850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022B3D-E110-436D-BE21-970AE851B4E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8263AE-AFB7-4C10-8582-A8380C063D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F15A23-B6BA-4367-B698-84D91C99B1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7265D-9907-47AA-8C22-E719CAF2E9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8FE11E-73AF-41CE-BEAE-7B721AA41B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E41147-8C6C-4E12-8689-EF51E51989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E6F067-9AC9-46D3-A0D8-95FC381801E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045DED-C517-45A9-A449-E048B0884F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0BBA37-7AAB-4587-977F-121C8C673DF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AFC019-BE86-4049-9F87-8B6FE56F70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995806-DBB1-4E59-8970-6037912D3AF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13A424-AE97-4EEB-96A9-B1D5C827E93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621AC4-ABC4-4D91-A91B-3671F2BAEA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6CE948-D8F1-4151-A2EE-8A8C9B1E5E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3DFBEA-DE31-4B59-86CC-7432FCA1D4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D22E28-E288-43EE-8B35-3EDC48D433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DE0A38-FB7B-4C25-95B4-FCE9DF7A9C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DE08E9-5D9E-40D3-BEDB-EDB5D0B722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D7BE77-34B3-4DEC-8328-980BE005BB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E8E03-EBC7-4609-8CBB-39713DC4E8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1192B-970E-4CA1-9987-47DE58DB64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D76137-FC13-462F-B2BC-47CF13622F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A566D1-8163-497C-8F22-3F4BE3FD4A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CDA949-2DD5-44A6-94A2-4B2675326B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D25C14-1B90-49EA-8FC0-0ED3CEB704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E168C-7B5A-4F36-9F7C-914F0EBD43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E0B2B2-C8D0-44E8-9133-5B4347734C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840C51-663E-44E8-93FF-B926976117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8E7F4F-35E6-4979-B9AA-0D8AE0E69A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E0C757-A78B-4ECC-B3F2-7EF2FF6ECF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1F2CBE-27B3-4268-B559-1A8E622840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61E05F-F6F7-4096-8ABF-14740CC649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257057-07C4-4035-BD3F-61AA17E0C0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EE5FDB-732E-4CF5-96E8-9CA8EAD3518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B37A6E-C0FC-4C3D-94FD-520E663E59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B586AE-590E-46A5-974F-3F1D941818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7521B5-CED6-4230-936A-0D4F7B8C10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FC8621-6950-4165-8EBD-9215BE55D3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5CC834-232D-4318-86D0-CF66E5BABB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51E9D5-879B-4098-8A11-CF3BBD8B62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42A380-DE05-4658-B69A-C7A401DA2F3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9D96E0-5653-4888-B96E-39E53C3DD7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FC8445-8B3C-435B-9D03-24314FE260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D455D3-94EB-418A-983A-219456BFCC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1E6041-E774-46C4-8120-95ECF5519C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AB5B12-095C-467E-AC88-49F810EF324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5A82C6-6B07-4524-8BAF-708656A7A1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2A09A1-CA62-4285-B87C-7798427470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06679B-33D0-4006-ADD7-87D7D23313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6E1553-2FD2-4464-8BEB-4E5F8C4B310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EC899F-C645-46FC-9261-AD59ACEC0A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07D7D6-2750-4FC4-86F9-D6493835D6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E39996-0C9F-4398-AD39-4947234E44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54257-38CC-4D37-BC8E-0BACDA6AC2D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E1A002-B200-4D06-B5FD-DFA12A1CAB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12D47E-8B78-46B6-BDAD-AF2BFE9200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69FAD1-8455-4DD2-8297-144C4744518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17B871-71EB-42A1-89A6-F9EB654123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B06688-82E8-45D6-B595-E6A0612B5F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2F50DF-BAA7-4A11-AAFA-F1D82A26D0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D1AA62-EF08-4FAA-B3CB-48071C9824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E0549-EB3C-485C-8F8E-B8E83FE7D5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74A6E2-5B64-4354-822A-3BC40DEA96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BD4F52-2CE8-4422-9985-2AA1B499B5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73DE89-EE5D-48D3-A448-EF02D12D982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9658B4-37CE-4C49-8D74-FB4F5F938A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E01C97-34A8-451C-88E2-80C0E09E7D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E75EB6-6460-4305-995A-F84363D71DB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D6EC4F-41C1-4D87-AD88-E01E85E6132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112842-D17E-4D6F-8DE2-2D31C58CC35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4C08F4-8702-462C-982F-C8E344E312D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7F0159-0CA9-4840-8C9E-973E41C499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0CC54-6C44-4853-BB76-E21B46F195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919EE7-C6C0-4B80-B973-D9F9F4AE01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685CC-0795-4A2A-8EC6-9F9D1A32ED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7CAB00-5E35-4F5A-95E2-04883635E55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8F41F1-2050-4841-9A67-0449B91A0B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D7735F-3991-4444-82DE-214D6365AE9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51A800-22E7-4B1E-8F32-A2CE73FBC9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F51464-C125-4E21-878D-AD6B02920F5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6A143C-24E0-4607-8A6E-4CE8BA77F5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2202B9-0F17-469B-B62C-7756C6C83B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56CC18-7FC6-4ECD-BC01-F8684982C68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977C60-6664-4A3C-80AD-EF679C1C13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A7DC9-DA17-4AB2-8587-57417E6AAD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DCB0BC-2C7C-48E9-987A-40D3A0ECE1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F64A6E-49F1-4330-BE6A-B712061585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D3588F-F33C-4F25-A5D1-6CF357F240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DD855-04A9-470E-A79F-D2C80923E3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077969-ECE6-4918-902A-75A32D5D21D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572B10-9209-4056-BFE9-A38B2D2AEA9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DE4FF-1E9A-4F65-ACC8-9023366CB5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CA733B-712A-4129-A0A7-3F329ACB8A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C48D8-887C-4701-A699-E0C24EDADF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BC84DA-4E51-4207-AEC6-6068042FFF2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5C3F4-2430-452A-B05C-E798FD19BA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E275EE-73A9-4511-9B02-8F5C383EBC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47EFD8-EDE1-4C80-B825-4AF018174A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2E190F-58AE-462C-86E5-DE05DB9DD9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8C5B17-FAAD-4D5A-B7F9-F3A58AD16A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FEC1E1-418A-4C10-9F1F-D020993B9F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FE7398-7823-44D4-9D6F-D0FEDBE2CF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F8E975-456F-42D2-A769-2D2717BA05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A24BB8-9FED-4DA4-A5CD-D7578F6969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A73D21-C32F-4995-B335-8C06458FB9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50E69-ED08-43B9-9856-25038F2F4A9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05391-A6C4-4D93-8B7D-BCB51286D1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D6CED6-744D-45F8-AC0E-B2E17CA5BF7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1EDA55-B615-4AB1-B1BD-4ED3EC4758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C76165-68AC-430B-913D-89A6A66299D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80C2BA-3512-421D-8610-986147CBFC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D7C1BE-A158-4494-A434-A12FFD273A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C05DE3-E997-455E-9BF6-6CFD0FCCD5E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A7E872-8088-4FB3-B255-239697617CC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A6B22-CFB1-49E5-8D6F-8BFC67F964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6FDD5E-446B-46B4-A62D-4BF7915B3E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C34F3-470B-4EB8-8279-B969580518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30B5CB-A395-45E8-A88C-0622B52908D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3D0051-5B24-4179-BF6B-C1CBFBE6B9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4CC99B-1353-4EEF-AE20-00DF85F390E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593185-AAE0-4AF7-BC72-3AAD7B5BAE4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DE9C9B-58EA-4369-B4D8-E54E70C089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810279-F45C-444C-8E80-BFF87C3169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9D75F4-1E30-4CFD-99A0-FA1A53AA869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7CEA8-583A-47B8-8BBA-4C57FEC248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1C0BBE-5270-4F5B-B265-3C74EB10D6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430860-0136-46C2-B21A-537BEBEEF5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25985B-BFD0-4981-8B51-D9718D8F48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EEBB68-411A-4F2F-94EF-14094A4821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16C43F-6407-46B8-880A-AF8DC87115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F20A10-C098-4BB7-9E2B-1381BAF4E1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FBB272-BAB7-4BE5-8B0F-66DD83443F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12D330-D5FA-4039-ADD9-94517A9835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0DA259-6AFA-4A0A-92C7-A93430BB02A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275797-CD59-47FB-B8C4-21AE4BDA21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0F5606-968D-4A61-A0FE-2926265CC9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4C5E62-21F4-4899-AA20-80173DB4937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0B7149-C351-418B-910B-7A8475DC47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A12835-C3F6-4D12-A2BF-D9CB03F562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E0CB49-6C35-4838-B4EF-D27FE5C2DE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DDA40-CBC9-4411-82BA-D45B5996E9A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0B6E31-3EE2-4F90-A8A9-4CA44A286F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2FDEDE-AE6E-41A0-9A19-A8CBC856E2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7D019-3119-4A6C-9BAC-DB54900A6FD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55F47D-6BF4-48F8-B941-836446F3AD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774C80-5A85-48D3-9C59-1293BF0A54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5C6FBD-DFC1-4874-A1B7-953ABB67D7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3965EB-1299-43AB-832A-0EA42C7CC6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C1ABC1-BDE2-4B65-8570-A04E5FCD193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26CC14-271C-4E17-A582-0579FF9AFB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A86A22-B278-424F-83A1-8CEA1B7CC4C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910AC8-1543-4C52-8BBB-ED101AA29A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B44638-21F1-42F2-A074-E2860448B3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84CBC2-3CB2-49D9-9E94-5D8C160B893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D19ACD-9AC8-4C97-941F-51C4C03C87C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6A1979-FEA7-4AB2-AF53-B9A6DA1931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4B9ED-1562-415E-82E5-AD92FA2F53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F4BF73-45A4-4B48-B2B7-D70A794984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E1D16-74FC-4705-B43A-B541398A0F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7DA21F-3114-4092-9C59-757432180C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686EA7-6C59-473F-95F6-59934CDD71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610C0D-13F1-4B71-9C2B-D3AFBD23F6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E6F139-C395-43E8-BC65-F0CFDD49F9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DD3E46-BF75-4E68-AF1F-9AA41204B4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3A1B67-8FE9-4154-AA73-495F73CED94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AB952-44B7-44E3-B548-F081840D9A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9B8681-74F4-4A95-A7AD-C576F1BA7D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767DE9-7CD6-4ED2-AB7B-9D9F9CAE52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D113C5-7370-47FC-8E9A-37EF280B3DE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1822E-945F-4927-B9A1-7DE540B6B33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6EFA09-7B40-491B-BCB6-5672E2EDEC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179C2-ED00-465C-A550-B9F0920656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AF9366-5348-4F05-9FAE-369B155497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3EA5C-218A-40DC-A1E5-D93905E4EF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AEA0C5-B3E2-483F-8397-4ADA18C075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952911-36D3-42CE-A4AA-AA00143D03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383F4F-E6A3-4109-846D-8ACB8C7681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CA8665-2C0C-41F2-890E-5679E280AB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8D64A2-2AD5-49A2-B997-3EB7DF3286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6AC001-537E-4FA8-82FB-96848BE2C1A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6FF87D-1D64-44CF-A57D-7E8766FA4C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E762B0-6885-41EA-81B3-4E97FC44F9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372CD0-67EB-428F-932F-FADCB65EA0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799D18-9278-4030-B981-5BF850B6C2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E12198-44C9-45D7-8FDE-90F1F5CA21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F39BF-8638-49B8-A693-9A33B85184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D6F8B1-B10A-4C4C-9E93-E0E697026F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DA82D3-27B0-4B30-9764-6BB0FA6128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C2EE15-6E29-42C3-932E-E57229B55A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6437F-ED3D-4514-A106-304660A055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55D40C-C56B-429B-80C7-FF11134FB1F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16A321-A178-433B-A5CE-64ACBAD61EB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95B160-6D61-4AA4-B14B-DAFA00D031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8771E9-4986-49DD-A013-0A754CE4B28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950F92-147F-4789-B525-E8163AB1473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699D64-46AB-4556-BDEB-7FA27FBCE0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EE5821-628B-4259-86B7-2B7BE79A38E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33BD00-8F29-4A66-B899-D153E3C0C72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4F4D87-3457-41C1-BB7E-9B93BB6A00F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2BE978-C345-49BC-A293-E00F1CF3A10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A805C9-00C2-4EC7-B190-AE50317C97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E9CF2D-E00B-4214-A58D-EF071B5E9D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9ED3EE-9ED5-482A-9D18-8E834423F13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055A2B-3907-46BD-839E-28A359CBA4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2A3D3-45B5-4E53-AB6C-409BBCC355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E8EFEB-BE6F-4F9F-AB7B-29DCFD3B9C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0D4316-B374-4B85-8B42-FCE0AEEE51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E7529F-B8FA-48DF-9D1F-C07BBBF833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3B8A1E-232B-4DA5-AB4C-5A346C74F8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97346B-C047-4FD6-9A07-659A3554AB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B321A9-A042-4A7B-B290-D586332AD6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6E5587-0F87-4546-BC2C-377335A0B2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8A455-54CC-47E4-8791-016EF15DFF6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35674D-E056-438E-8F4A-347CD801A96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190E47-26B0-4301-B6AC-86367E44FC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A65270-2BBF-49D4-9476-A3D0AB5AA2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4991A8-210C-43FF-A845-6107137600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36A90-9B7B-4E90-997D-6AD636DE61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EC0321-4571-4B94-A2D4-8B04748613F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C750BC-957A-4A86-8D23-6E6674EC5E4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DB1A56-F165-49E0-AE4F-EF67BEA0E4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7047E5-25FF-4831-98E7-16ADEADFC4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FEA108-ACDC-4A38-AAD6-EF7A07F27F6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2676A7-632E-4D40-A000-91E55C9EF9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71970A-11F3-4284-819B-7B9B734876B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F71858-0780-42C3-89A7-1615A0D9C0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808920-DCEB-440B-B77F-F4928BCD7EF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9C9B09-342C-45F0-A54A-CBF6E1DE7AD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3B83BB-4209-4FF2-ADC9-3ACB43E14F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A0FECF-F2D5-456C-8BE8-D04AB57375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754E22-C13D-4C01-9ACD-8AF391440B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311901-5E92-4A58-B8BC-0383A307DEB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4B4B4F-FF8D-4798-887B-FFC93B0F72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886BC-B547-4EDB-978E-8BBD5C1DE3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9420B1-BEBF-4FA6-BBA0-53262D56E77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ED4CA2-8FB0-4F98-AD60-A5F340A4BD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0067BD-D584-4963-AFF4-962DE7F3569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D099B5-BA2B-474E-AE74-FDE40EF7AA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CA4C9-E3F5-4303-872B-4AC45C3998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EFF68C-5FFF-449B-BC5F-B3306AFF5D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4A99D2-58EE-4BB8-9B8B-7A2169EF6A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803A8-984E-4E8F-9595-2979C2E0ED2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08031F-9EEA-41EB-82AA-938FD24257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F533E8-E95C-45F9-83E4-B7EA055402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D69AEA-B61E-4668-974C-3EBA5CF750B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2D6B33-9C8D-46BD-8D75-52AF69A6CE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38FE0C-619D-4A08-87FB-2C9013A50F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5F61AA-8B76-404B-9E5D-EB8F18C297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386DB1-6CCA-4040-8DEF-C64FB93C72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AB2474-97E6-4593-84D3-E540AA03F0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86981-16FA-4140-A7A5-7D7B8BF55C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345F75-A123-4B67-8935-F9197D174C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AA93A4-BF13-4EB4-A8B3-DE98A5E6E75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964706-3B6E-4ABB-949F-BBB14E558C0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DFF064-35F1-452D-A736-8951BA2F77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FD6BA4-9DC2-46FF-97FD-14970223E6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997DD2-F9E5-4EC6-BC2A-621D7C49ACE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FECE13-71B9-4C68-B80A-F4C7B069A7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DDA38-AD0D-449D-8F6D-90D6938E64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6DD6FB-4E50-4974-8236-A0ACE7811D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AFCD66-21D4-473A-BF11-000AED4A121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5452BF-A913-4E3A-A3CF-3CC96BF94D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734994-73AA-4FB3-9374-7F5B18F1AC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17B6E6-4590-4528-9D00-449826DC10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87B306-560C-43AB-8145-9A546084E47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20FE40-66D1-42E2-9C64-6FEE0037B1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79E2F2-4DB9-4FF8-A1F0-02CBDAA9762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483996-D255-4233-BC93-5DEBDCBD53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B88891-022E-4E6C-A90B-EF0581922F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26ECE9-8DCD-4611-B522-5B5F509F8BE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FB1E82-AE98-4DF5-98E7-4FFAB293D8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01B008-DE79-4164-9AE1-598EDE8460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8BC0E9-955C-448B-B1C9-9476881A41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57023C-5C1C-490A-AE23-1E5F542882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B5499D-A121-4065-8F90-6653F4D23C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929091-5CEC-4270-B474-8DCFEE00D7A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37306-0BE9-4577-B62F-F82D603E6DF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54574D-30CF-45A6-ABDF-63CAF35513A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098A34-52FF-4E99-870D-C99F45F7B2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D387D5-931B-4BB4-8B5F-F19E481BD6D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89E4D2-40A7-41C0-8790-68CCCE8C43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89A781-3D81-41CF-94DA-A5C5383965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DB41D9-C05F-462D-B848-0F5FAAF026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382FAC-40F9-4A05-8DE7-A5B9F9FC835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254BF3-6E06-44B9-8C27-0E0BE9190E5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D1B09E-A083-4365-9D53-0D74BFEFFF1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D1EBF3-1974-4A17-ADAA-B91577B91BC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CE9C1C-AD19-4C44-9996-2B60B1833C8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DCE92B-6D91-48CA-B820-4EC5A71BFDD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2A7A2E-CD7A-4A5E-8824-AEB8D00081F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A32F8D-EA2E-4331-BDED-0F6E306469A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7827BE-21C7-42DD-8787-36A9AEF1EA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206A59-FB17-440D-851A-4CF98F69591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50452E-3403-42E8-8A6B-291F0FEAF43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F5DDB3-04A6-48AE-AC9C-2FA0F44690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A6186D-4149-4959-92E5-FA63833F09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713949-F500-473C-AA3B-E4B36DE9A86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D7856D-A49E-49B5-9299-E6BCF93C9E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ACAB9-2F06-4F01-B22B-19D1E9367CB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F302CC-69D2-4165-97BB-77176CF0F88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C67726-721F-4B57-B27E-BB60E74BA23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A8221-6554-400A-B558-5180F17F2C2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5B9781-33D4-4E4D-B91E-AECFCAD4A5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519D6B-F5D0-4B07-8CFB-B1B747B6AE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C44616-2598-4248-9304-B6ACED4E98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347F6-0970-43A3-92DB-870A1E4C4B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5BA2F0-1932-4326-9337-4CF7720D6ED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95E51C-DD63-48F9-9A33-FF87DA1738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2EE2E0-5ECB-45A0-AC20-49C00C133A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D68D0-80CC-4BF3-B54C-CF4CF5B5681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C06A54-8383-4E68-A9D8-920D20DE62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19CD57-1597-4AC9-817A-4B69261B061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60689A-0DCD-4DF5-99E1-E492E3954D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1FFD15-0DC1-454F-B260-28C73255DE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65A02-0C37-4057-86CD-22D2075B106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1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4F6B71-19E0-4040-8409-431E0A94350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D783E5-D508-4E00-8443-91FE561EEB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B3C48C-1167-4DC5-8D5E-216BDBC6614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5EC3E-3A22-4E68-A0D6-E30EB621A2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35564A-C178-4F9E-8D15-98E3484777B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436AB7-F805-4085-BD71-9AC88CD7846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E04271-808A-4486-87FE-4D2152FF7F1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074A93-B685-4A4D-8E48-5CD054D3435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F996E8-98D7-49C6-BEF2-C8E7046DCA4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86AB83-7C42-4D99-B9FE-DEC28CD5F64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15F956-0A49-468A-8387-D1B0B381A3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F18B83-C59B-4AA5-BF02-C340AEDB61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DFB472-50E6-48BF-94B9-6F3A9E3511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7D6E2C-0DEA-4765-AD49-497D31AD8D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98D5A2-9B28-4990-ABE5-D804A875ED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0ED169-FFF1-49F5-AA7A-011226511C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FE6B37-2674-4491-85DB-211FDEBF5A3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A3F5A1-4AB7-42EF-ADB7-7A36FC6E67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D508A6-6809-42D4-943F-892F8DFB990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67B13B-BD2D-4D4C-B5D4-1CAB157B884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4F89D-5E33-4878-989D-ADFD8C0CE4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166EC0-C50D-4945-BBFA-6F342E7C4AB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8D92E5-6E1C-4D1E-AC61-02EA604920B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A4CD8B-DADB-4A69-95C6-7C5139A0D9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7014D-9D5F-4A55-9960-F1697BF61F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17270A-3524-41B3-A4C5-3BC6CD51ECB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D15B5-DBC5-4986-A0A9-6ACC3C1EA2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8F92E-D2BF-47EA-92CB-9A8149C550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24649A-A25C-4CB5-94E4-816A5382297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7CFEE0-E705-4A94-B268-CC0E66A491E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AD4BA5-E342-4C17-8C08-5AFA43E6E6F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D17299-4B1A-42B4-947C-1D19087E329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5F14CF-682A-4D18-AC25-3CD34917D3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036691-37B1-4458-9998-416512CBE9C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ED2DF-AF96-483E-861F-15CC3C7D3C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3C7DC3-5E8E-428D-BEBE-968B431DEF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77C814-5BBC-4EC6-A034-54399FCB899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C6A52D-5E2E-4B21-9971-7441EC10B2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AA7E83-D17B-4474-BF4E-B6EF87A8940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E21A6F-FDE0-44A9-B194-33C60CE6AF7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C49780-4F93-4EA5-B63E-F3C293DF04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910172-D373-4DF5-A38F-A16D7678344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5E52EA-E1E4-48B8-BC38-DF3A4A74036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31073A-2FD8-4FE4-8532-60D501634AA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B3B926-2BF3-4FB8-9B23-99A0123F0E5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C07DB5-6092-4FFC-B19D-E435AF22576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63D44E-2F27-4EB3-B6A3-389C89B9CF5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E51C39-F1CC-4921-A968-47FA1D66620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24CFD4-2AAB-4B93-9443-684BE2DD60C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6221DA-B338-49F0-8323-A1139295E65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06C885-0EE1-4A55-8352-9FE7B81C0D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535FC3-C1FE-4F74-BFB4-2B163A900E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03427C-5E23-4D31-B6A6-AFE90E67B03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7792D5-1AE7-4CEF-89A3-23C76C700F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CEDD7C-02C4-4DC0-A9BC-3D15BBDBC6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FB633E-20B7-476A-83B0-7D044FBB0B1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649A8D-AEA2-4D74-B17B-ADEF25D89A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569D6A-24E0-43AE-A3EE-02D414B2983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A80AED-E2F8-4D65-AF50-48EAD5089D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29775-08D2-4856-BAC6-5977E0DA49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5067F4-7A45-4922-AFFB-9FDD46207C9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62EDE1-2437-440E-BC3B-7864F8DE51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5F5171-8533-461F-93AC-00F21EEED77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474580-3A30-469C-BA9A-8760A7DDBD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46902B-2F16-40EC-BFB4-32E255CD7A8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A9470E-40EE-468E-B7F3-2D8AB0DA821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F308F6-0F01-464D-8B15-35825974D1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328B0-B82A-40B2-BBE3-6C4F0180DE5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3CD99-CAF8-419E-A069-F8746DBA998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7E9733-1A24-4BCE-82B3-BB48D52B70C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B91A8C-959D-4741-93F2-D65A4908109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444CD0-50F9-4096-8B55-6534DA0B347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20EC7-4569-4BFE-A14B-FE765013856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CEB034-5734-410B-9C89-B6752AB734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3AB096-5611-4E4D-B6F8-622764C5CC4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424D3B-97F0-411E-A19F-E34F0640A16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78D9CC-DE3F-4276-BB7D-904B8DEAA7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493AEB-DFAD-4B6B-9DCA-90A2A236DF8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09D370-1F10-420A-B959-B4F738B180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F63CE0-DC2F-46F3-AC88-E210B84F578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62DBAB-B8E2-4DBD-831F-7C15F6EF59E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62D5E7-5D74-4F9D-BB02-1CD0CB7913F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99A828-884F-45B4-851D-9E0E5F4B43E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980D5E-E2EF-4A6B-8D49-F38002C165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8F4C1A-7381-48E8-9E4A-E1C754EE48F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C6725C-296C-44B5-8DB2-5D0AAD2C22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27CA03-27EC-48A8-8DA7-87D1E76869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22158-62C8-4571-9292-044986F9F5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3D4BA5-1786-4C33-89C3-8CD26CE0C37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51A392-82D8-4D57-BFB7-FFA9BF932A2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0CF6BB-14B0-459F-9D83-49AA92E9F0E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1E5A0C-2B3F-4634-BF48-AA860F393C6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085F3D-CB6A-4007-94BE-EAE25270BC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997C31-3CDD-4AE5-AE24-6ED29758137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355360-8B42-4F16-9ABC-F1FBADAE0AF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CC32AA-B384-42D7-B851-8156B7F98EF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4612ED-4B53-4BE9-B42E-6FAFB10DFA3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EADA6D-94D7-4A77-BCCC-FD582547F6E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9ED1D2-00FC-4CD7-BDFD-C8C4FC52DFB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D57DC2-F554-4382-9823-42BECC79C4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F9B5D3-DD26-4BAB-98D0-81BF189F2E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C6F2D5-02D3-44F1-827A-129E148E247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D0F6E8-179E-49CF-BCA5-7DD7B2EB16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EF0833-3D00-41C8-9D92-5EF46CFBAE0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1A73DF-DB5E-4CA0-A441-437066D9F5E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D21D9B-DEC7-4F36-8F67-419055AC373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D1180A-78A1-4B8E-BF46-30D2FF5F96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032BEB-162C-45D6-83D1-BE9129424DF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54F012-DD1F-4514-8E1F-B3EFD67FBB1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01DF14-3C71-4A1C-AF97-34BCA52957C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C1AFBF-9E16-43C1-B99E-4F02D4D0BD1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124A44-EB7C-445D-9078-2CDFEE2373F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AF6ACE-271E-456C-8496-EE4A2262D3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A5858B-E402-4550-87DC-8C48052CFB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0F7E08-DF45-45BA-B9D7-EEA89815D9A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EB93E0-B2D3-49DB-B89A-92AA0B9BE3B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DC58AB-7E39-4E7B-B4F1-F18C025AC76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5958CB-F6AA-415A-8E28-6B578278DB0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CC3F4B-F32A-4A31-B11D-B2D2BE23A8A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271423-3294-47D5-A682-9058673E559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3A4504-905B-480D-976F-7A3C46E9BD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ABA685-FE5C-46F3-930C-2BC64AD4821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4B119D-637C-4597-B49F-864C3FDB6CF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497B67-E2B8-4C47-BA6A-8E0F8F946F2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8D9179-9364-49C4-B4AC-DCA7B9A3A58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8C6561-1A28-45B0-AD5A-1D8DEF1C85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C3DD59-FEAB-4DD8-9553-021C2237202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1FB8EA-E348-4989-ADDE-83A9DE128C2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2FF87C-FDF0-4D7E-9DB2-8862CD0F83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77D63E-1C25-46E4-AF05-5F25025F1BF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0EC5F3-F472-403C-8FDD-EBF8452B5B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A49779-0532-4FDA-A49C-AAE5D03C7E2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052386-5B44-4334-8B1F-FC90C728D4B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1991E7-CB4B-4088-B7A8-8A0415A2890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1AE7C-3EB8-4309-A5B2-EF5BB1B3F57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86BDEF-B04C-44E1-A4FB-16D91A86759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89828B-CECA-42EB-B221-84350F4BAAE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406153-62D4-4399-976F-6FA503B6758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5B7771-A401-41F8-BE35-4E57E16CC72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3D1154-0619-4152-9760-F0EDA66623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C369F9-A1E9-4411-A677-85D33D3264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764F36-115C-4C8B-9B2A-FCB1729260A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FD2162-322E-4E7F-A569-B8B1434AA20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174718-2AA2-4085-B8B5-6078DD3B8ED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C7805F-A7AC-43E2-813D-08B034A8DD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5A9C6F-A3A9-4051-91A8-C46FB0CED3C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DEC089-1D01-4F6A-A4B4-7BC139B1F54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5D55FE-8EF0-4860-B26A-A3A18A576AB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FB342D-D018-468E-A803-6E6BA18BD2C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C7C089-7975-4DDF-8214-5DB4349DD4C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BE8E40-37D7-436E-9AD9-87A3BA31238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F09548-498E-43B6-9D8C-7584D4F65FE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9930D1-BA71-48C2-BCB1-1812822BA27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231B5D-25C5-4E45-B748-E14C73E8975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080598-E9BF-4C69-B059-424A8344B9D6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CE8151-9159-49E9-8467-478D9032FF4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09D9F8-99C5-4790-A0FB-5C916B238ED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3B45A7-7DC0-4D13-9337-A83BC8A569E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D1C2C5-6CA8-4B6D-A88E-9BB7D6C0BD6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E92993-145A-420D-9924-E55630F6DA9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38CACD-9E2A-4B03-BF4D-24D6E07C788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D4DF4F-D9F3-4604-9B02-7108D2E6902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7CB05F-83A3-4314-B954-7EF5D766570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E53E17-E8F2-4693-85A3-CEB34ED1ED1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209E58-F4CF-441E-9A66-BFA4F6A41D3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8574FB-9804-4F88-9180-0B1FCF132D2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F906B4-AC37-45A3-AC8D-D317A6D9214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EA0B9F-4892-4A33-B849-7EA4437CFA1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270905-A596-425D-9581-150EC754B99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82187-19BE-4CC2-A816-0D8F4138DC4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4D3A6E-34B3-4CFE-9530-8C3CD26106B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637BEA-616A-4044-9CB0-1AF3A7B6BB3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3870CE-E740-4CFF-9353-604E093D2AB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41C54-4FFC-4863-BFF2-AEF3F2AA147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6BFA24-6CDC-4B59-B665-2C74C19CA53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867302-002F-4277-BEA1-46DE9775403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C50F36-9DCE-48C2-878F-4E97D9569F1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CE9628-966F-4CE7-8900-60E6B32A8C6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0A57DC-F8E6-4B76-B62B-74A42B34F6C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4D6F35-BC98-4BD1-BD19-713252FB9F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70B938-08B2-4F85-A28F-59457993A3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5A4624-ACDD-45FA-8FF5-2E0576F20F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925A78-327D-4504-A21F-9243CDC76B5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002563-F4DD-44A7-A24A-60A16F0DF39A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0FA7E4-81EF-4BC1-9C85-6BF09A58DF8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D656E9-818B-4DC8-BC85-E41FC7E2D94F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35F3FD-A50D-47AF-9C46-A97D3C6E668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129414-AFD1-4EAE-AE90-212BD2FD5B0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CC4800-040C-46ED-AC88-72CE39D4218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CA076-35D2-4657-A9D2-14AF6076A96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FD6155-386D-4785-8E3B-2A2268BA25D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70397B-144F-4381-AE40-0F9265DAD30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A16241-1599-47E8-B992-E1699BB9BE9E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1BFDB3-D07D-47DE-AFCF-96A800C4B45C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3FAEFE-6C61-4E11-A21D-7CF3837F9817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D07539-D40E-4D66-AE01-8F1DDDC8F469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B0B13C-21B9-4F38-8E4B-6C0E47A473A5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5E340E-F78B-478C-802E-E1551BF91828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6107C9-F091-44C2-9336-76F8CDCCAF52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E87144-3702-4087-808A-E5F27D7DEAA1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C99A68-9B20-4A3D-8E57-614A1F89D410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801B28-DAE4-4F9D-B79A-FE06826830D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D689DD-FD64-44D3-A2C3-091982255334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4C78DB-2545-4E63-9501-B70E9A9FB1F3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BE144C-B41E-4B36-86B9-7609F969E0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331168-953C-40C5-8704-67EA29E456AD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103</xdr:row>
      <xdr:rowOff>0</xdr:rowOff>
    </xdr:from>
    <xdr:ext cx="304800" cy="304800"/>
    <xdr:sp macro="" textlink="">
      <xdr:nvSpPr>
        <xdr:cNvPr id="2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A85436-B7D6-44C5-8BB6-799CAFB96DCB}"/>
            </a:ext>
          </a:extLst>
        </xdr:cNvPr>
        <xdr:cNvSpPr>
          <a:spLocks noChangeAspect="1" noChangeArrowheads="1"/>
        </xdr:cNvSpPr>
      </xdr:nvSpPr>
      <xdr:spPr bwMode="auto">
        <a:xfrm>
          <a:off x="613410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7810BB-1274-480D-9C27-40BF270DCDCC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6A6E2E-D68D-4950-A60E-6E165FBE5DF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34DF96-A1AE-4B24-9B7D-1B651B2CB873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84FB6-C81F-4237-9698-27067023671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7761EC-B056-4B5C-A945-AE26F1C9A941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5D4153-942C-4251-B859-78C21A31227B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4CDC1B-A9B7-4C43-AE65-E5E51DF6CB6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8E7E59-0FA5-41D9-9DA7-A11A91427CD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C1AFA8-1D79-46E9-B1DC-C9E0F615C7C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771CFA-4D50-479A-B0A9-BED0D2B854A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45A46-E081-4AE6-B4C5-D3CFF260798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B8242-A1CC-4586-87D5-2F58AB6650D4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6A040F-BC1C-448A-B79F-151127E84973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0F0DFC-073D-40FF-B248-C3E1CF4BAC79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CA8446-58BC-461C-A88C-042E23A292C1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A9A775-3358-47DA-B58D-2617A5553DF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3AA893-EF3F-436E-B048-D2B36F97141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24C4C8-F10E-425C-93D0-F5579D6B11A0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910FD2-5A48-4F67-9F4B-20F8C698308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A51170-8230-423E-85CB-D084B63AFC7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838EC3-E464-47D3-9160-04D50C787714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F546CF-EA75-462F-9C55-67D9DB0EF41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384061-ED59-46E8-A751-5AC79E9EF87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9449B0-4778-439C-A8A3-5B8703BE2A6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776C4B-CE06-4434-9412-32B76B4B93B3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15FB7E-89C7-459E-8E91-3EBD2DFEF30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523B11-55C8-474F-8F56-8DE072A3CD4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78DBEB-7181-4728-8836-386F3A0470F0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94943A-539A-453A-87C7-EC44DAFB95AD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E9DD34-AA77-4E2C-9C5B-38BA68CEDE1C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421A4A-796B-492A-A1ED-E6058D344A9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651078-8156-4A63-B64E-A7EA1192D36B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BDB330-3654-49F9-BE27-6B102E030716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0C0924-3B82-4489-84AD-59F0581DBE59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F6F6AD-F10A-41D0-BC3B-C5B3599018A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794237-37AC-4EF7-A1F1-8195126D579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09D17A-5044-4FD3-9E86-FC70AD06567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82D92D-7BBF-4932-906E-BA4D2472CEE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7A8349-758B-4EEF-8AF5-917E5F72A36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6739FE-1B50-4854-8F20-B3A98A99EF9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412B9B-7AF4-490A-9AB6-93887CE6CB0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E19C79-022D-4BCE-9BA7-A50053B5184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160C1C-2C1A-4AA3-897D-713DA1DD676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A3096C-B131-46CE-8E9B-2519733CA72D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B21994-4DDB-47FE-BD1B-6FAF2FB1209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7F60C-B518-45F9-A76E-B9B01E745926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32FD06-ADAE-4CF2-B859-4B29AD0F82E6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9C30AB-C0F4-4DCB-9154-8B24807C31C4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6427EB-0E5B-4728-8E93-DAFDD6C6CF5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B375A1-ACD0-481D-8493-F49548C54FF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4E6555-F0E5-4B6C-B25B-7FC1D46A5B5F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BC8592-CF6D-4149-9835-267591A1687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DF492-42DE-424D-8AEA-212E4EE6D75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C869A4-082F-497F-B820-480E7A3EEA98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A81EB5-B6DC-4E28-8690-B4086ED6D81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F0E7B4-4DA4-42C5-9C0C-10794E739A2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581527-EC3F-44FF-BAA4-10DF2EB874C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53145C-EE50-461C-BFEF-4BD182EF5896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CD005F-8389-48BC-86F8-908E5D35CB77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0DBBAC-5026-4751-8F5E-108C5C9C7FBC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9CE943-B14A-40D1-A9C2-5BB096BC59A1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F67380-4A9D-4E6E-9B78-28F4CEC5F17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13988B-6410-48D3-A7AD-5F103F742ED3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0C85A0-304B-476A-A3DB-C75CF3F9B504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6D332F-7989-41C0-B8C2-B167E6B4003C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63FA61-3B36-4ABE-8A92-6E84C7848D5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50EB6E-B921-4135-B9B5-5D47B0084092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5A787B-C582-4C10-ADD0-0295BEF0F1F4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668883-00BE-4B1F-AB7E-B0FF9BE3423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29D1C7-FB39-4DCD-AD30-ED7A0443E4F1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587B8A-3C37-4DA8-A492-5911E51603A0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66A6A6-3C97-4D78-8FB1-5F7E7F80AC8A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F88F2F-73B4-4484-8208-975CDB150D1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A7F817-62FB-4240-B140-90AFD61A151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81ED13-CC8E-40E4-A9A2-53D61B91E04B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6073FD-632F-4C9E-93FA-8AC58207E810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089958-5F56-43ED-8738-78FDA31A8F2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595EE9-D763-4CE8-82BB-31FDA990840D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A8D9AE-7356-4582-AEE3-CA2ACA0545FE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34</xdr:col>
      <xdr:colOff>0</xdr:colOff>
      <xdr:row>10</xdr:row>
      <xdr:rowOff>0</xdr:rowOff>
    </xdr:from>
    <xdr:ext cx="304800" cy="304800"/>
    <xdr:sp macro="" textlink="">
      <xdr:nvSpPr>
        <xdr:cNvPr id="2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F096D8-AD83-4463-A7E7-86E89B1A9905}"/>
            </a:ext>
          </a:extLst>
        </xdr:cNvPr>
        <xdr:cNvSpPr>
          <a:spLocks noChangeAspect="1" noChangeArrowheads="1"/>
        </xdr:cNvSpPr>
      </xdr:nvSpPr>
      <xdr:spPr bwMode="auto">
        <a:xfrm>
          <a:off x="15735300" y="38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F0D34E-28CF-4900-AD93-45CD9DD04E7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CD6575-D3D3-4CD6-AF1A-2A8E10AA4A7A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E63085-67F3-4144-8A8D-CF9B8D57212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7D8288-5AEF-4CF3-95E4-DF8100ABACD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39BFAF-EF8D-4DC2-B99E-82F8118A32C8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E640B0-2348-48F9-B8D3-81B1A3D5B77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70A998-1B92-440C-B3BE-B0BBF195AB5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4B19A7-4D2D-4B2F-A5BF-23354B2B410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8A98E9-5A66-4355-95EE-2EFF7AE424B4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1302B2-C89D-4A39-924C-C04E0235F54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19648C-64AC-47E4-96FC-29CE960FB90D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39D073-2542-4983-88CE-851185295C9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53CCE5-8412-4924-BF22-8578D5F4B52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7CC9D0-3804-48A7-AB94-BF7195492553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061EE3-4522-4205-A17A-1F4D4AFA30FD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40CA97-B154-4795-B230-CCFC8537BF4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1C7F17-4466-4EEA-9553-F8CE5DB0D44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48345F-F1F2-4851-8A42-55C2F9496BF9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72EFBA-C74F-42B1-A1FB-B040F922FB5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D73501-DACA-494D-8B7E-2612553D27BD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52FF9D-528B-4C49-AD2E-8A75E5432A0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9142C9-6DF7-4C04-9E1B-B9B6F55CC0B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5C9C28-0470-4442-8690-72A158B53F98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8CC5F9-F6A0-4F51-931C-D85446B3697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B19C25-B10C-4923-8BCB-655B3699BAD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F6D363-9B43-4464-9A1D-B15794AC8174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0209B-8C3F-4DE8-B3DD-3E7A58C12324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C5B844-7093-47CF-83DC-2FB41EF412A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F05572-3C6D-4BCF-9713-188D6F910F97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A7DBFD-83CE-4BFA-8ABD-0531D62936EB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DBD78A-1E3E-402B-9F7A-6A5DB2BB512A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BF81BB-E19F-4AAC-9607-B88849C7DA6B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B86166-8516-4924-8B12-59750060C2E5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C8CB55-7162-4476-8CB6-99E833FED539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368E3C-34D1-4464-95DD-FA9FA14E0F4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B34809-6E32-43FB-B913-434132B9C8B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F32D98-64AB-4CF8-9652-D468F9319DD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1FEBA3-0979-4F82-A761-9BF5E24C1866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EF6FEA-98D9-4960-BB28-007053AF2B5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5428B-EA39-4046-B1F6-EF62EC43CF98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711001-92B1-4EFC-84FC-5ABBB04E216A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B9CF2E-7C26-4251-B989-CC311B828F1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6765E-6476-496A-9DF2-CF3C2CFA98C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19F9A0-F5D1-484F-B943-4934643A2739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69E3DE-5EA6-4B4F-8DE8-82C0669862E9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74AE35-A237-4A2B-A9FE-BC699B3E723D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95E28E-78CD-43D6-B926-2B867CEC89F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558963-F077-45AE-A87C-0582F6190B7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604AA9-1A0D-4319-A579-AA0213A0FBF9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FC43A1-C4E5-44E1-AAF6-08EC695E9AE6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6D1FC2-8C11-40BD-A417-F0CFFE10E66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0E679-372A-4F33-A082-D144D4AF336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D8A844-5E06-4D2F-9D60-606D0DFD9127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3E09F8-C6D7-4D42-B835-E2D7B43F327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592AF6-5D0B-464C-9B6A-E15D811C1FFA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169118-1CF5-416E-AC62-64D2D53DFA1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2A41A0-3A3B-4F87-A1EE-BF95A203289B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E1F33B-7B3D-45A4-9249-4C306E457F3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DAC3D4-622E-4C11-A0E3-73C515CFA143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DC2E3C-1905-48EE-9C15-BBB8A95C1389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4213C3-7BE0-4B25-B253-0B010A903B0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7ED962-3508-42CD-8530-63A81542114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A99A4A-A2C6-49DE-A059-4A5B94D7309D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07787-7BC9-4550-BC0C-2BA70A23CE5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FC2305-FC4A-492B-BFD7-7BB39FD71EC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151EF3-6E01-4278-9A71-0EC84D6206C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576B48-B282-48A7-BC70-475B370AB2DA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EC0B2D-3712-4ECE-AE53-928781FE6A1B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31CB39-A128-4753-BFC8-28A9078FF409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4D3460-DCE8-48F8-B0CC-7FA8E0DA1CD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928FA1-D7EB-4CEA-9D90-B72A7FE78BD5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D1F0A0-24D2-4AE8-A409-0500179D295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255CEF-BA21-4673-90CE-3097A3198B1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28A580-0AE0-4861-976C-DA9D185AE3E0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2C3EED-1C78-4C4E-99E1-25F8C03F4362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FAFEA2-5986-4385-8359-5952A2A830BB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D028FF-B0E9-40B9-AFCA-BCC54B8E4704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A0E27C-5B83-4311-8CDC-E0A728923AD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976DA-14AE-4793-9BBB-C98741814A7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9971FF-DD5C-4C53-B407-009A08EF2FA0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CEAEAC-4D4C-48B4-BA4A-82B74F19C665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BEF0D2-CB14-4CAE-916A-210D1668A8A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139A97-D886-4BA7-A7A7-A86ABA035FC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8E44CC-F21B-4B58-B1B6-307416E0E1B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82A810-8509-4EC0-AFC2-09A0038DC33A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07B92A-C548-4C6F-99F2-95904AB0CB4A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50C211-601D-4002-AC6D-8A5A9FCE05B0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2B5429-7DB4-4930-BF1E-C30CC1E0C36B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E79AC9-ADF8-4B8C-BA9C-C15EE9EDA760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3B0B62-34CB-4706-912E-AA445D5FB6CF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585DC8-C881-4E2B-BAE6-B2DF2456E1B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8C33FC-3315-4B20-BC89-2CBA941376F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D1FD65-B836-471D-8C45-9F3111AE1EB8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C7AE2F-0E13-46B4-9C03-7781BEA37756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DEF9DF-71E6-4C24-AF95-DA491AF7DF91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C4FEA9-9BF9-4C56-AD85-D0961049B65A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4A10BF-A63C-4AE5-866B-505D08EA1077}"/>
            </a:ext>
          </a:extLst>
        </xdr:cNvPr>
        <xdr:cNvSpPr>
          <a:spLocks noChangeAspect="1" noChangeArrowheads="1"/>
        </xdr:cNvSpPr>
      </xdr:nvSpPr>
      <xdr:spPr bwMode="auto">
        <a:xfrm>
          <a:off x="5048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FE7562-A078-4117-85FA-29690B08EFB3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67A397-7CDF-4344-899A-5CCFFF0F1F45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D7018F-D290-4A3F-AF58-3441208C325F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B0DE4-91F0-464D-9B2A-56F73D128BD5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71C0C5-10C6-415E-9A70-426D5E6E36E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967A43-F024-4926-BA10-4E4D731010C1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49A77E-4ED1-4225-9736-D2020E74DE1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53D53E-ACE9-47C3-A714-78F581179434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0783BE-61BF-44EE-8C0A-FF3494476D88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FD0F8B-2D87-44C9-BE76-E84A85B25E5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3F8C69-E0B9-4C09-B4B7-FCC9EBAFF4BB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9FD98D-33A0-430C-BFC1-275EDA284112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04B56F-477F-44E4-B957-F4372B372B57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F06020-D440-44BF-BE42-CBCDAE7BA4E6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C04EBD-B341-4ED4-A075-A91CA2644188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457BC6-1D58-4709-927C-5F865C585C2A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26F09F-3D49-4895-83AC-82871BB08953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C46B0F-02AB-4E22-ADC5-B0B3BCE57161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87A320-5426-4005-B3F0-47D884434A3B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46DC55-1FC0-4FF0-B7D0-927CA5A784D9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463953-4772-4A8B-ABF0-5A7C31225A53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4D2CE-190C-4318-B540-EB69F8EDF55A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D7C72D-6076-4F68-B2F7-0B8AD827491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30D713-A801-4A05-B9F8-C6CD0F5831D0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F3798D-99E8-4734-AEAD-11ABA578482E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99D606-2DC5-4716-B0B0-6AD3CDC22897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675BAE-9AEF-4A26-97EF-A7760CFE23CE}"/>
            </a:ext>
          </a:extLst>
        </xdr:cNvPr>
        <xdr:cNvSpPr>
          <a:spLocks noChangeAspect="1" noChangeArrowheads="1"/>
        </xdr:cNvSpPr>
      </xdr:nvSpPr>
      <xdr:spPr bwMode="auto">
        <a:xfrm>
          <a:off x="6191250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77D94D-A0EC-4F47-8E79-CFD4D7F995F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A3C6D7-6EBE-4529-8895-0ABBC7C2F09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4B98AA-1A5A-4EC7-8113-DBBCEE256D5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4E28DB-F659-476D-9F09-CE0973A032A8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04DE95-B25D-48D2-8170-F477E4932EB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4265FA-804B-4848-9050-EF111748DEED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7D18F5-65FD-4F28-AABE-5D5C5576176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4C752-46E5-42D3-99FB-42E9B8BA23EE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0CB982-5666-4C53-ADF7-1EB467872B0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2B3CC6-91B0-4FE8-BF1A-2801E3B69F7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C2D30F-BE06-412D-8AA1-F8F5B0455C8B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226897-3F70-439A-852E-E1E3CD7BF54E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22276C-7704-434F-B5B0-A407A3C36F5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D18651-9C6F-4C6A-A426-70A33A98828F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1218F2-8480-47CE-B21B-5EFA6A6D10CA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804CA-B455-48F5-B347-8231E3D37508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81CCB9-6990-4EB6-B182-2D5BBE75C79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6189A5-512F-4458-9626-71115095B18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56E2E6-A288-4741-8BFA-3ABF5D48A20A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A9B382-7AFA-4EFE-BF6E-7545C2E1468F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AEF42B-C693-45AE-9739-BFDB29E3FEF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9A206A-35B3-4DFE-8F8D-1E45EA5B8E0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173AB5-714B-4349-AF98-9885417D9CF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D6122B-8030-4988-AD95-B2184A47C03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E7DC60-C3D8-4823-B67A-CE2483BEC75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5D4A1B-A100-4156-AA5B-F1865B4D114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C5485B-32F0-4B61-9AAD-E6BAF850F56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F279A7-D877-41A9-BBAF-26BBF75B528D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92C527-9137-4273-A557-B9BAB2508E7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559969-E82E-4A75-AB54-BA7D4E9D415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BFA2BC-980A-450E-A52D-E81FB492A01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450412-8711-4ABE-BE08-F31DCF7A28A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D7F1DA-5918-4E7F-A84A-92C0DFDAAFC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8430BA-6B61-442D-B16E-BBCA59842296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B73071-621F-4979-A87F-5884B375E87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F51768-BD35-4F05-9CCD-0C1E8E682ED5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D3E29A-9F23-4BD0-BBF4-C2ACDC3D81C9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2B56AB-FC69-4D8C-A1F0-538226A6241D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A29904-9375-4531-8EEF-FE413717B72E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2B8789-9663-4285-B5D0-19B31363F4D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8317E0-1F25-49C0-A0D4-670647D56AB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76F5C7-7A87-4E44-8501-A0B2322B3A3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4EE2CA-ACAE-40AE-8CE2-4204707068D5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521706-8A2C-4CAE-AB1C-AA59AB1B47A5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34840E-3B2D-4055-BF95-2A9851176D6B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F224EB-36F7-4E10-81FF-BE1FA0A2759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419423-20B8-487F-B758-3459C0C0122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964724-1B72-4DFF-AD5F-F636F630E15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88102C-898F-4CD6-9C11-B64B67B6105F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113C11-721D-468F-8CC7-3AD8A0A0C45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E90BE-DDE1-446A-A194-18E38D0F3F5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F4FD8C-FF53-426F-9BC1-A3EEAB5719E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553696-0674-4929-BA25-3CCC27FD4A4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C2F0AD-C587-4A35-AB97-B71594EE78FE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9FEE23-1A03-4FB3-AAB5-B96AD28A4D6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28D65-58FE-41D9-9F4A-62F3F517C07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A23813-A410-411E-B8B2-ED0C44491F7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9F80EC-222D-4F25-8D76-6D7D6C35B20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804FC0-6D91-45F2-879B-FB35F19A9CF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F0DBD3-3936-4857-B57C-D2DF898A87EA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46A509-D1DB-4865-86EE-D1EF79294D3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0BC60A-7D85-48FD-B3D6-77DDF1872A0B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D101A1-C514-4E5D-A05F-12FD900BAADD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B0413C-5587-41CD-94EF-B527C9D1D743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89AA1D-B9FB-4ED1-B09A-A52A5068413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6944F2-5E8B-431B-B305-CD8430FFB58B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961C75-3ABF-447E-BCDE-495C152E37B9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AE86A8-233E-4679-8E5D-E94F6471CEA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FEB578-7246-473C-8B22-C98A86D6E76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1F2EF1-6606-4019-BD1B-6A1F96DFFDB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04E5B-22D0-464E-B4BA-5DFE1682187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62749D-C28A-4C21-A7CB-B426A4675FDF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E73912-B4E9-437E-8582-4FEE58732A01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566C2E-6662-400E-88A3-26163935474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17878A-7CDF-4D5D-84FF-AA5ED6D5F50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6AF36F-035B-4D9C-A10F-6D3A65DE94E2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8ED476-27B8-4769-BCD1-D229B74C8A94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5F6F3C-D4F5-4B63-80D5-957F2DE6FC30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A33781-C063-4D5E-B170-2933B3206EA5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C9AB07-FD7C-4AB0-86FC-BCD097758C2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6FF22E-A607-4BAE-9828-0DB368252B6D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8D2FBB-81DF-4070-BD98-225C54C3AC2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B652C7-C1DA-4568-BD6E-8231588366B7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9413C7-D719-4935-AF13-CA56DD42D50C}"/>
            </a:ext>
          </a:extLst>
        </xdr:cNvPr>
        <xdr:cNvSpPr>
          <a:spLocks noChangeAspect="1" noChangeArrowheads="1"/>
        </xdr:cNvSpPr>
      </xdr:nvSpPr>
      <xdr:spPr bwMode="auto">
        <a:xfrm>
          <a:off x="6886575" y="12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7907-4854-4969-814A-DD2AF7CA8F82}">
  <dimension ref="A1:AM133"/>
  <sheetViews>
    <sheetView tabSelected="1" zoomScaleNormal="100" workbookViewId="0">
      <pane xSplit="1" topLeftCell="B1" activePane="topRight" state="frozen"/>
      <selection activeCell="A22" sqref="A22"/>
      <selection pane="topRight" activeCell="AF66" sqref="AF66:AH66"/>
    </sheetView>
  </sheetViews>
  <sheetFormatPr defaultRowHeight="15" x14ac:dyDescent="0.25"/>
  <cols>
    <col min="1" max="1" width="46.85546875" customWidth="1"/>
    <col min="2" max="2" width="5.140625" customWidth="1"/>
    <col min="3" max="3" width="5.42578125" hidden="1" customWidth="1"/>
    <col min="4" max="4" width="13.140625" customWidth="1"/>
    <col min="5" max="6" width="3.5703125" customWidth="1"/>
    <col min="7" max="7" width="10.28515625" bestFit="1" customWidth="1"/>
    <col min="8" max="9" width="3.5703125" customWidth="1"/>
    <col min="10" max="10" width="10.28515625" bestFit="1" customWidth="1"/>
    <col min="11" max="11" width="3.7109375" customWidth="1"/>
    <col min="12" max="12" width="3.5703125" customWidth="1"/>
    <col min="13" max="13" width="10.28515625" bestFit="1" customWidth="1"/>
    <col min="14" max="15" width="3.5703125" customWidth="1"/>
    <col min="16" max="16" width="10.28515625" bestFit="1" customWidth="1"/>
    <col min="17" max="17" width="4.140625" customWidth="1"/>
    <col min="18" max="18" width="3.5703125" customWidth="1"/>
    <col min="19" max="19" width="10.28515625" bestFit="1" customWidth="1"/>
    <col min="20" max="20" width="3.5703125" bestFit="1" customWidth="1"/>
    <col min="21" max="21" width="3.5703125" customWidth="1"/>
    <col min="22" max="22" width="10.28515625" bestFit="1" customWidth="1"/>
    <col min="23" max="23" width="3.5703125" bestFit="1" customWidth="1"/>
    <col min="24" max="24" width="3.5703125" customWidth="1"/>
    <col min="25" max="25" width="10.28515625" bestFit="1" customWidth="1"/>
    <col min="26" max="26" width="3.85546875" style="54" customWidth="1"/>
    <col min="27" max="27" width="4" customWidth="1"/>
    <col min="28" max="28" width="10" customWidth="1"/>
    <col min="29" max="29" width="4" bestFit="1" customWidth="1"/>
    <col min="30" max="30" width="4" customWidth="1"/>
    <col min="31" max="31" width="10" customWidth="1"/>
    <col min="32" max="32" width="3.5703125" bestFit="1" customWidth="1"/>
    <col min="33" max="33" width="4" customWidth="1"/>
    <col min="34" max="34" width="10.28515625" bestFit="1" customWidth="1"/>
    <col min="35" max="35" width="10.42578125" bestFit="1" customWidth="1"/>
    <col min="36" max="36" width="5.85546875" bestFit="1" customWidth="1"/>
    <col min="37" max="37" width="16.28515625" customWidth="1"/>
  </cols>
  <sheetData>
    <row r="1" spans="1:37" x14ac:dyDescent="0.25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</row>
    <row r="2" spans="1:37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</row>
    <row r="3" spans="1:37" x14ac:dyDescent="0.25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</row>
    <row r="4" spans="1:37" x14ac:dyDescent="0.25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x14ac:dyDescent="0.25">
      <c r="A5" s="194" t="s">
        <v>111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</row>
    <row r="6" spans="1:37" ht="21.75" customHeight="1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</row>
    <row r="7" spans="1:37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</row>
    <row r="8" spans="1:37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</row>
    <row r="9" spans="1:37" ht="15.75" x14ac:dyDescent="0.25">
      <c r="A9" s="180" t="s">
        <v>102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</row>
    <row r="10" spans="1:37" x14ac:dyDescent="0.25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</row>
    <row r="11" spans="1:37" x14ac:dyDescent="0.25">
      <c r="A11" s="32" t="s">
        <v>0</v>
      </c>
      <c r="B11" s="164" t="s">
        <v>101</v>
      </c>
      <c r="C11" s="164"/>
      <c r="D11" s="164"/>
      <c r="E11" s="164" t="s">
        <v>95</v>
      </c>
      <c r="F11" s="164"/>
      <c r="G11" s="164"/>
      <c r="H11" s="164" t="s">
        <v>96</v>
      </c>
      <c r="I11" s="164"/>
      <c r="J11" s="164"/>
      <c r="K11" s="164" t="s">
        <v>97</v>
      </c>
      <c r="L11" s="164"/>
      <c r="M11" s="164"/>
      <c r="N11" s="164" t="s">
        <v>100</v>
      </c>
      <c r="O11" s="164"/>
      <c r="P11" s="164"/>
      <c r="Q11" s="164" t="s">
        <v>98</v>
      </c>
      <c r="R11" s="164"/>
      <c r="S11" s="164"/>
      <c r="T11" s="164" t="s">
        <v>99</v>
      </c>
      <c r="U11" s="164"/>
      <c r="V11" s="164"/>
      <c r="W11" s="164" t="s">
        <v>93</v>
      </c>
      <c r="X11" s="164"/>
      <c r="Y11" s="164"/>
      <c r="Z11" s="112" t="s">
        <v>109</v>
      </c>
      <c r="AA11" s="113"/>
      <c r="AB11" s="113"/>
      <c r="AC11" s="112" t="s">
        <v>112</v>
      </c>
      <c r="AD11" s="113"/>
      <c r="AE11" s="114"/>
      <c r="AF11" s="164" t="s">
        <v>89</v>
      </c>
      <c r="AG11" s="164"/>
      <c r="AH11" s="164"/>
      <c r="AI11" s="195" t="s">
        <v>1</v>
      </c>
      <c r="AJ11" s="196"/>
      <c r="AK11" s="197"/>
    </row>
    <row r="12" spans="1:37" x14ac:dyDescent="0.25">
      <c r="A12" s="43" t="s">
        <v>107</v>
      </c>
      <c r="B12" s="171">
        <f>B13+B14+B15</f>
        <v>9586.0300000000007</v>
      </c>
      <c r="C12" s="172"/>
      <c r="D12" s="173"/>
      <c r="E12" s="177"/>
      <c r="F12" s="178"/>
      <c r="G12" s="179"/>
      <c r="H12" s="177"/>
      <c r="I12" s="178"/>
      <c r="J12" s="179"/>
      <c r="K12" s="177"/>
      <c r="L12" s="178"/>
      <c r="M12" s="179"/>
      <c r="N12" s="177"/>
      <c r="O12" s="178"/>
      <c r="P12" s="179"/>
      <c r="Q12" s="177"/>
      <c r="R12" s="178"/>
      <c r="S12" s="179"/>
      <c r="T12" s="177"/>
      <c r="U12" s="178"/>
      <c r="V12" s="179"/>
      <c r="W12" s="177"/>
      <c r="X12" s="178"/>
      <c r="Y12" s="179"/>
      <c r="Z12" s="44"/>
      <c r="AA12" s="44"/>
      <c r="AB12" s="44"/>
      <c r="AC12" s="174"/>
      <c r="AD12" s="175"/>
      <c r="AE12" s="176"/>
      <c r="AF12" s="171">
        <f>9586.03</f>
        <v>9586.0300000000007</v>
      </c>
      <c r="AG12" s="172"/>
      <c r="AH12" s="173"/>
      <c r="AI12" s="232">
        <f>9586.03</f>
        <v>9586.0300000000007</v>
      </c>
      <c r="AJ12" s="233"/>
      <c r="AK12" s="234"/>
    </row>
    <row r="13" spans="1:37" x14ac:dyDescent="0.25">
      <c r="A13" s="1" t="s">
        <v>81</v>
      </c>
      <c r="B13" s="101">
        <f>13836</f>
        <v>13836</v>
      </c>
      <c r="C13" s="102"/>
      <c r="D13" s="103"/>
      <c r="E13" s="148"/>
      <c r="F13" s="149"/>
      <c r="G13" s="150"/>
      <c r="H13" s="148"/>
      <c r="I13" s="149"/>
      <c r="J13" s="150"/>
      <c r="K13" s="148"/>
      <c r="L13" s="149"/>
      <c r="M13" s="150"/>
      <c r="N13" s="148"/>
      <c r="O13" s="149"/>
      <c r="P13" s="150"/>
      <c r="Q13" s="148"/>
      <c r="R13" s="149"/>
      <c r="S13" s="150"/>
      <c r="T13" s="148"/>
      <c r="U13" s="149"/>
      <c r="V13" s="150"/>
      <c r="W13" s="148"/>
      <c r="X13" s="149"/>
      <c r="Y13" s="150"/>
      <c r="Z13" s="48"/>
      <c r="AA13" s="48"/>
      <c r="AB13" s="48"/>
      <c r="AC13" s="161"/>
      <c r="AD13" s="162"/>
      <c r="AE13" s="163"/>
      <c r="AF13" s="101"/>
      <c r="AG13" s="102"/>
      <c r="AH13" s="103"/>
      <c r="AI13" s="235"/>
      <c r="AJ13" s="236"/>
      <c r="AK13" s="237"/>
    </row>
    <row r="14" spans="1:37" x14ac:dyDescent="0.25">
      <c r="A14" s="2" t="s">
        <v>2</v>
      </c>
      <c r="B14" s="101">
        <f>642.76</f>
        <v>642.76</v>
      </c>
      <c r="C14" s="102"/>
      <c r="D14" s="103"/>
      <c r="E14" s="148"/>
      <c r="F14" s="149"/>
      <c r="G14" s="150"/>
      <c r="H14" s="148"/>
      <c r="I14" s="149"/>
      <c r="J14" s="150"/>
      <c r="K14" s="148"/>
      <c r="L14" s="149"/>
      <c r="M14" s="150"/>
      <c r="N14" s="148"/>
      <c r="O14" s="149"/>
      <c r="P14" s="150"/>
      <c r="Q14" s="148"/>
      <c r="R14" s="149"/>
      <c r="S14" s="150"/>
      <c r="T14" s="148"/>
      <c r="U14" s="149"/>
      <c r="V14" s="150"/>
      <c r="W14" s="148"/>
      <c r="X14" s="149"/>
      <c r="Y14" s="150"/>
      <c r="Z14" s="48"/>
      <c r="AA14" s="48"/>
      <c r="AB14" s="48"/>
      <c r="AC14" s="161"/>
      <c r="AD14" s="162"/>
      <c r="AE14" s="163"/>
      <c r="AF14" s="101"/>
      <c r="AG14" s="102"/>
      <c r="AH14" s="103"/>
      <c r="AI14" s="238"/>
      <c r="AJ14" s="239"/>
      <c r="AK14" s="240"/>
    </row>
    <row r="15" spans="1:37" x14ac:dyDescent="0.25">
      <c r="A15" s="2" t="s">
        <v>3</v>
      </c>
      <c r="B15" s="101">
        <f>-4892.73</f>
        <v>-4892.7299999999996</v>
      </c>
      <c r="C15" s="102"/>
      <c r="D15" s="103"/>
      <c r="E15" s="148"/>
      <c r="F15" s="149"/>
      <c r="G15" s="150"/>
      <c r="H15" s="148"/>
      <c r="I15" s="149"/>
      <c r="J15" s="150"/>
      <c r="K15" s="148"/>
      <c r="L15" s="149"/>
      <c r="M15" s="150"/>
      <c r="N15" s="148"/>
      <c r="O15" s="149"/>
      <c r="P15" s="150"/>
      <c r="Q15" s="148"/>
      <c r="R15" s="149"/>
      <c r="S15" s="150"/>
      <c r="T15" s="148"/>
      <c r="U15" s="149"/>
      <c r="V15" s="150"/>
      <c r="W15" s="148"/>
      <c r="X15" s="149"/>
      <c r="Y15" s="150"/>
      <c r="Z15" s="48"/>
      <c r="AA15" s="48"/>
      <c r="AB15" s="48"/>
      <c r="AC15" s="161"/>
      <c r="AD15" s="162"/>
      <c r="AE15" s="163"/>
      <c r="AF15" s="101"/>
      <c r="AG15" s="102"/>
      <c r="AH15" s="103"/>
      <c r="AI15" s="238"/>
      <c r="AJ15" s="239"/>
      <c r="AK15" s="240"/>
    </row>
    <row r="16" spans="1:37" x14ac:dyDescent="0.25">
      <c r="A16" s="3" t="s">
        <v>4</v>
      </c>
      <c r="B16" s="168">
        <f>D27</f>
        <v>3009042.79</v>
      </c>
      <c r="C16" s="169"/>
      <c r="D16" s="170"/>
      <c r="E16" s="145"/>
      <c r="F16" s="146"/>
      <c r="G16" s="147"/>
      <c r="H16" s="145"/>
      <c r="I16" s="146"/>
      <c r="J16" s="147"/>
      <c r="K16" s="145"/>
      <c r="L16" s="146"/>
      <c r="M16" s="147"/>
      <c r="N16" s="145"/>
      <c r="O16" s="146"/>
      <c r="P16" s="147"/>
      <c r="Q16" s="145"/>
      <c r="R16" s="146"/>
      <c r="S16" s="147"/>
      <c r="T16" s="145"/>
      <c r="U16" s="146"/>
      <c r="V16" s="147"/>
      <c r="W16" s="145"/>
      <c r="X16" s="146"/>
      <c r="Y16" s="147"/>
      <c r="Z16" s="47"/>
      <c r="AA16" s="47"/>
      <c r="AB16" s="47"/>
      <c r="AC16" s="158"/>
      <c r="AD16" s="159"/>
      <c r="AE16" s="160"/>
      <c r="AF16" s="168">
        <f>AH27</f>
        <v>959319.27</v>
      </c>
      <c r="AG16" s="169"/>
      <c r="AH16" s="170"/>
      <c r="AI16" s="241">
        <f>AK27</f>
        <v>3968386.6300000004</v>
      </c>
      <c r="AJ16" s="242"/>
      <c r="AK16" s="243"/>
    </row>
    <row r="17" spans="1:37" x14ac:dyDescent="0.25">
      <c r="A17" s="4" t="s">
        <v>5</v>
      </c>
      <c r="B17" s="165">
        <f>B101</f>
        <v>1370224.77</v>
      </c>
      <c r="C17" s="166"/>
      <c r="D17" s="167"/>
      <c r="E17" s="142"/>
      <c r="F17" s="143"/>
      <c r="G17" s="144"/>
      <c r="H17" s="142"/>
      <c r="I17" s="143"/>
      <c r="J17" s="144"/>
      <c r="K17" s="142"/>
      <c r="L17" s="143"/>
      <c r="M17" s="144"/>
      <c r="N17" s="142"/>
      <c r="O17" s="143"/>
      <c r="P17" s="144"/>
      <c r="Q17" s="142"/>
      <c r="R17" s="143"/>
      <c r="S17" s="144"/>
      <c r="T17" s="142"/>
      <c r="U17" s="143"/>
      <c r="V17" s="144"/>
      <c r="W17" s="142"/>
      <c r="X17" s="143"/>
      <c r="Y17" s="144"/>
      <c r="Z17" s="46"/>
      <c r="AA17" s="46"/>
      <c r="AB17" s="46"/>
      <c r="AC17" s="118"/>
      <c r="AD17" s="119"/>
      <c r="AE17" s="120"/>
      <c r="AF17" s="165">
        <f>AF99</f>
        <v>518494.39999999997</v>
      </c>
      <c r="AG17" s="166"/>
      <c r="AH17" s="167"/>
      <c r="AI17" s="244">
        <f>AJ99</f>
        <v>1888719.1699999997</v>
      </c>
      <c r="AJ17" s="245"/>
      <c r="AK17" s="246"/>
    </row>
    <row r="18" spans="1:37" x14ac:dyDescent="0.25">
      <c r="A18" s="3" t="s">
        <v>6</v>
      </c>
      <c r="B18" s="134">
        <f>B16-B17+B12</f>
        <v>1648404.05</v>
      </c>
      <c r="C18" s="135"/>
      <c r="D18" s="136"/>
      <c r="E18" s="139"/>
      <c r="F18" s="140"/>
      <c r="G18" s="141"/>
      <c r="H18" s="139"/>
      <c r="I18" s="140"/>
      <c r="J18" s="141"/>
      <c r="K18" s="139"/>
      <c r="L18" s="140"/>
      <c r="M18" s="141"/>
      <c r="N18" s="139"/>
      <c r="O18" s="140"/>
      <c r="P18" s="141"/>
      <c r="Q18" s="139"/>
      <c r="R18" s="140"/>
      <c r="S18" s="141"/>
      <c r="T18" s="139"/>
      <c r="U18" s="140"/>
      <c r="V18" s="141"/>
      <c r="W18" s="139"/>
      <c r="X18" s="140"/>
      <c r="Y18" s="141"/>
      <c r="Z18" s="52"/>
      <c r="AA18" s="45"/>
      <c r="AB18" s="45"/>
      <c r="AC18" s="115"/>
      <c r="AD18" s="116"/>
      <c r="AE18" s="117"/>
      <c r="AF18" s="134">
        <f>AF16-AF17</f>
        <v>440824.87000000005</v>
      </c>
      <c r="AG18" s="135"/>
      <c r="AH18" s="136"/>
      <c r="AI18" s="247">
        <f>AI16-AI17+AI12</f>
        <v>2089253.4900000007</v>
      </c>
      <c r="AJ18" s="247"/>
      <c r="AK18" s="247"/>
    </row>
    <row r="19" spans="1:37" x14ac:dyDescent="0.25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</row>
    <row r="20" spans="1:37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</row>
    <row r="21" spans="1:37" x14ac:dyDescent="0.25">
      <c r="A21" s="198" t="s">
        <v>7</v>
      </c>
      <c r="B21" s="164" t="s">
        <v>101</v>
      </c>
      <c r="C21" s="164"/>
      <c r="D21" s="164"/>
      <c r="E21" s="112" t="s">
        <v>95</v>
      </c>
      <c r="F21" s="113"/>
      <c r="G21" s="114"/>
      <c r="H21" s="112" t="s">
        <v>96</v>
      </c>
      <c r="I21" s="113"/>
      <c r="J21" s="114"/>
      <c r="K21" s="112" t="s">
        <v>97</v>
      </c>
      <c r="L21" s="113"/>
      <c r="M21" s="114"/>
      <c r="N21" s="112" t="s">
        <v>100</v>
      </c>
      <c r="O21" s="113"/>
      <c r="P21" s="114"/>
      <c r="Q21" s="112" t="s">
        <v>98</v>
      </c>
      <c r="R21" s="113"/>
      <c r="S21" s="114"/>
      <c r="T21" s="112" t="s">
        <v>99</v>
      </c>
      <c r="U21" s="113"/>
      <c r="V21" s="114"/>
      <c r="W21" s="112" t="s">
        <v>93</v>
      </c>
      <c r="X21" s="113"/>
      <c r="Y21" s="114"/>
      <c r="Z21" s="112" t="s">
        <v>109</v>
      </c>
      <c r="AA21" s="113"/>
      <c r="AB21" s="113"/>
      <c r="AC21" s="112" t="s">
        <v>112</v>
      </c>
      <c r="AD21" s="113"/>
      <c r="AE21" s="114"/>
      <c r="AF21" s="164" t="s">
        <v>89</v>
      </c>
      <c r="AG21" s="164"/>
      <c r="AH21" s="164"/>
      <c r="AI21" s="200" t="s">
        <v>8</v>
      </c>
      <c r="AJ21" s="111" t="s">
        <v>1</v>
      </c>
      <c r="AK21" s="111"/>
    </row>
    <row r="22" spans="1:37" x14ac:dyDescent="0.25">
      <c r="A22" s="199"/>
      <c r="B22" s="153" t="s">
        <v>12</v>
      </c>
      <c r="C22" s="154"/>
      <c r="D22" s="5" t="s">
        <v>11</v>
      </c>
      <c r="E22" s="5" t="s">
        <v>9</v>
      </c>
      <c r="F22" s="5" t="s">
        <v>10</v>
      </c>
      <c r="G22" s="5" t="s">
        <v>11</v>
      </c>
      <c r="H22" s="5" t="s">
        <v>9</v>
      </c>
      <c r="I22" s="5" t="s">
        <v>10</v>
      </c>
      <c r="J22" s="5" t="s">
        <v>11</v>
      </c>
      <c r="K22" s="5" t="s">
        <v>9</v>
      </c>
      <c r="L22" s="5" t="s">
        <v>10</v>
      </c>
      <c r="M22" s="5" t="s">
        <v>11</v>
      </c>
      <c r="N22" s="5" t="s">
        <v>9</v>
      </c>
      <c r="O22" s="5" t="s">
        <v>10</v>
      </c>
      <c r="P22" s="5" t="s">
        <v>11</v>
      </c>
      <c r="Q22" s="5" t="s">
        <v>9</v>
      </c>
      <c r="R22" s="5" t="s">
        <v>10</v>
      </c>
      <c r="S22" s="5" t="s">
        <v>11</v>
      </c>
      <c r="T22" s="5" t="s">
        <v>9</v>
      </c>
      <c r="U22" s="5" t="s">
        <v>10</v>
      </c>
      <c r="V22" s="5" t="s">
        <v>11</v>
      </c>
      <c r="W22" s="5" t="s">
        <v>9</v>
      </c>
      <c r="X22" s="5" t="s">
        <v>10</v>
      </c>
      <c r="Y22" s="5" t="s">
        <v>11</v>
      </c>
      <c r="Z22" s="5" t="s">
        <v>9</v>
      </c>
      <c r="AA22" s="5" t="s">
        <v>10</v>
      </c>
      <c r="AB22" s="56" t="s">
        <v>11</v>
      </c>
      <c r="AC22" s="62"/>
      <c r="AD22" s="62"/>
      <c r="AE22" s="62"/>
      <c r="AF22" s="5" t="s">
        <v>9</v>
      </c>
      <c r="AG22" s="5" t="s">
        <v>10</v>
      </c>
      <c r="AH22" s="5" t="s">
        <v>11</v>
      </c>
      <c r="AI22" s="200"/>
      <c r="AJ22" s="6" t="s">
        <v>12</v>
      </c>
      <c r="AK22" s="6" t="s">
        <v>11</v>
      </c>
    </row>
    <row r="23" spans="1:37" x14ac:dyDescent="0.25">
      <c r="A23" s="31" t="s">
        <v>104</v>
      </c>
      <c r="B23" s="151">
        <v>158</v>
      </c>
      <c r="C23" s="152"/>
      <c r="D23" s="8">
        <f>17760.02+186880+2455.53+1205.11</f>
        <v>208300.65999999997</v>
      </c>
      <c r="E23" s="7"/>
      <c r="F23" s="7"/>
      <c r="G23" s="8"/>
      <c r="H23" s="7"/>
      <c r="I23" s="7"/>
      <c r="J23" s="8"/>
      <c r="K23" s="7"/>
      <c r="L23" s="7"/>
      <c r="M23" s="8"/>
      <c r="N23" s="7"/>
      <c r="O23" s="7"/>
      <c r="P23" s="8"/>
      <c r="Q23" s="7"/>
      <c r="R23" s="7"/>
      <c r="S23" s="8"/>
      <c r="T23" s="7"/>
      <c r="U23" s="7"/>
      <c r="V23" s="8"/>
      <c r="W23" s="7"/>
      <c r="X23" s="7"/>
      <c r="Y23" s="8"/>
      <c r="Z23" s="8"/>
      <c r="AA23" s="8"/>
      <c r="AB23" s="60"/>
      <c r="AC23" s="63"/>
      <c r="AD23" s="63"/>
      <c r="AE23" s="63"/>
      <c r="AF23" s="7"/>
      <c r="AG23" s="28"/>
      <c r="AH23" s="9"/>
      <c r="AI23" s="10"/>
      <c r="AJ23" s="11">
        <f>140+18+5584</f>
        <v>5742</v>
      </c>
      <c r="AK23" s="12">
        <f>208300.66</f>
        <v>208300.66</v>
      </c>
    </row>
    <row r="24" spans="1:37" x14ac:dyDescent="0.25">
      <c r="A24" s="2" t="s">
        <v>13</v>
      </c>
      <c r="B24" s="151">
        <f>5584</f>
        <v>5584</v>
      </c>
      <c r="C24" s="152"/>
      <c r="D24" s="8">
        <f>2625767</f>
        <v>2625767</v>
      </c>
      <c r="E24" s="7">
        <v>-5</v>
      </c>
      <c r="F24" s="7">
        <v>25</v>
      </c>
      <c r="G24" s="34">
        <f>111920</f>
        <v>111920</v>
      </c>
      <c r="H24" s="7">
        <v>-6</v>
      </c>
      <c r="I24" s="7">
        <v>11</v>
      </c>
      <c r="J24" s="34">
        <v>111920</v>
      </c>
      <c r="K24" s="7">
        <v>-10</v>
      </c>
      <c r="L24" s="7">
        <v>15</v>
      </c>
      <c r="M24" s="34">
        <v>113115</v>
      </c>
      <c r="N24" s="7">
        <v>-8</v>
      </c>
      <c r="O24" s="7">
        <v>56</v>
      </c>
      <c r="P24" s="34">
        <v>113300</v>
      </c>
      <c r="Q24" s="7">
        <v>-19</v>
      </c>
      <c r="R24" s="7">
        <v>11</v>
      </c>
      <c r="S24" s="34">
        <v>160820</v>
      </c>
      <c r="T24" s="7">
        <v>-2</v>
      </c>
      <c r="U24" s="7">
        <v>12</v>
      </c>
      <c r="V24" s="34">
        <v>99920.03</v>
      </c>
      <c r="W24" s="7">
        <f>-2</f>
        <v>-2</v>
      </c>
      <c r="X24" s="7">
        <f>14</f>
        <v>14</v>
      </c>
      <c r="Y24" s="34">
        <f>120+360+140+360+100+360+360+360+360+360+360+360+360+360+360+360+360+360+360+360+360+360+360+360+360+40+360+20+360+120+360+360+360+360+360+360+360+20+20+20+20+20+20+20+20+360+20+360+360+20+20+20+1140+111800</f>
        <v>125960</v>
      </c>
      <c r="Z24" s="55">
        <f>-9</f>
        <v>-9</v>
      </c>
      <c r="AA24" s="51">
        <f>8</f>
        <v>8</v>
      </c>
      <c r="AB24" s="61">
        <f>1440+1500+3240+5780+4720+4020+500</f>
        <v>21200</v>
      </c>
      <c r="AC24" s="252">
        <f>-14</f>
        <v>-14</v>
      </c>
      <c r="AD24" s="253">
        <v>12</v>
      </c>
      <c r="AE24" s="254">
        <f>20+80+360+20+60+20+20+20+360+31620</f>
        <v>32580</v>
      </c>
      <c r="AF24" s="7">
        <f>-5-6-10-8-19-2-2-9-14</f>
        <v>-75</v>
      </c>
      <c r="AG24" s="28">
        <f>25+11+15+56+11+12+14+8+12</f>
        <v>164</v>
      </c>
      <c r="AH24" s="9">
        <f>G24+J24+M24+P24+S24+V24+Y24+AB24+AE24</f>
        <v>890735.03</v>
      </c>
      <c r="AI24" s="35">
        <f>AH24/AH27</f>
        <v>0.92850738836925484</v>
      </c>
      <c r="AJ24" s="36">
        <f>E24+F24+H24+I24+K24+L24+N24+O24+Q24+R24+T24+U24+W24+X24</f>
        <v>92</v>
      </c>
      <c r="AK24" s="13">
        <f>2625767+AH24</f>
        <v>3516502.0300000003</v>
      </c>
    </row>
    <row r="25" spans="1:37" x14ac:dyDescent="0.25">
      <c r="A25" s="14" t="s">
        <v>14</v>
      </c>
      <c r="B25" s="151"/>
      <c r="C25" s="152"/>
      <c r="D25" s="8">
        <f>174975.13</f>
        <v>174975.13</v>
      </c>
      <c r="E25" s="7"/>
      <c r="F25" s="7"/>
      <c r="G25" s="34">
        <f>8732.32</f>
        <v>8732.32</v>
      </c>
      <c r="H25" s="7"/>
      <c r="I25" s="7"/>
      <c r="J25" s="34">
        <v>6781.57</v>
      </c>
      <c r="K25" s="7"/>
      <c r="L25" s="7"/>
      <c r="M25" s="34">
        <v>6199.68</v>
      </c>
      <c r="N25" s="7"/>
      <c r="O25" s="7"/>
      <c r="P25" s="34">
        <v>7252.4</v>
      </c>
      <c r="Q25" s="7"/>
      <c r="R25" s="7"/>
      <c r="S25" s="34">
        <v>8016.26</v>
      </c>
      <c r="T25" s="7"/>
      <c r="U25" s="7"/>
      <c r="V25" s="34">
        <v>7378.23</v>
      </c>
      <c r="W25" s="7"/>
      <c r="X25" s="7"/>
      <c r="Y25" s="34">
        <f>9188.45</f>
        <v>9188.4500000000007</v>
      </c>
      <c r="Z25" s="8"/>
      <c r="AA25" s="8"/>
      <c r="AB25" s="61">
        <f>2635.97+1659.5+3172.24+159.75</f>
        <v>7627.4599999999991</v>
      </c>
      <c r="AC25" s="254"/>
      <c r="AD25" s="254"/>
      <c r="AE25" s="254">
        <f>3663.57+2420.54+1323.76</f>
        <v>7407.8700000000008</v>
      </c>
      <c r="AF25" s="7"/>
      <c r="AG25" s="28"/>
      <c r="AH25" s="9">
        <f>G25+J25+M25+P25+S25+V25+Y25+AB25+AE25</f>
        <v>68584.240000000005</v>
      </c>
      <c r="AI25" s="35">
        <f>AH25/AH27</f>
        <v>7.1492611630745204E-2</v>
      </c>
      <c r="AJ25" s="28"/>
      <c r="AK25" s="13">
        <f>174975.13+AH25</f>
        <v>243559.37</v>
      </c>
    </row>
    <row r="26" spans="1:37" x14ac:dyDescent="0.25">
      <c r="A26" s="28" t="s">
        <v>15</v>
      </c>
      <c r="B26" s="151"/>
      <c r="C26" s="152"/>
      <c r="D26" s="8"/>
      <c r="E26" s="7"/>
      <c r="F26" s="7"/>
      <c r="G26" s="8"/>
      <c r="H26" s="7"/>
      <c r="I26" s="7"/>
      <c r="J26" s="8"/>
      <c r="K26" s="7"/>
      <c r="L26" s="7"/>
      <c r="M26" s="8"/>
      <c r="N26" s="7"/>
      <c r="O26" s="7"/>
      <c r="P26" s="8"/>
      <c r="Q26" s="7"/>
      <c r="R26" s="7"/>
      <c r="S26" s="8"/>
      <c r="T26" s="7"/>
      <c r="U26" s="7"/>
      <c r="V26" s="8"/>
      <c r="W26" s="7"/>
      <c r="X26" s="7"/>
      <c r="Y26" s="8"/>
      <c r="Z26" s="8"/>
      <c r="AA26" s="8"/>
      <c r="AB26" s="60"/>
      <c r="AC26" s="63"/>
      <c r="AD26" s="63"/>
      <c r="AE26" s="63"/>
      <c r="AF26" s="7"/>
      <c r="AG26" s="28"/>
      <c r="AH26" s="9"/>
      <c r="AI26" s="10"/>
      <c r="AJ26" s="11"/>
      <c r="AK26" s="12">
        <f>24.57</f>
        <v>24.57</v>
      </c>
    </row>
    <row r="27" spans="1:37" x14ac:dyDescent="0.25">
      <c r="A27" s="15" t="s">
        <v>16</v>
      </c>
      <c r="B27" s="106">
        <f>SUM(B23:C26)</f>
        <v>5742</v>
      </c>
      <c r="C27" s="107"/>
      <c r="D27" s="30">
        <f>SUM(D23:D26)</f>
        <v>3009042.79</v>
      </c>
      <c r="E27" s="106">
        <f>B27+E24+F24</f>
        <v>5762</v>
      </c>
      <c r="F27" s="107"/>
      <c r="G27" s="30">
        <f>SUM(G23:G26)</f>
        <v>120652.32</v>
      </c>
      <c r="H27" s="106">
        <f>E27+H24+I24</f>
        <v>5767</v>
      </c>
      <c r="I27" s="107"/>
      <c r="J27" s="30">
        <f>SUM(J23:J26)</f>
        <v>118701.57</v>
      </c>
      <c r="K27" s="106">
        <f>H27+K24+L24</f>
        <v>5772</v>
      </c>
      <c r="L27" s="107"/>
      <c r="M27" s="30">
        <f>SUM(M23:M26)</f>
        <v>119314.68</v>
      </c>
      <c r="N27" s="106">
        <f>K27+N24+O24</f>
        <v>5820</v>
      </c>
      <c r="O27" s="107"/>
      <c r="P27" s="30">
        <f>SUM(P23:P26)</f>
        <v>120552.4</v>
      </c>
      <c r="Q27" s="106">
        <f>N27+Q24+R24</f>
        <v>5812</v>
      </c>
      <c r="R27" s="107"/>
      <c r="S27" s="30">
        <f>SUM(S23:S26)</f>
        <v>168836.26</v>
      </c>
      <c r="T27" s="106">
        <f>Q27+T24+U24</f>
        <v>5822</v>
      </c>
      <c r="U27" s="107"/>
      <c r="V27" s="30">
        <f>SUM(V23:V26)</f>
        <v>107298.26</v>
      </c>
      <c r="W27" s="106">
        <f>T27+W24+X24</f>
        <v>5834</v>
      </c>
      <c r="X27" s="107"/>
      <c r="Y27" s="30">
        <f>SUM(Y23:Y26)</f>
        <v>135148.45000000001</v>
      </c>
      <c r="Z27" s="230">
        <f>W27+Z24+AA24</f>
        <v>5833</v>
      </c>
      <c r="AA27" s="231"/>
      <c r="AB27" s="50">
        <f>SUM(AB23:AB26)</f>
        <v>28827.46</v>
      </c>
      <c r="AC27" s="90">
        <f>Z27+AC24+AD24</f>
        <v>5831</v>
      </c>
      <c r="AD27" s="90"/>
      <c r="AE27" s="64">
        <f>SUM(AE23:AE26)</f>
        <v>39987.870000000003</v>
      </c>
      <c r="AF27" s="106">
        <f>B27+AF24+AG24</f>
        <v>5831</v>
      </c>
      <c r="AG27" s="107"/>
      <c r="AH27" s="30">
        <f>SUM(AH23:AH26)</f>
        <v>959319.27</v>
      </c>
      <c r="AI27" s="16">
        <f>AH27/AH27</f>
        <v>1</v>
      </c>
      <c r="AJ27" s="29">
        <f>SUM(AJ23:AJ26)</f>
        <v>5834</v>
      </c>
      <c r="AK27" s="17">
        <f>SUM(AK23:AK26)</f>
        <v>3968386.6300000004</v>
      </c>
    </row>
    <row r="28" spans="1:37" x14ac:dyDescent="0.2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</row>
    <row r="29" spans="1:37" x14ac:dyDescent="0.2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</row>
    <row r="30" spans="1:37" ht="15.75" x14ac:dyDescent="0.25">
      <c r="A30" s="109" t="s">
        <v>92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</row>
    <row r="31" spans="1:37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</row>
    <row r="32" spans="1:37" x14ac:dyDescent="0.25">
      <c r="A32" s="65" t="s">
        <v>5</v>
      </c>
      <c r="B32" s="164" t="s">
        <v>101</v>
      </c>
      <c r="C32" s="164"/>
      <c r="D32" s="164"/>
      <c r="E32" s="201" t="s">
        <v>95</v>
      </c>
      <c r="F32" s="202"/>
      <c r="G32" s="202"/>
      <c r="H32" s="201" t="s">
        <v>96</v>
      </c>
      <c r="I32" s="202"/>
      <c r="J32" s="202"/>
      <c r="K32" s="203" t="s">
        <v>97</v>
      </c>
      <c r="L32" s="203"/>
      <c r="M32" s="203"/>
      <c r="N32" s="201" t="s">
        <v>100</v>
      </c>
      <c r="O32" s="202"/>
      <c r="P32" s="206"/>
      <c r="Q32" s="201" t="s">
        <v>98</v>
      </c>
      <c r="R32" s="202"/>
      <c r="S32" s="202"/>
      <c r="T32" s="201" t="s">
        <v>99</v>
      </c>
      <c r="U32" s="202"/>
      <c r="V32" s="206"/>
      <c r="W32" s="112" t="s">
        <v>93</v>
      </c>
      <c r="X32" s="113"/>
      <c r="Y32" s="113"/>
      <c r="Z32" s="112" t="s">
        <v>109</v>
      </c>
      <c r="AA32" s="113"/>
      <c r="AB32" s="113"/>
      <c r="AC32" s="112" t="s">
        <v>112</v>
      </c>
      <c r="AD32" s="113"/>
      <c r="AE32" s="114"/>
      <c r="AF32" s="164" t="s">
        <v>89</v>
      </c>
      <c r="AG32" s="164"/>
      <c r="AH32" s="164"/>
      <c r="AI32" s="33" t="s">
        <v>8</v>
      </c>
      <c r="AJ32" s="111" t="s">
        <v>1</v>
      </c>
      <c r="AK32" s="111"/>
    </row>
    <row r="33" spans="1:37" x14ac:dyDescent="0.25">
      <c r="A33" s="66" t="s">
        <v>17</v>
      </c>
      <c r="B33" s="93">
        <f>SUM(B34:D41)</f>
        <v>171975.98</v>
      </c>
      <c r="C33" s="93"/>
      <c r="D33" s="93"/>
      <c r="E33" s="98">
        <f>SUM(E34:E41)</f>
        <v>2990.34</v>
      </c>
      <c r="F33" s="99"/>
      <c r="G33" s="100"/>
      <c r="H33" s="98">
        <f>SUM(H34:H41)</f>
        <v>15532.5</v>
      </c>
      <c r="I33" s="99"/>
      <c r="J33" s="100"/>
      <c r="K33" s="205">
        <f>SUM(K34:K41)</f>
        <v>5932.5</v>
      </c>
      <c r="L33" s="205"/>
      <c r="M33" s="205"/>
      <c r="N33" s="98">
        <f t="shared" ref="N33" si="0">SUM(N34:N41)</f>
        <v>5682.5</v>
      </c>
      <c r="O33" s="99"/>
      <c r="P33" s="100"/>
      <c r="Q33" s="98">
        <f t="shared" ref="Q33" si="1">SUM(Q34:Q41)</f>
        <v>5678.15</v>
      </c>
      <c r="R33" s="99"/>
      <c r="S33" s="100"/>
      <c r="T33" s="98">
        <f t="shared" ref="T33" si="2">SUM(T34:T41)</f>
        <v>5574.27</v>
      </c>
      <c r="U33" s="99"/>
      <c r="V33" s="100"/>
      <c r="W33" s="77">
        <f>SUM(W34:Y41)</f>
        <v>11532.5</v>
      </c>
      <c r="X33" s="78"/>
      <c r="Y33" s="78"/>
      <c r="Z33" s="77">
        <f>SUM(Z34:AB41)</f>
        <v>11952.5</v>
      </c>
      <c r="AA33" s="78"/>
      <c r="AB33" s="78"/>
      <c r="AC33" s="77">
        <f>SUM(AC34:AE41)</f>
        <v>11952.5</v>
      </c>
      <c r="AD33" s="78"/>
      <c r="AE33" s="78"/>
      <c r="AF33" s="93">
        <f>SUM(AF34:AH41)</f>
        <v>76827.760000000009</v>
      </c>
      <c r="AG33" s="93"/>
      <c r="AH33" s="93"/>
      <c r="AI33" s="18">
        <f>AF33/AF99</f>
        <v>0.14817471509817659</v>
      </c>
      <c r="AJ33" s="104">
        <f>SUM(AJ34:AK41)</f>
        <v>247163.80000000002</v>
      </c>
      <c r="AK33" s="104"/>
    </row>
    <row r="34" spans="1:37" x14ac:dyDescent="0.25">
      <c r="A34" s="67" t="s">
        <v>18</v>
      </c>
      <c r="B34" s="183">
        <f>61810.3</f>
        <v>61810.3</v>
      </c>
      <c r="C34" s="183"/>
      <c r="D34" s="183"/>
      <c r="E34" s="184">
        <v>1790.34</v>
      </c>
      <c r="F34" s="185"/>
      <c r="G34" s="186"/>
      <c r="H34" s="184">
        <v>10000</v>
      </c>
      <c r="I34" s="185"/>
      <c r="J34" s="186"/>
      <c r="K34" s="204">
        <v>0</v>
      </c>
      <c r="L34" s="204"/>
      <c r="M34" s="204"/>
      <c r="N34" s="184">
        <v>0</v>
      </c>
      <c r="O34" s="185"/>
      <c r="P34" s="186"/>
      <c r="Q34" s="79">
        <v>0</v>
      </c>
      <c r="R34" s="80"/>
      <c r="S34" s="81"/>
      <c r="T34" s="184">
        <v>0</v>
      </c>
      <c r="U34" s="185"/>
      <c r="V34" s="186"/>
      <c r="W34" s="79">
        <v>0</v>
      </c>
      <c r="X34" s="80"/>
      <c r="Y34" s="80"/>
      <c r="Z34" s="79">
        <v>0</v>
      </c>
      <c r="AA34" s="80"/>
      <c r="AB34" s="81"/>
      <c r="AC34" s="79">
        <v>0</v>
      </c>
      <c r="AD34" s="80"/>
      <c r="AE34" s="81"/>
      <c r="AF34" s="183">
        <f>1790.34+10000</f>
        <v>11790.34</v>
      </c>
      <c r="AG34" s="183"/>
      <c r="AH34" s="183"/>
      <c r="AI34" s="19">
        <f>AF34/AF99</f>
        <v>2.2739570572025466E-2</v>
      </c>
      <c r="AJ34" s="105">
        <f>60410.3+AF34</f>
        <v>72200.639999999999</v>
      </c>
      <c r="AK34" s="105"/>
    </row>
    <row r="35" spans="1:37" x14ac:dyDescent="0.25">
      <c r="A35" s="68" t="s">
        <v>94</v>
      </c>
      <c r="B35" s="183">
        <v>0</v>
      </c>
      <c r="C35" s="183"/>
      <c r="D35" s="183"/>
      <c r="E35" s="79">
        <v>0</v>
      </c>
      <c r="F35" s="80"/>
      <c r="G35" s="81"/>
      <c r="H35" s="79">
        <v>0</v>
      </c>
      <c r="I35" s="80"/>
      <c r="J35" s="81"/>
      <c r="K35" s="204">
        <v>0</v>
      </c>
      <c r="L35" s="204"/>
      <c r="M35" s="204"/>
      <c r="N35" s="79">
        <v>0</v>
      </c>
      <c r="O35" s="80"/>
      <c r="P35" s="81"/>
      <c r="Q35" s="79">
        <v>0</v>
      </c>
      <c r="R35" s="80"/>
      <c r="S35" s="81"/>
      <c r="T35" s="79">
        <v>0</v>
      </c>
      <c r="U35" s="80"/>
      <c r="V35" s="81"/>
      <c r="W35" s="79">
        <f>6000</f>
        <v>6000</v>
      </c>
      <c r="X35" s="80"/>
      <c r="Y35" s="80"/>
      <c r="Z35" s="79">
        <f>6000</f>
        <v>6000</v>
      </c>
      <c r="AA35" s="80"/>
      <c r="AB35" s="81"/>
      <c r="AC35" s="79">
        <f>6000</f>
        <v>6000</v>
      </c>
      <c r="AD35" s="80"/>
      <c r="AE35" s="81"/>
      <c r="AF35" s="183">
        <f>6000+6000+6000</f>
        <v>18000</v>
      </c>
      <c r="AG35" s="183"/>
      <c r="AH35" s="183"/>
      <c r="AI35" s="19">
        <f>AF35/AF99</f>
        <v>3.4715900499600383E-2</v>
      </c>
      <c r="AJ35" s="79">
        <f>0+AF35</f>
        <v>18000</v>
      </c>
      <c r="AK35" s="81"/>
    </row>
    <row r="36" spans="1:37" x14ac:dyDescent="0.25">
      <c r="A36" s="67" t="s">
        <v>19</v>
      </c>
      <c r="B36" s="183">
        <f>28820.48</f>
        <v>28820.48</v>
      </c>
      <c r="C36" s="183"/>
      <c r="D36" s="183"/>
      <c r="E36" s="184">
        <v>1200</v>
      </c>
      <c r="F36" s="185"/>
      <c r="G36" s="186"/>
      <c r="H36" s="184">
        <v>840</v>
      </c>
      <c r="I36" s="185"/>
      <c r="J36" s="186"/>
      <c r="K36" s="204">
        <v>1240</v>
      </c>
      <c r="L36" s="204"/>
      <c r="M36" s="204"/>
      <c r="N36" s="184">
        <v>990</v>
      </c>
      <c r="O36" s="185"/>
      <c r="P36" s="186"/>
      <c r="Q36" s="79">
        <v>985.65</v>
      </c>
      <c r="R36" s="80"/>
      <c r="S36" s="81"/>
      <c r="T36" s="184">
        <v>881.77</v>
      </c>
      <c r="U36" s="185"/>
      <c r="V36" s="186"/>
      <c r="W36" s="79">
        <f>840</f>
        <v>840</v>
      </c>
      <c r="X36" s="80"/>
      <c r="Y36" s="80"/>
      <c r="Z36" s="79">
        <f>1260</f>
        <v>1260</v>
      </c>
      <c r="AA36" s="80"/>
      <c r="AB36" s="81"/>
      <c r="AC36" s="79">
        <f>1260</f>
        <v>1260</v>
      </c>
      <c r="AD36" s="80"/>
      <c r="AE36" s="81"/>
      <c r="AF36" s="183">
        <f>1200+840+1240+990+985.65+881.77+840+1260+1260</f>
        <v>9497.42</v>
      </c>
      <c r="AG36" s="183"/>
      <c r="AH36" s="183"/>
      <c r="AI36" s="19">
        <f>AF36/AF99</f>
        <v>1.8317304873495258E-2</v>
      </c>
      <c r="AJ36" s="105">
        <f>28580.54+AF36</f>
        <v>38077.96</v>
      </c>
      <c r="AK36" s="105"/>
    </row>
    <row r="37" spans="1:37" x14ac:dyDescent="0.25">
      <c r="A37" s="67" t="s">
        <v>80</v>
      </c>
      <c r="B37" s="183">
        <f>45518.05</f>
        <v>45518.05</v>
      </c>
      <c r="C37" s="183"/>
      <c r="D37" s="183"/>
      <c r="E37" s="184">
        <v>0</v>
      </c>
      <c r="F37" s="185"/>
      <c r="G37" s="186"/>
      <c r="H37" s="184">
        <v>4692.5</v>
      </c>
      <c r="I37" s="185"/>
      <c r="J37" s="186"/>
      <c r="K37" s="204">
        <v>4692.5</v>
      </c>
      <c r="L37" s="204"/>
      <c r="M37" s="204"/>
      <c r="N37" s="184">
        <v>4692.5</v>
      </c>
      <c r="O37" s="185"/>
      <c r="P37" s="186"/>
      <c r="Q37" s="79">
        <v>4692.5</v>
      </c>
      <c r="R37" s="80"/>
      <c r="S37" s="81"/>
      <c r="T37" s="184">
        <v>4692.5</v>
      </c>
      <c r="U37" s="185"/>
      <c r="V37" s="186"/>
      <c r="W37" s="79">
        <f>4692.5</f>
        <v>4692.5</v>
      </c>
      <c r="X37" s="80"/>
      <c r="Y37" s="80"/>
      <c r="Z37" s="79">
        <f>4692.5</f>
        <v>4692.5</v>
      </c>
      <c r="AA37" s="80"/>
      <c r="AB37" s="81"/>
      <c r="AC37" s="79">
        <f>4692.5</f>
        <v>4692.5</v>
      </c>
      <c r="AD37" s="80"/>
      <c r="AE37" s="81"/>
      <c r="AF37" s="183">
        <f>4692.5+4692.5+4692.5+4692.5+4692.5+4692.5+4692.5+4692.5</f>
        <v>37540</v>
      </c>
      <c r="AG37" s="183"/>
      <c r="AH37" s="183"/>
      <c r="AI37" s="19">
        <f>AF37/AF99</f>
        <v>7.240193915305547E-2</v>
      </c>
      <c r="AJ37" s="105">
        <f>45518.05+AF37</f>
        <v>83058.05</v>
      </c>
      <c r="AK37" s="105"/>
    </row>
    <row r="38" spans="1:37" x14ac:dyDescent="0.25">
      <c r="A38" s="67" t="s">
        <v>20</v>
      </c>
      <c r="B38" s="183">
        <f>17669.75</f>
        <v>17669.75</v>
      </c>
      <c r="C38" s="183"/>
      <c r="D38" s="183"/>
      <c r="E38" s="184">
        <v>0</v>
      </c>
      <c r="F38" s="185"/>
      <c r="G38" s="186"/>
      <c r="H38" s="184">
        <v>0</v>
      </c>
      <c r="I38" s="185"/>
      <c r="J38" s="186"/>
      <c r="K38" s="204">
        <v>0</v>
      </c>
      <c r="L38" s="204"/>
      <c r="M38" s="204"/>
      <c r="N38" s="184">
        <v>0</v>
      </c>
      <c r="O38" s="185"/>
      <c r="P38" s="186"/>
      <c r="Q38" s="79">
        <v>0</v>
      </c>
      <c r="R38" s="80"/>
      <c r="S38" s="81"/>
      <c r="T38" s="184">
        <v>0</v>
      </c>
      <c r="U38" s="185"/>
      <c r="V38" s="186"/>
      <c r="W38" s="79">
        <v>0</v>
      </c>
      <c r="X38" s="80"/>
      <c r="Y38" s="80"/>
      <c r="Z38" s="79">
        <v>0</v>
      </c>
      <c r="AA38" s="80"/>
      <c r="AB38" s="81"/>
      <c r="AC38" s="79">
        <v>0</v>
      </c>
      <c r="AD38" s="80"/>
      <c r="AE38" s="81"/>
      <c r="AF38" s="183">
        <v>0</v>
      </c>
      <c r="AG38" s="183"/>
      <c r="AH38" s="183"/>
      <c r="AI38" s="19">
        <f>AF38/AF99</f>
        <v>0</v>
      </c>
      <c r="AJ38" s="105">
        <f>17669.75+AF38</f>
        <v>17669.75</v>
      </c>
      <c r="AK38" s="105"/>
    </row>
    <row r="39" spans="1:37" x14ac:dyDescent="0.25">
      <c r="A39" s="67" t="s">
        <v>21</v>
      </c>
      <c r="B39" s="183">
        <f>8289</f>
        <v>8289</v>
      </c>
      <c r="C39" s="183"/>
      <c r="D39" s="183"/>
      <c r="E39" s="184">
        <v>0</v>
      </c>
      <c r="F39" s="185"/>
      <c r="G39" s="186"/>
      <c r="H39" s="184">
        <v>0</v>
      </c>
      <c r="I39" s="185"/>
      <c r="J39" s="186"/>
      <c r="K39" s="204">
        <v>0</v>
      </c>
      <c r="L39" s="204"/>
      <c r="M39" s="204"/>
      <c r="N39" s="184">
        <v>0</v>
      </c>
      <c r="O39" s="185"/>
      <c r="P39" s="186"/>
      <c r="Q39" s="79">
        <v>0</v>
      </c>
      <c r="R39" s="80"/>
      <c r="S39" s="81"/>
      <c r="T39" s="184">
        <v>0</v>
      </c>
      <c r="U39" s="185"/>
      <c r="V39" s="186"/>
      <c r="W39" s="79">
        <v>0</v>
      </c>
      <c r="X39" s="80"/>
      <c r="Y39" s="80"/>
      <c r="Z39" s="79">
        <v>0</v>
      </c>
      <c r="AA39" s="80"/>
      <c r="AB39" s="81"/>
      <c r="AC39" s="79">
        <v>0</v>
      </c>
      <c r="AD39" s="80"/>
      <c r="AE39" s="81"/>
      <c r="AF39" s="183">
        <v>0</v>
      </c>
      <c r="AG39" s="183"/>
      <c r="AH39" s="183"/>
      <c r="AI39" s="19">
        <f>AF39/AF99</f>
        <v>0</v>
      </c>
      <c r="AJ39" s="105">
        <f>8289+AF39</f>
        <v>8289</v>
      </c>
      <c r="AK39" s="105"/>
    </row>
    <row r="40" spans="1:37" x14ac:dyDescent="0.25">
      <c r="A40" s="67" t="s">
        <v>22</v>
      </c>
      <c r="B40" s="183">
        <f>7863.4</f>
        <v>7863.4</v>
      </c>
      <c r="C40" s="183"/>
      <c r="D40" s="183"/>
      <c r="E40" s="184">
        <v>0</v>
      </c>
      <c r="F40" s="185"/>
      <c r="G40" s="186"/>
      <c r="H40" s="184">
        <v>0</v>
      </c>
      <c r="I40" s="185"/>
      <c r="J40" s="186"/>
      <c r="K40" s="204">
        <v>0</v>
      </c>
      <c r="L40" s="204"/>
      <c r="M40" s="204"/>
      <c r="N40" s="184">
        <v>0</v>
      </c>
      <c r="O40" s="185"/>
      <c r="P40" s="186"/>
      <c r="Q40" s="79">
        <v>0</v>
      </c>
      <c r="R40" s="80"/>
      <c r="S40" s="81"/>
      <c r="T40" s="184">
        <v>0</v>
      </c>
      <c r="U40" s="185"/>
      <c r="V40" s="186"/>
      <c r="W40" s="79">
        <v>0</v>
      </c>
      <c r="X40" s="80"/>
      <c r="Y40" s="80"/>
      <c r="Z40" s="79">
        <v>0</v>
      </c>
      <c r="AA40" s="80"/>
      <c r="AB40" s="81"/>
      <c r="AC40" s="79">
        <v>0</v>
      </c>
      <c r="AD40" s="80"/>
      <c r="AE40" s="81"/>
      <c r="AF40" s="183">
        <f>0</f>
        <v>0</v>
      </c>
      <c r="AG40" s="183"/>
      <c r="AH40" s="183"/>
      <c r="AI40" s="19">
        <f>AF40/AF99</f>
        <v>0</v>
      </c>
      <c r="AJ40" s="105">
        <f>7863.4+AF40</f>
        <v>7863.4</v>
      </c>
      <c r="AK40" s="105"/>
    </row>
    <row r="41" spans="1:37" x14ac:dyDescent="0.25">
      <c r="A41" s="67" t="s">
        <v>23</v>
      </c>
      <c r="B41" s="183">
        <f>2005</f>
        <v>2005</v>
      </c>
      <c r="C41" s="183"/>
      <c r="D41" s="183"/>
      <c r="E41" s="184">
        <v>0</v>
      </c>
      <c r="F41" s="185"/>
      <c r="G41" s="186"/>
      <c r="H41" s="184">
        <v>0</v>
      </c>
      <c r="I41" s="185"/>
      <c r="J41" s="186"/>
      <c r="K41" s="204">
        <v>0</v>
      </c>
      <c r="L41" s="204"/>
      <c r="M41" s="204"/>
      <c r="N41" s="184">
        <v>0</v>
      </c>
      <c r="O41" s="185"/>
      <c r="P41" s="186"/>
      <c r="Q41" s="79">
        <v>0</v>
      </c>
      <c r="R41" s="80"/>
      <c r="S41" s="81"/>
      <c r="T41" s="184">
        <v>0</v>
      </c>
      <c r="U41" s="185"/>
      <c r="V41" s="186"/>
      <c r="W41" s="79">
        <v>0</v>
      </c>
      <c r="X41" s="80"/>
      <c r="Y41" s="80"/>
      <c r="Z41" s="79">
        <v>0</v>
      </c>
      <c r="AA41" s="80"/>
      <c r="AB41" s="81"/>
      <c r="AC41" s="79">
        <v>0</v>
      </c>
      <c r="AD41" s="80"/>
      <c r="AE41" s="81"/>
      <c r="AF41" s="183">
        <v>0</v>
      </c>
      <c r="AG41" s="183"/>
      <c r="AH41" s="183"/>
      <c r="AI41" s="19">
        <f>AF41/AF99</f>
        <v>0</v>
      </c>
      <c r="AJ41" s="105">
        <f>2005+AF41</f>
        <v>2005</v>
      </c>
      <c r="AK41" s="105"/>
    </row>
    <row r="42" spans="1:37" x14ac:dyDescent="0.25">
      <c r="A42" s="66" t="s">
        <v>24</v>
      </c>
      <c r="B42" s="93">
        <f>SUM(B43:D44)</f>
        <v>366074.13</v>
      </c>
      <c r="C42" s="93"/>
      <c r="D42" s="93"/>
      <c r="E42" s="93">
        <f t="shared" ref="E42" si="3">SUM(E43:G44)</f>
        <v>0</v>
      </c>
      <c r="F42" s="93"/>
      <c r="G42" s="93"/>
      <c r="H42" s="93">
        <f t="shared" ref="H42" si="4">SUM(H43:J44)</f>
        <v>0</v>
      </c>
      <c r="I42" s="93"/>
      <c r="J42" s="93"/>
      <c r="K42" s="93">
        <f t="shared" ref="K42" si="5">SUM(K43:M44)</f>
        <v>0</v>
      </c>
      <c r="L42" s="93"/>
      <c r="M42" s="93"/>
      <c r="N42" s="93">
        <f t="shared" ref="N42" si="6">SUM(N43:P44)</f>
        <v>0</v>
      </c>
      <c r="O42" s="93"/>
      <c r="P42" s="93"/>
      <c r="Q42" s="93">
        <f t="shared" ref="Q42" si="7">SUM(Q43:S44)</f>
        <v>0</v>
      </c>
      <c r="R42" s="93"/>
      <c r="S42" s="93"/>
      <c r="T42" s="93">
        <f t="shared" ref="T42" si="8">SUM(T43:V44)</f>
        <v>0</v>
      </c>
      <c r="U42" s="93"/>
      <c r="V42" s="93"/>
      <c r="W42" s="93">
        <f>SUM(W43:Y44)</f>
        <v>0</v>
      </c>
      <c r="X42" s="93"/>
      <c r="Y42" s="77"/>
      <c r="Z42" s="93">
        <f>SUM(Z43:AB44)</f>
        <v>0</v>
      </c>
      <c r="AA42" s="93"/>
      <c r="AB42" s="77"/>
      <c r="AC42" s="93">
        <f>SUM(AC43:AE44)</f>
        <v>0</v>
      </c>
      <c r="AD42" s="93"/>
      <c r="AE42" s="77"/>
      <c r="AF42" s="93">
        <f>SUM(AG43:AH44)</f>
        <v>0</v>
      </c>
      <c r="AG42" s="93"/>
      <c r="AH42" s="93"/>
      <c r="AI42" s="20">
        <f>AF42/AF99</f>
        <v>0</v>
      </c>
      <c r="AJ42" s="207">
        <f>SUM(AJ43:AK44)</f>
        <v>366074.13</v>
      </c>
      <c r="AK42" s="207"/>
    </row>
    <row r="43" spans="1:37" x14ac:dyDescent="0.25">
      <c r="A43" s="67" t="s">
        <v>25</v>
      </c>
      <c r="B43" s="183">
        <f>214077.5</f>
        <v>214077.5</v>
      </c>
      <c r="C43" s="183"/>
      <c r="D43" s="183"/>
      <c r="E43" s="184">
        <v>0</v>
      </c>
      <c r="F43" s="185"/>
      <c r="G43" s="186"/>
      <c r="H43" s="184">
        <v>0</v>
      </c>
      <c r="I43" s="185"/>
      <c r="J43" s="186"/>
      <c r="K43" s="204">
        <v>0</v>
      </c>
      <c r="L43" s="204"/>
      <c r="M43" s="204"/>
      <c r="N43" s="184">
        <v>0</v>
      </c>
      <c r="O43" s="185"/>
      <c r="P43" s="186"/>
      <c r="Q43" s="79">
        <v>0</v>
      </c>
      <c r="R43" s="80"/>
      <c r="S43" s="81"/>
      <c r="T43" s="184">
        <v>0</v>
      </c>
      <c r="U43" s="185"/>
      <c r="V43" s="186"/>
      <c r="W43" s="79">
        <v>0</v>
      </c>
      <c r="X43" s="80"/>
      <c r="Y43" s="80"/>
      <c r="Z43" s="79">
        <v>0</v>
      </c>
      <c r="AA43" s="80"/>
      <c r="AB43" s="81"/>
      <c r="AC43" s="79">
        <v>0</v>
      </c>
      <c r="AD43" s="80"/>
      <c r="AE43" s="81"/>
      <c r="AF43" s="183">
        <v>0</v>
      </c>
      <c r="AG43" s="183"/>
      <c r="AH43" s="183"/>
      <c r="AI43" s="19">
        <f>AF43/AF99</f>
        <v>0</v>
      </c>
      <c r="AJ43" s="105">
        <f>214077.5+AF43</f>
        <v>214077.5</v>
      </c>
      <c r="AK43" s="105"/>
    </row>
    <row r="44" spans="1:37" x14ac:dyDescent="0.25">
      <c r="A44" s="67" t="s">
        <v>26</v>
      </c>
      <c r="B44" s="183">
        <f>151996.63</f>
        <v>151996.63</v>
      </c>
      <c r="C44" s="183"/>
      <c r="D44" s="183"/>
      <c r="E44" s="184">
        <v>0</v>
      </c>
      <c r="F44" s="185"/>
      <c r="G44" s="186"/>
      <c r="H44" s="184">
        <v>0</v>
      </c>
      <c r="I44" s="185"/>
      <c r="J44" s="186"/>
      <c r="K44" s="204">
        <v>0</v>
      </c>
      <c r="L44" s="204"/>
      <c r="M44" s="204"/>
      <c r="N44" s="184">
        <v>0</v>
      </c>
      <c r="O44" s="185"/>
      <c r="P44" s="186"/>
      <c r="Q44" s="79">
        <v>0</v>
      </c>
      <c r="R44" s="80"/>
      <c r="S44" s="81"/>
      <c r="T44" s="184">
        <v>0</v>
      </c>
      <c r="U44" s="185"/>
      <c r="V44" s="186"/>
      <c r="W44" s="79">
        <v>0</v>
      </c>
      <c r="X44" s="80"/>
      <c r="Y44" s="80"/>
      <c r="Z44" s="79">
        <v>0</v>
      </c>
      <c r="AA44" s="80"/>
      <c r="AB44" s="81"/>
      <c r="AC44" s="79">
        <v>0</v>
      </c>
      <c r="AD44" s="80"/>
      <c r="AE44" s="81"/>
      <c r="AF44" s="183">
        <v>0</v>
      </c>
      <c r="AG44" s="183"/>
      <c r="AH44" s="183"/>
      <c r="AI44" s="19">
        <f>AF44/AF99</f>
        <v>0</v>
      </c>
      <c r="AJ44" s="105">
        <f>151996.63+AF44</f>
        <v>151996.63</v>
      </c>
      <c r="AK44" s="105"/>
    </row>
    <row r="45" spans="1:37" x14ac:dyDescent="0.25">
      <c r="A45" s="66" t="s">
        <v>27</v>
      </c>
      <c r="B45" s="93">
        <f>SUM(B46:D48)</f>
        <v>57379.83</v>
      </c>
      <c r="C45" s="93"/>
      <c r="D45" s="93"/>
      <c r="E45" s="93">
        <f t="shared" ref="E45" si="9">SUM(E46:G48)</f>
        <v>0</v>
      </c>
      <c r="F45" s="93"/>
      <c r="G45" s="93"/>
      <c r="H45" s="93">
        <f t="shared" ref="H45" si="10">SUM(H46:J48)</f>
        <v>12.25</v>
      </c>
      <c r="I45" s="93"/>
      <c r="J45" s="93"/>
      <c r="K45" s="93">
        <f t="shared" ref="K45" si="11">SUM(K46:M48)</f>
        <v>9.5</v>
      </c>
      <c r="L45" s="93"/>
      <c r="M45" s="93"/>
      <c r="N45" s="93">
        <f t="shared" ref="N45" si="12">SUM(N46:P48)</f>
        <v>0</v>
      </c>
      <c r="O45" s="93"/>
      <c r="P45" s="93"/>
      <c r="Q45" s="93">
        <f t="shared" ref="Q45" si="13">SUM(Q46:S48)</f>
        <v>8265</v>
      </c>
      <c r="R45" s="93"/>
      <c r="S45" s="93"/>
      <c r="T45" s="93">
        <f t="shared" ref="T45" si="14">SUM(T46:V48)</f>
        <v>0</v>
      </c>
      <c r="U45" s="93"/>
      <c r="V45" s="93"/>
      <c r="W45" s="93">
        <f t="shared" ref="W45" si="15">SUM(W46:Y48)</f>
        <v>1449.95</v>
      </c>
      <c r="X45" s="93"/>
      <c r="Y45" s="77"/>
      <c r="Z45" s="93">
        <f>SUM(Z46:AB48)</f>
        <v>6.25</v>
      </c>
      <c r="AA45" s="93"/>
      <c r="AB45" s="77"/>
      <c r="AC45" s="93">
        <f>SUM(AC46:AE48)</f>
        <v>176.58</v>
      </c>
      <c r="AD45" s="93"/>
      <c r="AE45" s="77"/>
      <c r="AF45" s="93">
        <f>SUM(AF46:AH48)</f>
        <v>9919.5300000000007</v>
      </c>
      <c r="AG45" s="93"/>
      <c r="AH45" s="93"/>
      <c r="AI45" s="18">
        <f>AF45/AF99</f>
        <v>1.9131412026822277E-2</v>
      </c>
      <c r="AJ45" s="104">
        <f>SUM(AJ46:AK48)</f>
        <v>66705.84</v>
      </c>
      <c r="AK45" s="104"/>
    </row>
    <row r="46" spans="1:37" x14ac:dyDescent="0.25">
      <c r="A46" s="67" t="s">
        <v>28</v>
      </c>
      <c r="B46" s="208">
        <f>3448.33</f>
        <v>3448.33</v>
      </c>
      <c r="C46" s="208"/>
      <c r="D46" s="208"/>
      <c r="E46" s="184">
        <v>0</v>
      </c>
      <c r="F46" s="185"/>
      <c r="G46" s="186"/>
      <c r="H46" s="184">
        <v>0</v>
      </c>
      <c r="I46" s="185"/>
      <c r="J46" s="186"/>
      <c r="K46" s="204">
        <v>0</v>
      </c>
      <c r="L46" s="204"/>
      <c r="M46" s="204"/>
      <c r="N46" s="184">
        <v>0</v>
      </c>
      <c r="O46" s="185"/>
      <c r="P46" s="186"/>
      <c r="Q46" s="79">
        <v>0</v>
      </c>
      <c r="R46" s="80"/>
      <c r="S46" s="81"/>
      <c r="T46" s="184">
        <v>0</v>
      </c>
      <c r="U46" s="185"/>
      <c r="V46" s="186"/>
      <c r="W46" s="191">
        <v>0</v>
      </c>
      <c r="X46" s="192"/>
      <c r="Y46" s="192"/>
      <c r="Z46" s="79">
        <v>0</v>
      </c>
      <c r="AA46" s="80"/>
      <c r="AB46" s="81"/>
      <c r="AC46" s="79">
        <f>176.58</f>
        <v>176.58</v>
      </c>
      <c r="AD46" s="80"/>
      <c r="AE46" s="81"/>
      <c r="AF46" s="183">
        <f>176.58</f>
        <v>176.58</v>
      </c>
      <c r="AG46" s="183"/>
      <c r="AH46" s="183"/>
      <c r="AI46" s="19">
        <f>AF46/AF99</f>
        <v>3.4056298390107979E-4</v>
      </c>
      <c r="AJ46" s="105">
        <f>3238.33+AF46</f>
        <v>3414.91</v>
      </c>
      <c r="AK46" s="105"/>
    </row>
    <row r="47" spans="1:37" x14ac:dyDescent="0.25">
      <c r="A47" s="67" t="s">
        <v>29</v>
      </c>
      <c r="B47" s="183">
        <f>8945.5</f>
        <v>8945.5</v>
      </c>
      <c r="C47" s="183"/>
      <c r="D47" s="183"/>
      <c r="E47" s="184">
        <v>0</v>
      </c>
      <c r="F47" s="185"/>
      <c r="G47" s="186"/>
      <c r="H47" s="184">
        <v>12.25</v>
      </c>
      <c r="I47" s="185"/>
      <c r="J47" s="186"/>
      <c r="K47" s="204">
        <v>9.5</v>
      </c>
      <c r="L47" s="204"/>
      <c r="M47" s="204"/>
      <c r="N47" s="184">
        <v>0</v>
      </c>
      <c r="O47" s="185"/>
      <c r="P47" s="186"/>
      <c r="Q47" s="79">
        <v>0</v>
      </c>
      <c r="R47" s="80"/>
      <c r="S47" s="81"/>
      <c r="T47" s="184">
        <v>0</v>
      </c>
      <c r="U47" s="185"/>
      <c r="V47" s="186"/>
      <c r="W47" s="79">
        <f>1449.95</f>
        <v>1449.95</v>
      </c>
      <c r="X47" s="80"/>
      <c r="Y47" s="80"/>
      <c r="Z47" s="79">
        <f>6.25</f>
        <v>6.25</v>
      </c>
      <c r="AA47" s="80"/>
      <c r="AB47" s="81"/>
      <c r="AC47" s="79">
        <v>0</v>
      </c>
      <c r="AD47" s="80"/>
      <c r="AE47" s="81"/>
      <c r="AF47" s="183">
        <f>12.25+9.5+1449.95+6.25</f>
        <v>1477.95</v>
      </c>
      <c r="AG47" s="183"/>
      <c r="AH47" s="183"/>
      <c r="AI47" s="19">
        <f>AF47/AF99</f>
        <v>2.8504647301880216E-3</v>
      </c>
      <c r="AJ47" s="105">
        <f>8561.98+AF47</f>
        <v>10039.93</v>
      </c>
      <c r="AK47" s="105"/>
    </row>
    <row r="48" spans="1:37" x14ac:dyDescent="0.25">
      <c r="A48" s="67" t="s">
        <v>30</v>
      </c>
      <c r="B48" s="183">
        <f>44986</f>
        <v>44986</v>
      </c>
      <c r="C48" s="183"/>
      <c r="D48" s="183"/>
      <c r="E48" s="184">
        <v>0</v>
      </c>
      <c r="F48" s="185"/>
      <c r="G48" s="186"/>
      <c r="H48" s="184">
        <v>0</v>
      </c>
      <c r="I48" s="185"/>
      <c r="J48" s="186"/>
      <c r="K48" s="204">
        <v>0</v>
      </c>
      <c r="L48" s="204"/>
      <c r="M48" s="204"/>
      <c r="N48" s="184">
        <v>0</v>
      </c>
      <c r="O48" s="185"/>
      <c r="P48" s="186"/>
      <c r="Q48" s="79">
        <v>8265</v>
      </c>
      <c r="R48" s="80"/>
      <c r="S48" s="81"/>
      <c r="T48" s="184">
        <v>0</v>
      </c>
      <c r="U48" s="185"/>
      <c r="V48" s="186"/>
      <c r="W48" s="79">
        <v>0</v>
      </c>
      <c r="X48" s="80"/>
      <c r="Y48" s="80"/>
      <c r="Z48" s="79">
        <v>0</v>
      </c>
      <c r="AA48" s="80"/>
      <c r="AB48" s="81"/>
      <c r="AC48" s="79">
        <v>0</v>
      </c>
      <c r="AD48" s="80"/>
      <c r="AE48" s="81"/>
      <c r="AF48" s="183">
        <f>8265</f>
        <v>8265</v>
      </c>
      <c r="AG48" s="183"/>
      <c r="AH48" s="183"/>
      <c r="AI48" s="19">
        <f>AF48/AF99</f>
        <v>1.5940384312733175E-2</v>
      </c>
      <c r="AJ48" s="105">
        <f>44986+AF48</f>
        <v>53251</v>
      </c>
      <c r="AK48" s="105"/>
    </row>
    <row r="49" spans="1:37" x14ac:dyDescent="0.25">
      <c r="A49" s="66" t="s">
        <v>31</v>
      </c>
      <c r="B49" s="93">
        <f>SUM(B50:D61)</f>
        <v>196250.06</v>
      </c>
      <c r="C49" s="93"/>
      <c r="D49" s="93"/>
      <c r="E49" s="93">
        <f t="shared" ref="E49" si="16">SUM(E50:G61)</f>
        <v>3394.76</v>
      </c>
      <c r="F49" s="93"/>
      <c r="G49" s="93"/>
      <c r="H49" s="93">
        <f t="shared" ref="H49" si="17">SUM(H50:J61)</f>
        <v>3445.4700000000003</v>
      </c>
      <c r="I49" s="93"/>
      <c r="J49" s="93"/>
      <c r="K49" s="93">
        <f t="shared" ref="K49" si="18">SUM(K50:M61)</f>
        <v>3648.71</v>
      </c>
      <c r="L49" s="93"/>
      <c r="M49" s="93"/>
      <c r="N49" s="93">
        <f t="shared" ref="N49" si="19">SUM(N50:P61)</f>
        <v>3566.1600000000003</v>
      </c>
      <c r="O49" s="93"/>
      <c r="P49" s="93"/>
      <c r="Q49" s="93">
        <f t="shared" ref="Q49" si="20">SUM(Q50:S61)</f>
        <v>5452.22</v>
      </c>
      <c r="R49" s="93"/>
      <c r="S49" s="93"/>
      <c r="T49" s="93">
        <f t="shared" ref="T49" si="21">SUM(T50:V61)</f>
        <v>5594.24</v>
      </c>
      <c r="U49" s="93"/>
      <c r="V49" s="93"/>
      <c r="W49" s="93">
        <f>SUM(W50:Y61)</f>
        <v>3578.57</v>
      </c>
      <c r="X49" s="93"/>
      <c r="Y49" s="77"/>
      <c r="Z49" s="93">
        <f>SUM(Z50:AB61)</f>
        <v>3583.9700000000003</v>
      </c>
      <c r="AA49" s="93"/>
      <c r="AB49" s="77"/>
      <c r="AC49" s="93">
        <f>SUM(AC50:AE61)</f>
        <v>3583.52</v>
      </c>
      <c r="AD49" s="93"/>
      <c r="AE49" s="77"/>
      <c r="AF49" s="93">
        <f>SUM(AF50:AH61)</f>
        <v>35847.619999999995</v>
      </c>
      <c r="AG49" s="93"/>
      <c r="AH49" s="93"/>
      <c r="AI49" s="18">
        <f>AF49/AF99</f>
        <v>6.9137911614860256E-2</v>
      </c>
      <c r="AJ49" s="104">
        <f>SUM(AJ50:AK61)</f>
        <v>229056.90999999995</v>
      </c>
      <c r="AK49" s="104"/>
    </row>
    <row r="50" spans="1:37" ht="15" customHeight="1" x14ac:dyDescent="0.25">
      <c r="A50" s="69" t="s">
        <v>83</v>
      </c>
      <c r="B50" s="183">
        <f>5210.64</f>
        <v>5210.6400000000003</v>
      </c>
      <c r="C50" s="183"/>
      <c r="D50" s="183"/>
      <c r="E50" s="184">
        <v>0</v>
      </c>
      <c r="F50" s="185"/>
      <c r="G50" s="186"/>
      <c r="H50" s="184">
        <v>0</v>
      </c>
      <c r="I50" s="185"/>
      <c r="J50" s="186"/>
      <c r="K50" s="204">
        <v>0</v>
      </c>
      <c r="L50" s="204"/>
      <c r="M50" s="204"/>
      <c r="N50" s="184">
        <v>0</v>
      </c>
      <c r="O50" s="185"/>
      <c r="P50" s="186"/>
      <c r="Q50" s="79">
        <v>0</v>
      </c>
      <c r="R50" s="80"/>
      <c r="S50" s="81"/>
      <c r="T50" s="184">
        <v>0</v>
      </c>
      <c r="U50" s="185"/>
      <c r="V50" s="186"/>
      <c r="W50" s="79">
        <v>0</v>
      </c>
      <c r="X50" s="80"/>
      <c r="Y50" s="80"/>
      <c r="Z50" s="79">
        <v>0</v>
      </c>
      <c r="AA50" s="80"/>
      <c r="AB50" s="81"/>
      <c r="AC50" s="79">
        <v>0</v>
      </c>
      <c r="AD50" s="80"/>
      <c r="AE50" s="81"/>
      <c r="AF50" s="101">
        <v>0</v>
      </c>
      <c r="AG50" s="102"/>
      <c r="AH50" s="103"/>
      <c r="AI50" s="19">
        <f>AF50/AF99</f>
        <v>0</v>
      </c>
      <c r="AJ50" s="209">
        <f>28211.28+AF50</f>
        <v>28211.279999999999</v>
      </c>
      <c r="AK50" s="210"/>
    </row>
    <row r="51" spans="1:37" ht="15" customHeight="1" x14ac:dyDescent="0.25">
      <c r="A51" s="67" t="s">
        <v>32</v>
      </c>
      <c r="B51" s="183">
        <f>7320</f>
        <v>7320</v>
      </c>
      <c r="C51" s="183"/>
      <c r="D51" s="183"/>
      <c r="E51" s="184">
        <v>0</v>
      </c>
      <c r="F51" s="185"/>
      <c r="G51" s="186"/>
      <c r="H51" s="184">
        <v>0</v>
      </c>
      <c r="I51" s="185"/>
      <c r="J51" s="186"/>
      <c r="K51" s="204">
        <v>0</v>
      </c>
      <c r="L51" s="204"/>
      <c r="M51" s="204"/>
      <c r="N51" s="184">
        <v>0</v>
      </c>
      <c r="O51" s="185"/>
      <c r="P51" s="186"/>
      <c r="Q51" s="79">
        <v>0</v>
      </c>
      <c r="R51" s="80"/>
      <c r="S51" s="81"/>
      <c r="T51" s="184">
        <v>2020</v>
      </c>
      <c r="U51" s="185"/>
      <c r="V51" s="186"/>
      <c r="W51" s="79">
        <v>0</v>
      </c>
      <c r="X51" s="80"/>
      <c r="Y51" s="80"/>
      <c r="Z51" s="79">
        <v>0</v>
      </c>
      <c r="AA51" s="80"/>
      <c r="AB51" s="81"/>
      <c r="AC51" s="79">
        <v>0</v>
      </c>
      <c r="AD51" s="80"/>
      <c r="AE51" s="81"/>
      <c r="AF51" s="101">
        <f>2020</f>
        <v>2020</v>
      </c>
      <c r="AG51" s="102"/>
      <c r="AH51" s="103"/>
      <c r="AI51" s="19">
        <f>AF51/AF99</f>
        <v>3.8958955005107096E-3</v>
      </c>
      <c r="AJ51" s="79">
        <f>7320+AF51</f>
        <v>9340</v>
      </c>
      <c r="AK51" s="81"/>
    </row>
    <row r="52" spans="1:37" ht="15" customHeight="1" x14ac:dyDescent="0.25">
      <c r="A52" s="67" t="s">
        <v>84</v>
      </c>
      <c r="B52" s="183">
        <f>38253.84</f>
        <v>38253.839999999997</v>
      </c>
      <c r="C52" s="183"/>
      <c r="D52" s="183"/>
      <c r="E52" s="184">
        <v>450</v>
      </c>
      <c r="F52" s="185"/>
      <c r="G52" s="186"/>
      <c r="H52" s="184">
        <v>450</v>
      </c>
      <c r="I52" s="185"/>
      <c r="J52" s="186"/>
      <c r="K52" s="204">
        <v>690</v>
      </c>
      <c r="L52" s="204"/>
      <c r="M52" s="204"/>
      <c r="N52" s="184">
        <v>450</v>
      </c>
      <c r="O52" s="185"/>
      <c r="P52" s="186"/>
      <c r="Q52" s="79">
        <v>450</v>
      </c>
      <c r="R52" s="80"/>
      <c r="S52" s="81"/>
      <c r="T52" s="184">
        <v>450</v>
      </c>
      <c r="U52" s="185"/>
      <c r="V52" s="186"/>
      <c r="W52" s="79">
        <f>450</f>
        <v>450</v>
      </c>
      <c r="X52" s="80"/>
      <c r="Y52" s="80"/>
      <c r="Z52" s="79">
        <f>450</f>
        <v>450</v>
      </c>
      <c r="AA52" s="80"/>
      <c r="AB52" s="81"/>
      <c r="AC52" s="79">
        <f>450</f>
        <v>450</v>
      </c>
      <c r="AD52" s="80"/>
      <c r="AE52" s="81"/>
      <c r="AF52" s="101">
        <f>450+450+690+450+450+450+450+450+450</f>
        <v>4290</v>
      </c>
      <c r="AG52" s="102"/>
      <c r="AH52" s="103"/>
      <c r="AI52" s="19">
        <f>AF52/AF99</f>
        <v>8.2739562857380919E-3</v>
      </c>
      <c r="AJ52" s="79">
        <f>11250+AF52</f>
        <v>15540</v>
      </c>
      <c r="AK52" s="81"/>
    </row>
    <row r="53" spans="1:37" ht="15" customHeight="1" x14ac:dyDescent="0.25">
      <c r="A53" s="67" t="s">
        <v>85</v>
      </c>
      <c r="B53" s="183">
        <f>43576.7</f>
        <v>43576.7</v>
      </c>
      <c r="C53" s="183"/>
      <c r="D53" s="183"/>
      <c r="E53" s="184">
        <v>0</v>
      </c>
      <c r="F53" s="185"/>
      <c r="G53" s="186"/>
      <c r="H53" s="184">
        <v>0</v>
      </c>
      <c r="I53" s="185"/>
      <c r="J53" s="186"/>
      <c r="K53" s="204">
        <v>0</v>
      </c>
      <c r="L53" s="204"/>
      <c r="M53" s="204"/>
      <c r="N53" s="184">
        <v>0</v>
      </c>
      <c r="O53" s="185"/>
      <c r="P53" s="186"/>
      <c r="Q53" s="79">
        <v>0</v>
      </c>
      <c r="R53" s="80"/>
      <c r="S53" s="81"/>
      <c r="T53" s="184">
        <v>0</v>
      </c>
      <c r="U53" s="185"/>
      <c r="V53" s="186"/>
      <c r="W53" s="79">
        <v>0</v>
      </c>
      <c r="X53" s="80"/>
      <c r="Y53" s="80"/>
      <c r="Z53" s="79">
        <v>0</v>
      </c>
      <c r="AA53" s="80"/>
      <c r="AB53" s="81"/>
      <c r="AC53" s="79">
        <v>0</v>
      </c>
      <c r="AD53" s="80"/>
      <c r="AE53" s="81"/>
      <c r="AF53" s="101">
        <v>0</v>
      </c>
      <c r="AG53" s="102"/>
      <c r="AH53" s="103"/>
      <c r="AI53" s="19">
        <f>AF53/AF99</f>
        <v>0</v>
      </c>
      <c r="AJ53" s="79">
        <f>43576.7+AF53</f>
        <v>43576.7</v>
      </c>
      <c r="AK53" s="81"/>
    </row>
    <row r="54" spans="1:37" x14ac:dyDescent="0.25">
      <c r="A54" s="67" t="s">
        <v>86</v>
      </c>
      <c r="B54" s="183">
        <f>65396.1</f>
        <v>65396.1</v>
      </c>
      <c r="C54" s="183"/>
      <c r="D54" s="183"/>
      <c r="E54" s="184">
        <v>2581.65</v>
      </c>
      <c r="F54" s="185"/>
      <c r="G54" s="186"/>
      <c r="H54" s="184">
        <v>2590.5100000000002</v>
      </c>
      <c r="I54" s="185"/>
      <c r="J54" s="186"/>
      <c r="K54" s="204">
        <v>2595.6</v>
      </c>
      <c r="L54" s="204"/>
      <c r="M54" s="204"/>
      <c r="N54" s="184">
        <v>2597.4</v>
      </c>
      <c r="O54" s="185"/>
      <c r="P54" s="186"/>
      <c r="Q54" s="79">
        <v>2618.5500000000002</v>
      </c>
      <c r="R54" s="80"/>
      <c r="S54" s="81"/>
      <c r="T54" s="184">
        <v>2615.4</v>
      </c>
      <c r="U54" s="185"/>
      <c r="V54" s="186"/>
      <c r="W54" s="79">
        <f>2619.9</f>
        <v>2619.9</v>
      </c>
      <c r="X54" s="80"/>
      <c r="Y54" s="80"/>
      <c r="Z54" s="79">
        <f>2625.3</f>
        <v>2625.3</v>
      </c>
      <c r="AA54" s="80"/>
      <c r="AB54" s="81"/>
      <c r="AC54" s="79">
        <f>2624.85</f>
        <v>2624.85</v>
      </c>
      <c r="AD54" s="80"/>
      <c r="AE54" s="81"/>
      <c r="AF54" s="183">
        <f>2581.65+2590.51+2595.6+2597.4+2618.55+2615.4+2619.9+2625.3+2624.85</f>
        <v>23469.159999999996</v>
      </c>
      <c r="AG54" s="183"/>
      <c r="AH54" s="183"/>
      <c r="AI54" s="19">
        <f>AF54/AF99</f>
        <v>4.5264056853844513E-2</v>
      </c>
      <c r="AJ54" s="211">
        <f>65396.1+AF54</f>
        <v>88865.26</v>
      </c>
      <c r="AK54" s="211"/>
    </row>
    <row r="55" spans="1:37" x14ac:dyDescent="0.25">
      <c r="A55" s="67" t="s">
        <v>33</v>
      </c>
      <c r="B55" s="183">
        <f>5687.89</f>
        <v>5687.89</v>
      </c>
      <c r="C55" s="183"/>
      <c r="D55" s="183"/>
      <c r="E55" s="184">
        <v>273.11</v>
      </c>
      <c r="F55" s="185"/>
      <c r="G55" s="186"/>
      <c r="H55" s="184">
        <v>273.11</v>
      </c>
      <c r="I55" s="185"/>
      <c r="J55" s="186"/>
      <c r="K55" s="204">
        <v>273.11</v>
      </c>
      <c r="L55" s="204"/>
      <c r="M55" s="204"/>
      <c r="N55" s="184">
        <v>293.67</v>
      </c>
      <c r="O55" s="185"/>
      <c r="P55" s="186"/>
      <c r="Q55" s="79">
        <v>293.67</v>
      </c>
      <c r="R55" s="80"/>
      <c r="S55" s="81"/>
      <c r="T55" s="184">
        <v>293.67</v>
      </c>
      <c r="U55" s="185"/>
      <c r="V55" s="186"/>
      <c r="W55" s="79">
        <f>293.67</f>
        <v>293.67</v>
      </c>
      <c r="X55" s="80"/>
      <c r="Y55" s="80"/>
      <c r="Z55" s="79">
        <f>293.67</f>
        <v>293.67</v>
      </c>
      <c r="AA55" s="80"/>
      <c r="AB55" s="81"/>
      <c r="AC55" s="79">
        <f>293.67</f>
        <v>293.67</v>
      </c>
      <c r="AD55" s="80"/>
      <c r="AE55" s="81"/>
      <c r="AF55" s="183">
        <f>273.11+273.11+273.11+293.67+293.67+293.67+293.67+293.67+293.67</f>
        <v>2581.3500000000004</v>
      </c>
      <c r="AG55" s="183"/>
      <c r="AH55" s="183"/>
      <c r="AI55" s="19">
        <f>AF55/AF99</f>
        <v>4.978549430813526E-3</v>
      </c>
      <c r="AJ55" s="105">
        <f>5687.89+AF55</f>
        <v>8269.2400000000016</v>
      </c>
      <c r="AK55" s="105"/>
    </row>
    <row r="56" spans="1:37" x14ac:dyDescent="0.25">
      <c r="A56" s="67" t="s">
        <v>34</v>
      </c>
      <c r="B56" s="183">
        <f>360</f>
        <v>360</v>
      </c>
      <c r="C56" s="183"/>
      <c r="D56" s="183"/>
      <c r="E56" s="184">
        <v>90</v>
      </c>
      <c r="F56" s="185"/>
      <c r="G56" s="186"/>
      <c r="H56" s="184">
        <v>131.85</v>
      </c>
      <c r="I56" s="185"/>
      <c r="J56" s="186"/>
      <c r="K56" s="204">
        <v>90</v>
      </c>
      <c r="L56" s="204"/>
      <c r="M56" s="204"/>
      <c r="N56" s="184">
        <v>225.09</v>
      </c>
      <c r="O56" s="185"/>
      <c r="P56" s="186"/>
      <c r="Q56" s="79">
        <v>90</v>
      </c>
      <c r="R56" s="80"/>
      <c r="S56" s="81"/>
      <c r="T56" s="184">
        <v>215.17</v>
      </c>
      <c r="U56" s="185"/>
      <c r="V56" s="186"/>
      <c r="W56" s="79">
        <f>215</f>
        <v>215</v>
      </c>
      <c r="X56" s="80"/>
      <c r="Y56" s="80"/>
      <c r="Z56" s="79">
        <f>215</f>
        <v>215</v>
      </c>
      <c r="AA56" s="80"/>
      <c r="AB56" s="81"/>
      <c r="AC56" s="79">
        <f>215</f>
        <v>215</v>
      </c>
      <c r="AD56" s="80"/>
      <c r="AE56" s="81"/>
      <c r="AF56" s="183">
        <f>90+131.85+90+225.09+90+215.17+215+215+215</f>
        <v>1487.1100000000001</v>
      </c>
      <c r="AG56" s="183"/>
      <c r="AH56" s="183"/>
      <c r="AI56" s="19">
        <f>AF56/AF99</f>
        <v>2.8681312662200407E-3</v>
      </c>
      <c r="AJ56" s="105">
        <f>696.75+AF56</f>
        <v>2183.86</v>
      </c>
      <c r="AK56" s="105"/>
    </row>
    <row r="57" spans="1:37" x14ac:dyDescent="0.25">
      <c r="A57" s="67" t="s">
        <v>35</v>
      </c>
      <c r="B57" s="183">
        <f>19782.78</f>
        <v>19782.78</v>
      </c>
      <c r="C57" s="183"/>
      <c r="D57" s="183"/>
      <c r="E57" s="184">
        <v>0</v>
      </c>
      <c r="F57" s="185"/>
      <c r="G57" s="186"/>
      <c r="H57" s="184">
        <v>0</v>
      </c>
      <c r="I57" s="185"/>
      <c r="J57" s="186"/>
      <c r="K57" s="204">
        <v>0</v>
      </c>
      <c r="L57" s="204"/>
      <c r="M57" s="204"/>
      <c r="N57" s="184">
        <v>0</v>
      </c>
      <c r="O57" s="185"/>
      <c r="P57" s="186"/>
      <c r="Q57" s="79">
        <v>2000</v>
      </c>
      <c r="R57" s="80"/>
      <c r="S57" s="81"/>
      <c r="T57" s="184">
        <v>0</v>
      </c>
      <c r="U57" s="185"/>
      <c r="V57" s="186"/>
      <c r="W57" s="79">
        <v>0</v>
      </c>
      <c r="X57" s="80"/>
      <c r="Y57" s="80"/>
      <c r="Z57" s="79">
        <v>0</v>
      </c>
      <c r="AA57" s="80"/>
      <c r="AB57" s="81"/>
      <c r="AC57" s="79">
        <v>0</v>
      </c>
      <c r="AD57" s="80"/>
      <c r="AE57" s="81"/>
      <c r="AF57" s="183">
        <f>2000</f>
        <v>2000</v>
      </c>
      <c r="AG57" s="183"/>
      <c r="AH57" s="183"/>
      <c r="AI57" s="19">
        <f>AF57/AF99</f>
        <v>3.8573222777333761E-3</v>
      </c>
      <c r="AJ57" s="105">
        <f>21782.46+AF57</f>
        <v>23782.46</v>
      </c>
      <c r="AK57" s="105"/>
    </row>
    <row r="58" spans="1:37" x14ac:dyDescent="0.25">
      <c r="A58" s="67" t="s">
        <v>36</v>
      </c>
      <c r="B58" s="183">
        <f>3000</f>
        <v>3000</v>
      </c>
      <c r="C58" s="183"/>
      <c r="D58" s="183"/>
      <c r="E58" s="184">
        <v>0</v>
      </c>
      <c r="F58" s="185"/>
      <c r="G58" s="186"/>
      <c r="H58" s="184">
        <v>0</v>
      </c>
      <c r="I58" s="185"/>
      <c r="J58" s="186"/>
      <c r="K58" s="204">
        <v>0</v>
      </c>
      <c r="L58" s="204"/>
      <c r="M58" s="204"/>
      <c r="N58" s="184">
        <v>0</v>
      </c>
      <c r="O58" s="185"/>
      <c r="P58" s="186"/>
      <c r="Q58" s="79">
        <v>0</v>
      </c>
      <c r="R58" s="80"/>
      <c r="S58" s="81"/>
      <c r="T58" s="184">
        <v>0</v>
      </c>
      <c r="U58" s="185"/>
      <c r="V58" s="186"/>
      <c r="W58" s="79">
        <v>0</v>
      </c>
      <c r="X58" s="80"/>
      <c r="Y58" s="80"/>
      <c r="Z58" s="79">
        <v>0</v>
      </c>
      <c r="AA58" s="80"/>
      <c r="AB58" s="81"/>
      <c r="AC58" s="79">
        <v>0</v>
      </c>
      <c r="AD58" s="80"/>
      <c r="AE58" s="81"/>
      <c r="AF58" s="183">
        <v>0</v>
      </c>
      <c r="AG58" s="183"/>
      <c r="AH58" s="183"/>
      <c r="AI58" s="19">
        <f>AF58/AF99</f>
        <v>0</v>
      </c>
      <c r="AJ58" s="105">
        <f>1500+AF58</f>
        <v>1500</v>
      </c>
      <c r="AK58" s="105"/>
    </row>
    <row r="59" spans="1:37" x14ac:dyDescent="0.25">
      <c r="A59" s="67" t="s">
        <v>37</v>
      </c>
      <c r="B59" s="183">
        <f>5618.11</f>
        <v>5618.11</v>
      </c>
      <c r="C59" s="183"/>
      <c r="D59" s="183"/>
      <c r="E59" s="184">
        <v>0</v>
      </c>
      <c r="F59" s="185"/>
      <c r="G59" s="186"/>
      <c r="H59" s="184">
        <v>0</v>
      </c>
      <c r="I59" s="185"/>
      <c r="J59" s="186"/>
      <c r="K59" s="204">
        <v>0</v>
      </c>
      <c r="L59" s="204"/>
      <c r="M59" s="204"/>
      <c r="N59" s="184">
        <v>0</v>
      </c>
      <c r="O59" s="185"/>
      <c r="P59" s="186"/>
      <c r="Q59" s="79">
        <v>0</v>
      </c>
      <c r="R59" s="80"/>
      <c r="S59" s="81"/>
      <c r="T59" s="184">
        <v>0</v>
      </c>
      <c r="U59" s="185"/>
      <c r="V59" s="186"/>
      <c r="W59" s="79">
        <v>0</v>
      </c>
      <c r="X59" s="80"/>
      <c r="Y59" s="80"/>
      <c r="Z59" s="79">
        <v>0</v>
      </c>
      <c r="AA59" s="80"/>
      <c r="AB59" s="81"/>
      <c r="AC59" s="79">
        <v>0</v>
      </c>
      <c r="AD59" s="80"/>
      <c r="AE59" s="81"/>
      <c r="AF59" s="183">
        <v>0</v>
      </c>
      <c r="AG59" s="183"/>
      <c r="AH59" s="183"/>
      <c r="AI59" s="19">
        <f>AF59/AF99</f>
        <v>0</v>
      </c>
      <c r="AJ59" s="105">
        <f>5618.11+AF59</f>
        <v>5618.11</v>
      </c>
      <c r="AK59" s="105"/>
    </row>
    <row r="60" spans="1:37" x14ac:dyDescent="0.25">
      <c r="A60" s="67" t="s">
        <v>38</v>
      </c>
      <c r="B60" s="183">
        <f>84</f>
        <v>84</v>
      </c>
      <c r="C60" s="183"/>
      <c r="D60" s="183"/>
      <c r="E60" s="184">
        <v>0</v>
      </c>
      <c r="F60" s="185"/>
      <c r="G60" s="186"/>
      <c r="H60" s="184">
        <v>0</v>
      </c>
      <c r="I60" s="185"/>
      <c r="J60" s="186"/>
      <c r="K60" s="204">
        <v>0</v>
      </c>
      <c r="L60" s="204"/>
      <c r="M60" s="204"/>
      <c r="N60" s="184">
        <v>0</v>
      </c>
      <c r="O60" s="185"/>
      <c r="P60" s="186"/>
      <c r="Q60" s="79">
        <v>0</v>
      </c>
      <c r="R60" s="80"/>
      <c r="S60" s="81"/>
      <c r="T60" s="184">
        <v>0</v>
      </c>
      <c r="U60" s="185"/>
      <c r="V60" s="186"/>
      <c r="W60" s="79">
        <v>0</v>
      </c>
      <c r="X60" s="80"/>
      <c r="Y60" s="80"/>
      <c r="Z60" s="79">
        <v>0</v>
      </c>
      <c r="AA60" s="80"/>
      <c r="AB60" s="81"/>
      <c r="AC60" s="79">
        <v>0</v>
      </c>
      <c r="AD60" s="80"/>
      <c r="AE60" s="81"/>
      <c r="AF60" s="183">
        <f>0</f>
        <v>0</v>
      </c>
      <c r="AG60" s="183"/>
      <c r="AH60" s="183"/>
      <c r="AI60" s="19">
        <f>AF60/AF99</f>
        <v>0</v>
      </c>
      <c r="AJ60" s="105">
        <f>0+AF60</f>
        <v>0</v>
      </c>
      <c r="AK60" s="105"/>
    </row>
    <row r="61" spans="1:37" x14ac:dyDescent="0.25">
      <c r="A61" s="67" t="s">
        <v>39</v>
      </c>
      <c r="B61" s="183">
        <f>1960</f>
        <v>1960</v>
      </c>
      <c r="C61" s="183"/>
      <c r="D61" s="183"/>
      <c r="E61" s="184">
        <v>0</v>
      </c>
      <c r="F61" s="185"/>
      <c r="G61" s="186"/>
      <c r="H61" s="184">
        <v>0</v>
      </c>
      <c r="I61" s="185"/>
      <c r="J61" s="186"/>
      <c r="K61" s="204">
        <v>0</v>
      </c>
      <c r="L61" s="204"/>
      <c r="M61" s="204"/>
      <c r="N61" s="184">
        <v>0</v>
      </c>
      <c r="O61" s="185"/>
      <c r="P61" s="186"/>
      <c r="Q61" s="79">
        <v>0</v>
      </c>
      <c r="R61" s="80"/>
      <c r="S61" s="81"/>
      <c r="T61" s="184">
        <v>0</v>
      </c>
      <c r="U61" s="185"/>
      <c r="V61" s="186"/>
      <c r="W61" s="79">
        <v>0</v>
      </c>
      <c r="X61" s="80"/>
      <c r="Y61" s="80"/>
      <c r="Z61" s="79">
        <v>0</v>
      </c>
      <c r="AA61" s="80"/>
      <c r="AB61" s="81"/>
      <c r="AC61" s="79">
        <v>0</v>
      </c>
      <c r="AD61" s="80"/>
      <c r="AE61" s="81"/>
      <c r="AF61" s="183">
        <v>0</v>
      </c>
      <c r="AG61" s="183"/>
      <c r="AH61" s="183"/>
      <c r="AI61" s="19">
        <f>AF61/AF99</f>
        <v>0</v>
      </c>
      <c r="AJ61" s="105">
        <f>2170+AF61</f>
        <v>2170</v>
      </c>
      <c r="AK61" s="105"/>
    </row>
    <row r="62" spans="1:37" x14ac:dyDescent="0.25">
      <c r="A62" s="66" t="s">
        <v>40</v>
      </c>
      <c r="B62" s="93">
        <v>36231.96</v>
      </c>
      <c r="C62" s="93"/>
      <c r="D62" s="93"/>
      <c r="E62" s="98">
        <f>SUM(E63:E66)</f>
        <v>3987.0299999999997</v>
      </c>
      <c r="F62" s="99"/>
      <c r="G62" s="100"/>
      <c r="H62" s="98">
        <f t="shared" ref="H62" si="22">SUM(H63:H66)</f>
        <v>4769.6900000000005</v>
      </c>
      <c r="I62" s="99"/>
      <c r="J62" s="100"/>
      <c r="K62" s="205">
        <f>SUM(K63:K66)</f>
        <v>4101.08</v>
      </c>
      <c r="L62" s="205"/>
      <c r="M62" s="205"/>
      <c r="N62" s="98">
        <f t="shared" ref="N62" si="23">SUM(N63:N66)</f>
        <v>4024.0099999999998</v>
      </c>
      <c r="O62" s="99"/>
      <c r="P62" s="100"/>
      <c r="Q62" s="98">
        <f t="shared" ref="Q62" si="24">SUM(Q63:Q66)</f>
        <v>7067.6200000000008</v>
      </c>
      <c r="R62" s="99"/>
      <c r="S62" s="100"/>
      <c r="T62" s="98">
        <f t="shared" ref="T62" si="25">SUM(T63:T66)</f>
        <v>434.25</v>
      </c>
      <c r="U62" s="99"/>
      <c r="V62" s="100"/>
      <c r="W62" s="77">
        <f>SUM(W63:Y66)</f>
        <v>4297.43</v>
      </c>
      <c r="X62" s="78"/>
      <c r="Y62" s="78"/>
      <c r="Z62" s="77">
        <f>SUM(Z63:AB66)</f>
        <v>1359.5900000000001</v>
      </c>
      <c r="AA62" s="78"/>
      <c r="AB62" s="78"/>
      <c r="AC62" s="77">
        <f>SUM(AC63:AE66)</f>
        <v>3969.12</v>
      </c>
      <c r="AD62" s="78"/>
      <c r="AE62" s="78"/>
      <c r="AF62" s="93">
        <f>SUM(AF63:AH66)</f>
        <v>34009.819999999992</v>
      </c>
      <c r="AG62" s="93"/>
      <c r="AH62" s="93"/>
      <c r="AI62" s="18">
        <f>AF62/AF99</f>
        <v>6.5593418173851045E-2</v>
      </c>
      <c r="AJ62" s="104">
        <f>SUM(AJ63:AK66)</f>
        <v>170851.91999999998</v>
      </c>
      <c r="AK62" s="104"/>
    </row>
    <row r="63" spans="1:37" x14ac:dyDescent="0.25">
      <c r="A63" s="67" t="s">
        <v>88</v>
      </c>
      <c r="B63" s="183">
        <v>20526.309999999998</v>
      </c>
      <c r="C63" s="183"/>
      <c r="D63" s="183"/>
      <c r="E63" s="184">
        <v>3422.2</v>
      </c>
      <c r="F63" s="185"/>
      <c r="G63" s="186"/>
      <c r="H63" s="184">
        <v>3668.5</v>
      </c>
      <c r="I63" s="185"/>
      <c r="J63" s="186"/>
      <c r="K63" s="204">
        <v>3437.6</v>
      </c>
      <c r="L63" s="204"/>
      <c r="M63" s="204"/>
      <c r="N63" s="184">
        <v>3450.4</v>
      </c>
      <c r="O63" s="185"/>
      <c r="P63" s="186"/>
      <c r="Q63" s="79">
        <v>3538.9</v>
      </c>
      <c r="R63" s="80"/>
      <c r="S63" s="81"/>
      <c r="T63" s="184">
        <v>120.6</v>
      </c>
      <c r="U63" s="185"/>
      <c r="V63" s="186"/>
      <c r="W63" s="79">
        <f>3441</f>
        <v>3441</v>
      </c>
      <c r="X63" s="80"/>
      <c r="Y63" s="80"/>
      <c r="Z63" s="79">
        <f>24.5+9.5+1.5+1.5+9.5+9.5+42</f>
        <v>98</v>
      </c>
      <c r="AA63" s="80"/>
      <c r="AB63" s="81"/>
      <c r="AC63" s="79">
        <f>24.5+9.5+9.5+9.5+9.5+9.5+1+1+3156.14+42+1</f>
        <v>3273.14</v>
      </c>
      <c r="AD63" s="80"/>
      <c r="AE63" s="81"/>
      <c r="AF63" s="183">
        <f>3422.2+3668.5+3437.6+3450.4+3538.9+120.6+3441+98+3273.14</f>
        <v>24450.339999999997</v>
      </c>
      <c r="AG63" s="183"/>
      <c r="AH63" s="183"/>
      <c r="AI63" s="19">
        <f>AF63/AF99</f>
        <v>4.7156420590077727E-2</v>
      </c>
      <c r="AJ63" s="211">
        <f>82070.16+AF63</f>
        <v>106520.5</v>
      </c>
      <c r="AK63" s="211"/>
    </row>
    <row r="64" spans="1:37" x14ac:dyDescent="0.25">
      <c r="A64" s="67" t="s">
        <v>41</v>
      </c>
      <c r="B64" s="183">
        <v>9727.3100000000013</v>
      </c>
      <c r="C64" s="183"/>
      <c r="D64" s="183"/>
      <c r="E64" s="184">
        <v>529.87</v>
      </c>
      <c r="F64" s="185"/>
      <c r="G64" s="186"/>
      <c r="H64" s="184">
        <v>562.69000000000005</v>
      </c>
      <c r="I64" s="185"/>
      <c r="J64" s="186"/>
      <c r="K64" s="204">
        <v>551.74</v>
      </c>
      <c r="L64" s="204"/>
      <c r="M64" s="204"/>
      <c r="N64" s="184">
        <v>524.16</v>
      </c>
      <c r="O64" s="185"/>
      <c r="P64" s="186"/>
      <c r="Q64" s="79">
        <v>529.87</v>
      </c>
      <c r="R64" s="80"/>
      <c r="S64" s="81"/>
      <c r="T64" s="184">
        <v>311.62</v>
      </c>
      <c r="U64" s="185"/>
      <c r="V64" s="186"/>
      <c r="W64" s="79">
        <f>75+232.5+240.73+257.07</f>
        <v>805.3</v>
      </c>
      <c r="X64" s="80"/>
      <c r="Y64" s="80"/>
      <c r="Z64" s="79">
        <f>255.4+75+232.5</f>
        <v>562.9</v>
      </c>
      <c r="AA64" s="80"/>
      <c r="AB64" s="81"/>
      <c r="AC64" s="79">
        <f>232.5+75+262.73</f>
        <v>570.23</v>
      </c>
      <c r="AD64" s="80"/>
      <c r="AE64" s="81"/>
      <c r="AF64" s="183">
        <f>529.87+562.69+551.74+524.16+529.87+311.62+805.3+562.9+570.23</f>
        <v>4948.3799999999992</v>
      </c>
      <c r="AG64" s="183"/>
      <c r="AH64" s="183"/>
      <c r="AI64" s="19">
        <f>AF64/AF99</f>
        <v>9.5437482063451401E-3</v>
      </c>
      <c r="AJ64" s="211">
        <f>40464.83+AF64</f>
        <v>45413.21</v>
      </c>
      <c r="AK64" s="211"/>
    </row>
    <row r="65" spans="1:37" x14ac:dyDescent="0.25">
      <c r="A65" s="67" t="s">
        <v>42</v>
      </c>
      <c r="B65" s="183">
        <v>5978.34</v>
      </c>
      <c r="C65" s="183"/>
      <c r="D65" s="183"/>
      <c r="E65" s="184">
        <v>34.96</v>
      </c>
      <c r="F65" s="185"/>
      <c r="G65" s="186"/>
      <c r="H65" s="184">
        <v>538.5</v>
      </c>
      <c r="I65" s="185"/>
      <c r="J65" s="186"/>
      <c r="K65" s="204">
        <v>111.74</v>
      </c>
      <c r="L65" s="204"/>
      <c r="M65" s="204"/>
      <c r="N65" s="184">
        <v>49.45</v>
      </c>
      <c r="O65" s="185"/>
      <c r="P65" s="186"/>
      <c r="Q65" s="79">
        <v>2998.8500000000004</v>
      </c>
      <c r="R65" s="80"/>
      <c r="S65" s="81"/>
      <c r="T65" s="184">
        <v>2.0299999999999998</v>
      </c>
      <c r="U65" s="185"/>
      <c r="V65" s="186"/>
      <c r="W65" s="79">
        <f>51.13</f>
        <v>51.13</v>
      </c>
      <c r="X65" s="80"/>
      <c r="Y65" s="80"/>
      <c r="Z65" s="79">
        <f>698.69</f>
        <v>698.69</v>
      </c>
      <c r="AA65" s="80"/>
      <c r="AB65" s="81"/>
      <c r="AC65" s="79">
        <f>125.75</f>
        <v>125.75</v>
      </c>
      <c r="AD65" s="80"/>
      <c r="AE65" s="81"/>
      <c r="AF65" s="183">
        <f>34.96+538.5+111.74+49.45+2998.85+2.03+51.13+698.69+125.75</f>
        <v>4611.1000000000004</v>
      </c>
      <c r="AG65" s="183"/>
      <c r="AH65" s="183"/>
      <c r="AI65" s="19">
        <f>AF65/AF99</f>
        <v>8.8932493774281848E-3</v>
      </c>
      <c r="AJ65" s="211">
        <f>14281.74+AF65</f>
        <v>18892.84</v>
      </c>
      <c r="AK65" s="211"/>
    </row>
    <row r="66" spans="1:37" x14ac:dyDescent="0.25">
      <c r="A66" s="67" t="s">
        <v>43</v>
      </c>
      <c r="B66" s="183">
        <v>0</v>
      </c>
      <c r="C66" s="183"/>
      <c r="D66" s="183"/>
      <c r="E66" s="184">
        <v>0</v>
      </c>
      <c r="F66" s="185"/>
      <c r="G66" s="186"/>
      <c r="H66" s="184">
        <v>0</v>
      </c>
      <c r="I66" s="185"/>
      <c r="J66" s="186"/>
      <c r="K66" s="204">
        <v>0</v>
      </c>
      <c r="L66" s="204"/>
      <c r="M66" s="204"/>
      <c r="N66" s="184">
        <v>0</v>
      </c>
      <c r="O66" s="185"/>
      <c r="P66" s="186"/>
      <c r="Q66" s="79">
        <v>0</v>
      </c>
      <c r="R66" s="80"/>
      <c r="S66" s="81"/>
      <c r="T66" s="184">
        <v>0</v>
      </c>
      <c r="U66" s="185"/>
      <c r="V66" s="186"/>
      <c r="W66" s="79">
        <v>0</v>
      </c>
      <c r="X66" s="80"/>
      <c r="Y66" s="80"/>
      <c r="Z66" s="79">
        <v>0</v>
      </c>
      <c r="AA66" s="80"/>
      <c r="AB66" s="81"/>
      <c r="AC66" s="79">
        <v>0</v>
      </c>
      <c r="AD66" s="80"/>
      <c r="AE66" s="81"/>
      <c r="AF66" s="183">
        <v>0</v>
      </c>
      <c r="AG66" s="183"/>
      <c r="AH66" s="183"/>
      <c r="AI66" s="19">
        <f>AF66/AF99</f>
        <v>0</v>
      </c>
      <c r="AJ66" s="209">
        <f>25.37+AF66</f>
        <v>25.37</v>
      </c>
      <c r="AK66" s="210"/>
    </row>
    <row r="67" spans="1:37" x14ac:dyDescent="0.25">
      <c r="A67" s="66" t="s">
        <v>44</v>
      </c>
      <c r="B67" s="93">
        <v>130947.96</v>
      </c>
      <c r="C67" s="93"/>
      <c r="D67" s="93"/>
      <c r="E67" s="98">
        <f>SUM(E68:E79)</f>
        <v>9724.5499999999993</v>
      </c>
      <c r="F67" s="99"/>
      <c r="G67" s="100"/>
      <c r="H67" s="98">
        <f t="shared" ref="H67" si="26">SUM(H68:H79)</f>
        <v>12319.49</v>
      </c>
      <c r="I67" s="99"/>
      <c r="J67" s="100"/>
      <c r="K67" s="205">
        <f>SUM(K68:K79)</f>
        <v>8863.43</v>
      </c>
      <c r="L67" s="205"/>
      <c r="M67" s="205"/>
      <c r="N67" s="98">
        <f t="shared" ref="N67" si="27">SUM(N68:N79)</f>
        <v>9496.3100000000013</v>
      </c>
      <c r="O67" s="99"/>
      <c r="P67" s="100"/>
      <c r="Q67" s="98">
        <f t="shared" ref="Q67" si="28">SUM(Q68:Q79)</f>
        <v>10003.540000000001</v>
      </c>
      <c r="R67" s="99"/>
      <c r="S67" s="100"/>
      <c r="T67" s="98">
        <f t="shared" ref="T67" si="29">SUM(T68:T79)</f>
        <v>10812.829999999998</v>
      </c>
      <c r="U67" s="99"/>
      <c r="V67" s="100"/>
      <c r="W67" s="77">
        <f>SUM(W68:Y79)</f>
        <v>11711.54</v>
      </c>
      <c r="X67" s="78"/>
      <c r="Y67" s="78"/>
      <c r="Z67" s="77">
        <f>SUM(Z68:AB79)</f>
        <v>10229.530000000001</v>
      </c>
      <c r="AA67" s="78"/>
      <c r="AB67" s="78"/>
      <c r="AC67" s="77">
        <f>SUM(AC68:AE79)</f>
        <v>20191.64</v>
      </c>
      <c r="AD67" s="78"/>
      <c r="AE67" s="78"/>
      <c r="AF67" s="77">
        <f>SUM(AF68:AH79)</f>
        <v>103352.85999999999</v>
      </c>
      <c r="AG67" s="78"/>
      <c r="AH67" s="157"/>
      <c r="AI67" s="18">
        <f>AF67/AF99</f>
        <v>0.19933264467272935</v>
      </c>
      <c r="AJ67" s="104">
        <f>SUM(AJ68:AK79)</f>
        <v>351528.05999999994</v>
      </c>
      <c r="AK67" s="104"/>
    </row>
    <row r="68" spans="1:37" x14ac:dyDescent="0.25">
      <c r="A68" s="69" t="s">
        <v>45</v>
      </c>
      <c r="B68" s="183">
        <v>3962.51</v>
      </c>
      <c r="C68" s="183"/>
      <c r="D68" s="183"/>
      <c r="E68" s="184">
        <v>0</v>
      </c>
      <c r="F68" s="185"/>
      <c r="G68" s="186"/>
      <c r="H68" s="184">
        <v>0</v>
      </c>
      <c r="I68" s="185"/>
      <c r="J68" s="186"/>
      <c r="K68" s="204">
        <v>0</v>
      </c>
      <c r="L68" s="204"/>
      <c r="M68" s="204"/>
      <c r="N68" s="184">
        <v>0</v>
      </c>
      <c r="O68" s="185"/>
      <c r="P68" s="186"/>
      <c r="Q68" s="79">
        <v>0</v>
      </c>
      <c r="R68" s="80"/>
      <c r="S68" s="81"/>
      <c r="T68" s="184">
        <v>0</v>
      </c>
      <c r="U68" s="185"/>
      <c r="V68" s="186"/>
      <c r="W68" s="79">
        <v>0</v>
      </c>
      <c r="X68" s="80"/>
      <c r="Y68" s="80"/>
      <c r="Z68" s="79">
        <v>0</v>
      </c>
      <c r="AA68" s="80"/>
      <c r="AB68" s="81"/>
      <c r="AC68" s="79">
        <v>0</v>
      </c>
      <c r="AD68" s="80"/>
      <c r="AE68" s="81"/>
      <c r="AF68" s="101">
        <v>0</v>
      </c>
      <c r="AG68" s="102"/>
      <c r="AH68" s="103"/>
      <c r="AI68" s="19">
        <f>AF68/AF99</f>
        <v>0</v>
      </c>
      <c r="AJ68" s="211">
        <f>9608.91+AF68</f>
        <v>9608.91</v>
      </c>
      <c r="AK68" s="211"/>
    </row>
    <row r="69" spans="1:37" x14ac:dyDescent="0.25">
      <c r="A69" s="69" t="s">
        <v>91</v>
      </c>
      <c r="B69" s="183">
        <v>0</v>
      </c>
      <c r="C69" s="183"/>
      <c r="D69" s="183"/>
      <c r="E69" s="184">
        <v>0</v>
      </c>
      <c r="F69" s="185"/>
      <c r="G69" s="186"/>
      <c r="H69" s="184">
        <v>0</v>
      </c>
      <c r="I69" s="185"/>
      <c r="J69" s="186"/>
      <c r="K69" s="204">
        <v>0</v>
      </c>
      <c r="L69" s="204"/>
      <c r="M69" s="204"/>
      <c r="N69" s="184">
        <v>0</v>
      </c>
      <c r="O69" s="185"/>
      <c r="P69" s="186"/>
      <c r="Q69" s="79">
        <v>0</v>
      </c>
      <c r="R69" s="80"/>
      <c r="S69" s="81"/>
      <c r="T69" s="184">
        <v>859</v>
      </c>
      <c r="U69" s="185"/>
      <c r="V69" s="186"/>
      <c r="W69" s="79">
        <v>0</v>
      </c>
      <c r="X69" s="80"/>
      <c r="Y69" s="80"/>
      <c r="Z69" s="79">
        <v>0</v>
      </c>
      <c r="AA69" s="80"/>
      <c r="AB69" s="81"/>
      <c r="AC69" s="79">
        <v>0</v>
      </c>
      <c r="AD69" s="80"/>
      <c r="AE69" s="81"/>
      <c r="AF69" s="101">
        <f>859</f>
        <v>859</v>
      </c>
      <c r="AG69" s="102"/>
      <c r="AH69" s="103"/>
      <c r="AI69" s="19">
        <f>AF69/AF99</f>
        <v>1.6567199182864849E-3</v>
      </c>
      <c r="AJ69" s="211">
        <f>8251+AF69</f>
        <v>9110</v>
      </c>
      <c r="AK69" s="211"/>
    </row>
    <row r="70" spans="1:37" x14ac:dyDescent="0.25">
      <c r="A70" s="69" t="s">
        <v>46</v>
      </c>
      <c r="B70" s="183">
        <v>720.8</v>
      </c>
      <c r="C70" s="183"/>
      <c r="D70" s="183"/>
      <c r="E70" s="184">
        <v>0</v>
      </c>
      <c r="F70" s="185"/>
      <c r="G70" s="186"/>
      <c r="H70" s="184">
        <v>2093.1799999999998</v>
      </c>
      <c r="I70" s="185"/>
      <c r="J70" s="186"/>
      <c r="K70" s="204">
        <v>0</v>
      </c>
      <c r="L70" s="204"/>
      <c r="M70" s="204"/>
      <c r="N70" s="184">
        <v>0</v>
      </c>
      <c r="O70" s="185"/>
      <c r="P70" s="186"/>
      <c r="Q70" s="79">
        <v>0</v>
      </c>
      <c r="R70" s="80"/>
      <c r="S70" s="81"/>
      <c r="T70" s="184">
        <v>0</v>
      </c>
      <c r="U70" s="185"/>
      <c r="V70" s="186"/>
      <c r="W70" s="79">
        <v>0</v>
      </c>
      <c r="X70" s="80"/>
      <c r="Y70" s="80"/>
      <c r="Z70" s="79">
        <v>0</v>
      </c>
      <c r="AA70" s="80"/>
      <c r="AB70" s="81"/>
      <c r="AC70" s="79">
        <v>0</v>
      </c>
      <c r="AD70" s="80"/>
      <c r="AE70" s="81"/>
      <c r="AF70" s="101">
        <f>2093.18</f>
        <v>2093.1799999999998</v>
      </c>
      <c r="AG70" s="102"/>
      <c r="AH70" s="103"/>
      <c r="AI70" s="19">
        <f>AF70/AF99</f>
        <v>4.0370349226529732E-3</v>
      </c>
      <c r="AJ70" s="211">
        <f>2037.04+AF70</f>
        <v>4130.2199999999993</v>
      </c>
      <c r="AK70" s="211"/>
    </row>
    <row r="71" spans="1:37" x14ac:dyDescent="0.25">
      <c r="A71" s="67" t="s">
        <v>47</v>
      </c>
      <c r="B71" s="183">
        <v>945.44</v>
      </c>
      <c r="C71" s="183"/>
      <c r="D71" s="183"/>
      <c r="E71" s="184">
        <v>150</v>
      </c>
      <c r="F71" s="185"/>
      <c r="G71" s="186"/>
      <c r="H71" s="184">
        <v>147.87</v>
      </c>
      <c r="I71" s="185"/>
      <c r="J71" s="186"/>
      <c r="K71" s="204">
        <v>209.7</v>
      </c>
      <c r="L71" s="204"/>
      <c r="M71" s="204"/>
      <c r="N71" s="184">
        <v>0</v>
      </c>
      <c r="O71" s="185"/>
      <c r="P71" s="186"/>
      <c r="Q71" s="79">
        <v>137.32999999999998</v>
      </c>
      <c r="R71" s="80"/>
      <c r="S71" s="81"/>
      <c r="T71" s="184">
        <v>5</v>
      </c>
      <c r="U71" s="185"/>
      <c r="V71" s="186"/>
      <c r="W71" s="79">
        <f>231+10.62</f>
        <v>241.62</v>
      </c>
      <c r="X71" s="80"/>
      <c r="Y71" s="80"/>
      <c r="Z71" s="79">
        <v>0</v>
      </c>
      <c r="AA71" s="80"/>
      <c r="AB71" s="81"/>
      <c r="AC71" s="79">
        <v>0</v>
      </c>
      <c r="AD71" s="80"/>
      <c r="AE71" s="81"/>
      <c r="AF71" s="101">
        <f>150+147.87+209.7+137.33+5+241.62</f>
        <v>891.52</v>
      </c>
      <c r="AG71" s="102"/>
      <c r="AH71" s="103"/>
      <c r="AI71" s="19">
        <f>AF71/AF99</f>
        <v>1.7194399785224297E-3</v>
      </c>
      <c r="AJ71" s="211">
        <f>5085.95+AF71</f>
        <v>5977.4699999999993</v>
      </c>
      <c r="AK71" s="211"/>
    </row>
    <row r="72" spans="1:37" x14ac:dyDescent="0.25">
      <c r="A72" s="69" t="s">
        <v>48</v>
      </c>
      <c r="B72" s="183">
        <v>16097.460000000003</v>
      </c>
      <c r="C72" s="183"/>
      <c r="D72" s="183"/>
      <c r="E72" s="184">
        <v>1233.49</v>
      </c>
      <c r="F72" s="185"/>
      <c r="G72" s="186"/>
      <c r="H72" s="184">
        <v>1355.23</v>
      </c>
      <c r="I72" s="185"/>
      <c r="J72" s="186"/>
      <c r="K72" s="204">
        <v>1418.45</v>
      </c>
      <c r="L72" s="204"/>
      <c r="M72" s="204"/>
      <c r="N72" s="184">
        <v>1400.19</v>
      </c>
      <c r="O72" s="185"/>
      <c r="P72" s="186"/>
      <c r="Q72" s="79">
        <v>1414.67</v>
      </c>
      <c r="R72" s="80"/>
      <c r="S72" s="81"/>
      <c r="T72" s="184">
        <v>1380.6499999999999</v>
      </c>
      <c r="U72" s="185"/>
      <c r="V72" s="186"/>
      <c r="W72" s="79">
        <f>1358.44+52.31</f>
        <v>1410.75</v>
      </c>
      <c r="X72" s="80"/>
      <c r="Y72" s="80"/>
      <c r="Z72" s="79">
        <f>1396.74+52.52</f>
        <v>1449.26</v>
      </c>
      <c r="AA72" s="80"/>
      <c r="AB72" s="81"/>
      <c r="AC72" s="79">
        <f>1396.74+52.51</f>
        <v>1449.25</v>
      </c>
      <c r="AD72" s="80"/>
      <c r="AE72" s="81"/>
      <c r="AF72" s="101">
        <f>1233.49+1355.23+1418.45+1400.19+1414.67+1380.65+1410.75+1449.26+1449.25</f>
        <v>12511.94</v>
      </c>
      <c r="AG72" s="102"/>
      <c r="AH72" s="103"/>
      <c r="AI72" s="19">
        <f>AF72/AF99</f>
        <v>2.4131292449831671E-2</v>
      </c>
      <c r="AJ72" s="105">
        <f>36304.7+AF72</f>
        <v>48816.639999999999</v>
      </c>
      <c r="AK72" s="105"/>
    </row>
    <row r="73" spans="1:37" x14ac:dyDescent="0.25">
      <c r="A73" s="69" t="s">
        <v>49</v>
      </c>
      <c r="B73" s="183">
        <v>4311.88</v>
      </c>
      <c r="C73" s="183"/>
      <c r="D73" s="183"/>
      <c r="E73" s="184">
        <v>618.41</v>
      </c>
      <c r="F73" s="185"/>
      <c r="G73" s="186"/>
      <c r="H73" s="184">
        <v>269.39</v>
      </c>
      <c r="I73" s="185"/>
      <c r="J73" s="186"/>
      <c r="K73" s="204">
        <v>312.01</v>
      </c>
      <c r="L73" s="204"/>
      <c r="M73" s="204"/>
      <c r="N73" s="184">
        <v>343.07</v>
      </c>
      <c r="O73" s="185"/>
      <c r="P73" s="186"/>
      <c r="Q73" s="79">
        <v>300.14999999999998</v>
      </c>
      <c r="R73" s="80"/>
      <c r="S73" s="81"/>
      <c r="T73" s="184">
        <v>314.70999999999998</v>
      </c>
      <c r="U73" s="185"/>
      <c r="V73" s="186"/>
      <c r="W73" s="79">
        <f>259.93+121.83</f>
        <v>381.76</v>
      </c>
      <c r="X73" s="80"/>
      <c r="Y73" s="80"/>
      <c r="Z73" s="79">
        <f>55.08+137.97+99.25</f>
        <v>292.3</v>
      </c>
      <c r="AA73" s="80"/>
      <c r="AB73" s="81"/>
      <c r="AC73" s="79">
        <f>114.99+137.91+60.02</f>
        <v>312.91999999999996</v>
      </c>
      <c r="AD73" s="80"/>
      <c r="AE73" s="81"/>
      <c r="AF73" s="101">
        <f>618.41+269.39+312.01+343.07+300.15+314.71+381.76+292.3+312.92</f>
        <v>3144.7200000000003</v>
      </c>
      <c r="AG73" s="102"/>
      <c r="AH73" s="103"/>
      <c r="AI73" s="19">
        <f>AF73/AF99</f>
        <v>6.0650992566168519E-3</v>
      </c>
      <c r="AJ73" s="105">
        <f>9284.02+AF73</f>
        <v>12428.740000000002</v>
      </c>
      <c r="AK73" s="105"/>
    </row>
    <row r="74" spans="1:37" x14ac:dyDescent="0.25">
      <c r="A74" s="69" t="s">
        <v>50</v>
      </c>
      <c r="B74" s="183">
        <v>2319.3700000000003</v>
      </c>
      <c r="C74" s="183"/>
      <c r="D74" s="183"/>
      <c r="E74" s="184">
        <v>76.8</v>
      </c>
      <c r="F74" s="185"/>
      <c r="G74" s="186"/>
      <c r="H74" s="184">
        <v>54.9</v>
      </c>
      <c r="I74" s="185"/>
      <c r="J74" s="186"/>
      <c r="K74" s="204">
        <v>62</v>
      </c>
      <c r="L74" s="204"/>
      <c r="M74" s="204"/>
      <c r="N74" s="184">
        <v>78.489999999999995</v>
      </c>
      <c r="O74" s="185"/>
      <c r="P74" s="186"/>
      <c r="Q74" s="79">
        <v>110.78</v>
      </c>
      <c r="R74" s="80"/>
      <c r="S74" s="81"/>
      <c r="T74" s="184">
        <v>87.78</v>
      </c>
      <c r="U74" s="185"/>
      <c r="V74" s="186"/>
      <c r="W74" s="79">
        <f>22+4.39+7.99+22+14.95+10.8+22</f>
        <v>104.13</v>
      </c>
      <c r="X74" s="80"/>
      <c r="Y74" s="80"/>
      <c r="Z74" s="79">
        <f>22+7.5+15.5+22+10.8+22</f>
        <v>99.8</v>
      </c>
      <c r="AA74" s="80"/>
      <c r="AB74" s="81"/>
      <c r="AC74" s="79">
        <f>22+10.8+20+22+22</f>
        <v>96.8</v>
      </c>
      <c r="AD74" s="80"/>
      <c r="AE74" s="81"/>
      <c r="AF74" s="101">
        <f>76.8+54.9+62+78.49+110.78+87.78+104.13+99.8+96.8</f>
        <v>771.4799999999999</v>
      </c>
      <c r="AG74" s="102"/>
      <c r="AH74" s="103"/>
      <c r="AI74" s="19">
        <f>AF74/AF99</f>
        <v>1.4879234954128723E-3</v>
      </c>
      <c r="AJ74" s="105">
        <f>6536.06+AF74</f>
        <v>7307.54</v>
      </c>
      <c r="AK74" s="105"/>
    </row>
    <row r="75" spans="1:37" x14ac:dyDescent="0.25">
      <c r="A75" s="69" t="s">
        <v>108</v>
      </c>
      <c r="B75" s="183">
        <v>576</v>
      </c>
      <c r="C75" s="183"/>
      <c r="D75" s="183"/>
      <c r="E75" s="184">
        <v>0</v>
      </c>
      <c r="F75" s="185"/>
      <c r="G75" s="186"/>
      <c r="H75" s="184">
        <v>468</v>
      </c>
      <c r="I75" s="185"/>
      <c r="J75" s="186"/>
      <c r="K75" s="204">
        <v>0</v>
      </c>
      <c r="L75" s="204"/>
      <c r="M75" s="204"/>
      <c r="N75" s="184">
        <v>0</v>
      </c>
      <c r="O75" s="185"/>
      <c r="P75" s="186"/>
      <c r="Q75" s="79">
        <v>0</v>
      </c>
      <c r="R75" s="80"/>
      <c r="S75" s="81"/>
      <c r="T75" s="184">
        <v>0</v>
      </c>
      <c r="U75" s="185"/>
      <c r="V75" s="186"/>
      <c r="W75" s="79">
        <v>0</v>
      </c>
      <c r="X75" s="80"/>
      <c r="Y75" s="80"/>
      <c r="Z75" s="79">
        <v>0</v>
      </c>
      <c r="AA75" s="80"/>
      <c r="AB75" s="81"/>
      <c r="AC75" s="79">
        <v>0</v>
      </c>
      <c r="AD75" s="80"/>
      <c r="AE75" s="81"/>
      <c r="AF75" s="101">
        <f>468</f>
        <v>468</v>
      </c>
      <c r="AG75" s="102"/>
      <c r="AH75" s="103"/>
      <c r="AI75" s="19">
        <f>AF75/AF99</f>
        <v>9.0261341298960998E-4</v>
      </c>
      <c r="AJ75" s="105">
        <f>3355.6+AF75</f>
        <v>3823.6</v>
      </c>
      <c r="AK75" s="105"/>
    </row>
    <row r="76" spans="1:37" x14ac:dyDescent="0.25">
      <c r="A76" s="69" t="s">
        <v>51</v>
      </c>
      <c r="B76" s="183">
        <v>1290.2100000000003</v>
      </c>
      <c r="C76" s="183"/>
      <c r="D76" s="183"/>
      <c r="E76" s="184">
        <v>42.75</v>
      </c>
      <c r="F76" s="185"/>
      <c r="G76" s="186"/>
      <c r="H76" s="184">
        <v>0</v>
      </c>
      <c r="I76" s="185"/>
      <c r="J76" s="186"/>
      <c r="K76" s="204">
        <v>62.81</v>
      </c>
      <c r="L76" s="204"/>
      <c r="M76" s="204"/>
      <c r="N76" s="184">
        <v>69.150000000000006</v>
      </c>
      <c r="O76" s="185"/>
      <c r="P76" s="186"/>
      <c r="Q76" s="79">
        <v>27.9</v>
      </c>
      <c r="R76" s="80"/>
      <c r="S76" s="81"/>
      <c r="T76" s="184">
        <v>17.989999999999998</v>
      </c>
      <c r="U76" s="185"/>
      <c r="V76" s="186"/>
      <c r="W76" s="79">
        <f>7.98+6.5+12.25+27.9+29.59</f>
        <v>84.22</v>
      </c>
      <c r="X76" s="80"/>
      <c r="Y76" s="80"/>
      <c r="Z76" s="79">
        <f>27.9</f>
        <v>27.9</v>
      </c>
      <c r="AA76" s="80"/>
      <c r="AB76" s="81"/>
      <c r="AC76" s="79">
        <v>0</v>
      </c>
      <c r="AD76" s="80"/>
      <c r="AE76" s="81"/>
      <c r="AF76" s="101">
        <f>42.75+62.81+69.15+27.9+17.99+84.22+27.9</f>
        <v>332.72</v>
      </c>
      <c r="AG76" s="102"/>
      <c r="AH76" s="103"/>
      <c r="AI76" s="19">
        <f>AF76/AF99</f>
        <v>6.4170413412372449E-4</v>
      </c>
      <c r="AJ76" s="105">
        <f>3151.88+AF76</f>
        <v>3484.6000000000004</v>
      </c>
      <c r="AK76" s="105"/>
    </row>
    <row r="77" spans="1:37" x14ac:dyDescent="0.25">
      <c r="A77" s="69" t="s">
        <v>52</v>
      </c>
      <c r="B77" s="183">
        <v>0</v>
      </c>
      <c r="C77" s="183"/>
      <c r="D77" s="183"/>
      <c r="E77" s="184">
        <v>0</v>
      </c>
      <c r="F77" s="185"/>
      <c r="G77" s="186"/>
      <c r="H77" s="184">
        <v>0</v>
      </c>
      <c r="I77" s="185"/>
      <c r="J77" s="186"/>
      <c r="K77" s="204">
        <v>0</v>
      </c>
      <c r="L77" s="204"/>
      <c r="M77" s="204"/>
      <c r="N77" s="184">
        <v>0</v>
      </c>
      <c r="O77" s="185"/>
      <c r="P77" s="186"/>
      <c r="Q77" s="79">
        <v>0</v>
      </c>
      <c r="R77" s="80"/>
      <c r="S77" s="81"/>
      <c r="T77" s="184">
        <v>0</v>
      </c>
      <c r="U77" s="185"/>
      <c r="V77" s="186"/>
      <c r="W77" s="79">
        <v>0</v>
      </c>
      <c r="X77" s="80"/>
      <c r="Y77" s="80"/>
      <c r="Z77" s="79">
        <v>0</v>
      </c>
      <c r="AA77" s="80"/>
      <c r="AB77" s="81"/>
      <c r="AC77" s="79">
        <v>0</v>
      </c>
      <c r="AD77" s="80"/>
      <c r="AE77" s="81"/>
      <c r="AF77" s="101">
        <v>0</v>
      </c>
      <c r="AG77" s="102"/>
      <c r="AH77" s="103"/>
      <c r="AI77" s="19">
        <f>AF77/AF99</f>
        <v>0</v>
      </c>
      <c r="AJ77" s="211">
        <f>2056.76+AF77</f>
        <v>2056.7600000000002</v>
      </c>
      <c r="AK77" s="211"/>
    </row>
    <row r="78" spans="1:37" x14ac:dyDescent="0.25">
      <c r="A78" s="69" t="s">
        <v>113</v>
      </c>
      <c r="B78" s="183">
        <v>51207.24</v>
      </c>
      <c r="C78" s="183"/>
      <c r="D78" s="183"/>
      <c r="E78" s="184">
        <v>4202.8</v>
      </c>
      <c r="F78" s="185"/>
      <c r="G78" s="186"/>
      <c r="H78" s="184">
        <v>4221.16</v>
      </c>
      <c r="I78" s="185"/>
      <c r="J78" s="186"/>
      <c r="K78" s="204">
        <v>3035.75</v>
      </c>
      <c r="L78" s="204"/>
      <c r="M78" s="204"/>
      <c r="N78" s="184">
        <v>3922.71</v>
      </c>
      <c r="O78" s="185"/>
      <c r="P78" s="186"/>
      <c r="Q78" s="79">
        <v>4202.8</v>
      </c>
      <c r="R78" s="80"/>
      <c r="S78" s="81"/>
      <c r="T78" s="184">
        <v>4460.6499999999996</v>
      </c>
      <c r="U78" s="185"/>
      <c r="V78" s="186"/>
      <c r="W78" s="79">
        <f>1267.58+2642.57+1892.71</f>
        <v>5802.8600000000006</v>
      </c>
      <c r="X78" s="80"/>
      <c r="Y78" s="80"/>
      <c r="Z78" s="79">
        <f>2002.78+1699.16+1007.15</f>
        <v>4709.09</v>
      </c>
      <c r="AA78" s="80"/>
      <c r="AB78" s="81"/>
      <c r="AC78" s="79">
        <f>2505.48+1488.82+8009.33</f>
        <v>12003.630000000001</v>
      </c>
      <c r="AD78" s="80"/>
      <c r="AE78" s="81"/>
      <c r="AF78" s="101">
        <f>4202.8+4221.16+3035.75+3922.71+4202.8+4460.65+5802.86+4709.09+12003.63</f>
        <v>46561.44999999999</v>
      </c>
      <c r="AG78" s="102"/>
      <c r="AH78" s="103"/>
      <c r="AI78" s="19">
        <f>AF78/AF99</f>
        <v>8.9801259184284332E-2</v>
      </c>
      <c r="AJ78" s="211">
        <f>87672.22+AF78</f>
        <v>134233.66999999998</v>
      </c>
      <c r="AK78" s="211"/>
    </row>
    <row r="79" spans="1:37" x14ac:dyDescent="0.25">
      <c r="A79" s="69" t="s">
        <v>53</v>
      </c>
      <c r="B79" s="183">
        <v>49517.05</v>
      </c>
      <c r="C79" s="183"/>
      <c r="D79" s="183"/>
      <c r="E79" s="184">
        <v>3400.3</v>
      </c>
      <c r="F79" s="185"/>
      <c r="G79" s="186"/>
      <c r="H79" s="184">
        <v>3709.76</v>
      </c>
      <c r="I79" s="185"/>
      <c r="J79" s="186"/>
      <c r="K79" s="204">
        <v>3762.71</v>
      </c>
      <c r="L79" s="204"/>
      <c r="M79" s="204"/>
      <c r="N79" s="184">
        <v>3682.7</v>
      </c>
      <c r="O79" s="185"/>
      <c r="P79" s="186"/>
      <c r="Q79" s="79">
        <v>3809.91</v>
      </c>
      <c r="R79" s="80"/>
      <c r="S79" s="81"/>
      <c r="T79" s="184">
        <v>3687.0499999999997</v>
      </c>
      <c r="U79" s="185"/>
      <c r="V79" s="186"/>
      <c r="W79" s="79">
        <f>81.7+427.96+1723.75+53.49+981+418.3</f>
        <v>3686.2</v>
      </c>
      <c r="X79" s="80"/>
      <c r="Y79" s="80"/>
      <c r="Z79" s="79">
        <f>454.04+1828.93+56.75+49.76+881+380.7</f>
        <v>3651.1800000000003</v>
      </c>
      <c r="AA79" s="80"/>
      <c r="AB79" s="81"/>
      <c r="AC79" s="79">
        <f>467.06+58.38+63.83+1871.79+437.1+578+2782.88+70</f>
        <v>6329.04</v>
      </c>
      <c r="AD79" s="80"/>
      <c r="AE79" s="81"/>
      <c r="AF79" s="101">
        <f>3400.3+3709.76+3762.71+3682.7+3809.91+3687.05+3686.2+3651.18+6329.04</f>
        <v>35718.85</v>
      </c>
      <c r="AG79" s="102"/>
      <c r="AH79" s="103"/>
      <c r="AI79" s="19">
        <f>AF79/AF99</f>
        <v>6.8889557920008393E-2</v>
      </c>
      <c r="AJ79" s="211">
        <f>74831.06+AF79</f>
        <v>110549.91</v>
      </c>
      <c r="AK79" s="211"/>
    </row>
    <row r="80" spans="1:37" x14ac:dyDescent="0.25">
      <c r="A80" s="66" t="s">
        <v>54</v>
      </c>
      <c r="B80" s="93">
        <v>1929.6799999999998</v>
      </c>
      <c r="C80" s="93"/>
      <c r="D80" s="93"/>
      <c r="E80" s="98">
        <f>SUM(E81:E85)</f>
        <v>75</v>
      </c>
      <c r="F80" s="99"/>
      <c r="G80" s="100"/>
      <c r="H80" s="98">
        <f t="shared" ref="H80" si="30">SUM(H81:H85)</f>
        <v>227.23000000000002</v>
      </c>
      <c r="I80" s="99"/>
      <c r="J80" s="100"/>
      <c r="K80" s="205">
        <f>SUM(K81:K85)</f>
        <v>53</v>
      </c>
      <c r="L80" s="205"/>
      <c r="M80" s="205"/>
      <c r="N80" s="98">
        <f t="shared" ref="N80" si="31">SUM(N81:N85)</f>
        <v>34</v>
      </c>
      <c r="O80" s="99"/>
      <c r="P80" s="100"/>
      <c r="Q80" s="98">
        <f t="shared" ref="Q80" si="32">SUM(Q81:Q85)</f>
        <v>60.5</v>
      </c>
      <c r="R80" s="99"/>
      <c r="S80" s="100"/>
      <c r="T80" s="98">
        <f t="shared" ref="T80" si="33">SUM(T81:T85)</f>
        <v>53</v>
      </c>
      <c r="U80" s="99"/>
      <c r="V80" s="100"/>
      <c r="W80" s="77">
        <f>SUM(W81:Y85)</f>
        <v>17</v>
      </c>
      <c r="X80" s="78"/>
      <c r="Y80" s="78"/>
      <c r="Z80" s="77">
        <f>SUM(Z81:AB85)</f>
        <v>223.89999999999998</v>
      </c>
      <c r="AA80" s="78"/>
      <c r="AB80" s="78"/>
      <c r="AC80" s="77">
        <f>SUM(AC81:AE85)</f>
        <v>114.3</v>
      </c>
      <c r="AD80" s="78"/>
      <c r="AE80" s="78"/>
      <c r="AF80" s="77">
        <f>SUM(AF81:AH85)</f>
        <v>857.93</v>
      </c>
      <c r="AG80" s="78"/>
      <c r="AH80" s="157"/>
      <c r="AI80" s="18">
        <f>AF80/AF99</f>
        <v>1.6546562508678974E-3</v>
      </c>
      <c r="AJ80" s="104">
        <f>SUM(AJ81:AK85)</f>
        <v>21037.52</v>
      </c>
      <c r="AK80" s="104"/>
    </row>
    <row r="81" spans="1:37" x14ac:dyDescent="0.25">
      <c r="A81" s="67" t="s">
        <v>55</v>
      </c>
      <c r="B81" s="183">
        <v>354.09999999999997</v>
      </c>
      <c r="C81" s="183"/>
      <c r="D81" s="183"/>
      <c r="E81" s="184">
        <v>0</v>
      </c>
      <c r="F81" s="185"/>
      <c r="G81" s="186"/>
      <c r="H81" s="184">
        <v>0</v>
      </c>
      <c r="I81" s="185"/>
      <c r="J81" s="186"/>
      <c r="K81" s="204">
        <v>0</v>
      </c>
      <c r="L81" s="204"/>
      <c r="M81" s="204"/>
      <c r="N81" s="184">
        <v>0</v>
      </c>
      <c r="O81" s="185"/>
      <c r="P81" s="186"/>
      <c r="Q81" s="79">
        <v>0</v>
      </c>
      <c r="R81" s="80"/>
      <c r="S81" s="81"/>
      <c r="T81" s="184">
        <v>0</v>
      </c>
      <c r="U81" s="185"/>
      <c r="V81" s="186"/>
      <c r="W81" s="79">
        <v>0</v>
      </c>
      <c r="X81" s="80"/>
      <c r="Y81" s="80"/>
      <c r="Z81" s="79">
        <v>0</v>
      </c>
      <c r="AA81" s="80"/>
      <c r="AB81" s="81"/>
      <c r="AC81" s="79">
        <v>0</v>
      </c>
      <c r="AD81" s="80"/>
      <c r="AE81" s="81"/>
      <c r="AF81" s="101">
        <v>0</v>
      </c>
      <c r="AG81" s="102"/>
      <c r="AH81" s="103"/>
      <c r="AI81" s="19">
        <f>AF81/AF99</f>
        <v>0</v>
      </c>
      <c r="AJ81" s="105">
        <f>4832.06+AF81</f>
        <v>4832.0600000000004</v>
      </c>
      <c r="AK81" s="105"/>
    </row>
    <row r="82" spans="1:37" x14ac:dyDescent="0.25">
      <c r="A82" s="67" t="s">
        <v>56</v>
      </c>
      <c r="B82" s="101">
        <v>0</v>
      </c>
      <c r="C82" s="102"/>
      <c r="D82" s="103"/>
      <c r="E82" s="184">
        <v>0</v>
      </c>
      <c r="F82" s="185"/>
      <c r="G82" s="186"/>
      <c r="H82" s="184">
        <v>0</v>
      </c>
      <c r="I82" s="185"/>
      <c r="J82" s="186"/>
      <c r="K82" s="204">
        <v>0</v>
      </c>
      <c r="L82" s="204"/>
      <c r="M82" s="204"/>
      <c r="N82" s="184">
        <v>0</v>
      </c>
      <c r="O82" s="185"/>
      <c r="P82" s="186"/>
      <c r="Q82" s="79">
        <v>0</v>
      </c>
      <c r="R82" s="80"/>
      <c r="S82" s="81"/>
      <c r="T82" s="184">
        <v>0</v>
      </c>
      <c r="U82" s="185"/>
      <c r="V82" s="186"/>
      <c r="W82" s="79">
        <v>0</v>
      </c>
      <c r="X82" s="80"/>
      <c r="Y82" s="80"/>
      <c r="Z82" s="79">
        <v>0</v>
      </c>
      <c r="AA82" s="80"/>
      <c r="AB82" s="81"/>
      <c r="AC82" s="79">
        <v>0</v>
      </c>
      <c r="AD82" s="80"/>
      <c r="AE82" s="81"/>
      <c r="AF82" s="101">
        <v>0</v>
      </c>
      <c r="AG82" s="102"/>
      <c r="AH82" s="103"/>
      <c r="AI82" s="19">
        <f>AF82/AF99</f>
        <v>0</v>
      </c>
      <c r="AJ82" s="105">
        <f>0+AF82</f>
        <v>0</v>
      </c>
      <c r="AK82" s="105"/>
    </row>
    <row r="83" spans="1:37" x14ac:dyDescent="0.25">
      <c r="A83" s="67" t="s">
        <v>57</v>
      </c>
      <c r="B83" s="101">
        <v>335</v>
      </c>
      <c r="C83" s="102"/>
      <c r="D83" s="103"/>
      <c r="E83" s="184">
        <v>75</v>
      </c>
      <c r="F83" s="185"/>
      <c r="G83" s="186"/>
      <c r="H83" s="184">
        <v>35</v>
      </c>
      <c r="I83" s="185"/>
      <c r="J83" s="186"/>
      <c r="K83" s="204">
        <v>17</v>
      </c>
      <c r="L83" s="204"/>
      <c r="M83" s="204"/>
      <c r="N83" s="184">
        <v>34</v>
      </c>
      <c r="O83" s="185"/>
      <c r="P83" s="186"/>
      <c r="Q83" s="79">
        <v>32</v>
      </c>
      <c r="R83" s="80"/>
      <c r="S83" s="81"/>
      <c r="T83" s="184">
        <v>17</v>
      </c>
      <c r="U83" s="185"/>
      <c r="V83" s="186"/>
      <c r="W83" s="79">
        <f>17</f>
        <v>17</v>
      </c>
      <c r="X83" s="80"/>
      <c r="Y83" s="80"/>
      <c r="Z83" s="79">
        <f>17+15</f>
        <v>32</v>
      </c>
      <c r="AA83" s="80"/>
      <c r="AB83" s="81"/>
      <c r="AC83" s="79">
        <f>17</f>
        <v>17</v>
      </c>
      <c r="AD83" s="80"/>
      <c r="AE83" s="81"/>
      <c r="AF83" s="101">
        <f>75+35+17+34+32+17+17+32+17</f>
        <v>276</v>
      </c>
      <c r="AG83" s="102"/>
      <c r="AH83" s="103"/>
      <c r="AI83" s="19">
        <f>AF83/AF99</f>
        <v>5.3231047432720591E-4</v>
      </c>
      <c r="AJ83" s="105">
        <f>722+AF83</f>
        <v>998</v>
      </c>
      <c r="AK83" s="105"/>
    </row>
    <row r="84" spans="1:37" x14ac:dyDescent="0.25">
      <c r="A84" s="67" t="s">
        <v>58</v>
      </c>
      <c r="B84" s="101">
        <v>849.74999999999989</v>
      </c>
      <c r="C84" s="102"/>
      <c r="D84" s="103"/>
      <c r="E84" s="184">
        <v>0</v>
      </c>
      <c r="F84" s="185"/>
      <c r="G84" s="186"/>
      <c r="H84" s="184">
        <v>135.46</v>
      </c>
      <c r="I84" s="185"/>
      <c r="J84" s="186"/>
      <c r="K84" s="204">
        <v>36</v>
      </c>
      <c r="L84" s="204"/>
      <c r="M84" s="204"/>
      <c r="N84" s="184">
        <v>0</v>
      </c>
      <c r="O84" s="185"/>
      <c r="P84" s="186"/>
      <c r="Q84" s="79">
        <v>0</v>
      </c>
      <c r="R84" s="80"/>
      <c r="S84" s="81"/>
      <c r="T84" s="184">
        <v>36</v>
      </c>
      <c r="U84" s="185"/>
      <c r="V84" s="186"/>
      <c r="W84" s="79">
        <v>0</v>
      </c>
      <c r="X84" s="80"/>
      <c r="Y84" s="80"/>
      <c r="Z84" s="79">
        <f>72+33.1+33.1+33.1</f>
        <v>171.29999999999998</v>
      </c>
      <c r="AA84" s="80"/>
      <c r="AB84" s="81"/>
      <c r="AC84" s="79">
        <f>69.3</f>
        <v>69.3</v>
      </c>
      <c r="AD84" s="80"/>
      <c r="AE84" s="81"/>
      <c r="AF84" s="101">
        <f>135.46+36+36+171.3+69.3</f>
        <v>448.06</v>
      </c>
      <c r="AG84" s="102"/>
      <c r="AH84" s="103"/>
      <c r="AI84" s="19">
        <f>AF84/AF99</f>
        <v>8.6415590988060827E-4</v>
      </c>
      <c r="AJ84" s="105">
        <f>14234.7+AF84</f>
        <v>14682.76</v>
      </c>
      <c r="AK84" s="105"/>
    </row>
    <row r="85" spans="1:37" x14ac:dyDescent="0.25">
      <c r="A85" s="67" t="s">
        <v>59</v>
      </c>
      <c r="B85" s="101">
        <v>390.83</v>
      </c>
      <c r="C85" s="102"/>
      <c r="D85" s="103"/>
      <c r="E85" s="184">
        <v>0</v>
      </c>
      <c r="F85" s="185"/>
      <c r="G85" s="186"/>
      <c r="H85" s="184">
        <v>56.77</v>
      </c>
      <c r="I85" s="185"/>
      <c r="J85" s="186"/>
      <c r="K85" s="204">
        <v>0</v>
      </c>
      <c r="L85" s="204"/>
      <c r="M85" s="204"/>
      <c r="N85" s="184">
        <v>0</v>
      </c>
      <c r="O85" s="185"/>
      <c r="P85" s="186"/>
      <c r="Q85" s="79">
        <v>28.5</v>
      </c>
      <c r="R85" s="80"/>
      <c r="S85" s="81"/>
      <c r="T85" s="184">
        <v>0</v>
      </c>
      <c r="U85" s="185"/>
      <c r="V85" s="186"/>
      <c r="W85" s="79">
        <v>0</v>
      </c>
      <c r="X85" s="80"/>
      <c r="Y85" s="80"/>
      <c r="Z85" s="79">
        <f>9.5+11.1</f>
        <v>20.6</v>
      </c>
      <c r="AA85" s="80"/>
      <c r="AB85" s="81"/>
      <c r="AC85" s="79">
        <f>15+13</f>
        <v>28</v>
      </c>
      <c r="AD85" s="80"/>
      <c r="AE85" s="81"/>
      <c r="AF85" s="101">
        <f>56.77+28.5+20.6+28</f>
        <v>133.87</v>
      </c>
      <c r="AG85" s="102"/>
      <c r="AH85" s="103"/>
      <c r="AI85" s="19">
        <f>AF85/AF99</f>
        <v>2.5818986666008352E-4</v>
      </c>
      <c r="AJ85" s="105">
        <f>390.83+AF85</f>
        <v>524.70000000000005</v>
      </c>
      <c r="AK85" s="105"/>
    </row>
    <row r="86" spans="1:37" x14ac:dyDescent="0.25">
      <c r="A86" s="66" t="s">
        <v>60</v>
      </c>
      <c r="B86" s="77">
        <v>6551.1</v>
      </c>
      <c r="C86" s="78"/>
      <c r="D86" s="157"/>
      <c r="E86" s="98">
        <f>SUM(E87:E90)</f>
        <v>0</v>
      </c>
      <c r="F86" s="99"/>
      <c r="G86" s="100"/>
      <c r="H86" s="98">
        <f>SUM(H87:H90)</f>
        <v>173016.22</v>
      </c>
      <c r="I86" s="99"/>
      <c r="J86" s="100"/>
      <c r="K86" s="205">
        <f>SUM(K87:K90)</f>
        <v>7453.9</v>
      </c>
      <c r="L86" s="205"/>
      <c r="M86" s="205"/>
      <c r="N86" s="98">
        <f>SUM(N87:N90)</f>
        <v>0</v>
      </c>
      <c r="O86" s="99"/>
      <c r="P86" s="100"/>
      <c r="Q86" s="98">
        <f>SUM(Q87:Q90)</f>
        <v>7056.9</v>
      </c>
      <c r="R86" s="99"/>
      <c r="S86" s="100"/>
      <c r="T86" s="98">
        <f>SUM(T87:T90)</f>
        <v>863.99</v>
      </c>
      <c r="U86" s="99"/>
      <c r="V86" s="100"/>
      <c r="W86" s="98">
        <f>SUM(W87:W90)</f>
        <v>2227.6999999999998</v>
      </c>
      <c r="X86" s="99"/>
      <c r="Y86" s="100"/>
      <c r="Z86" s="98">
        <f>SUM(Z87:Z90)</f>
        <v>8223.25</v>
      </c>
      <c r="AA86" s="99"/>
      <c r="AB86" s="100"/>
      <c r="AC86" s="98">
        <f>SUM(AC87:AC90)</f>
        <v>360</v>
      </c>
      <c r="AD86" s="99"/>
      <c r="AE86" s="100"/>
      <c r="AF86" s="77">
        <f>SUM(AF87:AH90)</f>
        <v>199201.96000000002</v>
      </c>
      <c r="AG86" s="78"/>
      <c r="AH86" s="157"/>
      <c r="AI86" s="18">
        <f>AF86/AF99</f>
        <v>0.38419307903807648</v>
      </c>
      <c r="AJ86" s="104">
        <f>SUM(AJ87:AK90)</f>
        <v>273262.88</v>
      </c>
      <c r="AK86" s="104"/>
    </row>
    <row r="87" spans="1:37" x14ac:dyDescent="0.25">
      <c r="A87" s="67" t="s">
        <v>61</v>
      </c>
      <c r="B87" s="101">
        <v>6489.1</v>
      </c>
      <c r="C87" s="102"/>
      <c r="D87" s="103"/>
      <c r="E87" s="184">
        <v>0</v>
      </c>
      <c r="F87" s="185"/>
      <c r="G87" s="186"/>
      <c r="H87" s="184">
        <v>0</v>
      </c>
      <c r="I87" s="185"/>
      <c r="J87" s="186"/>
      <c r="K87" s="204">
        <v>7453.9</v>
      </c>
      <c r="L87" s="204"/>
      <c r="M87" s="204"/>
      <c r="N87" s="184">
        <v>0</v>
      </c>
      <c r="O87" s="185"/>
      <c r="P87" s="186"/>
      <c r="Q87" s="79">
        <v>7056.9</v>
      </c>
      <c r="R87" s="80"/>
      <c r="S87" s="81"/>
      <c r="T87" s="184">
        <v>0</v>
      </c>
      <c r="U87" s="185"/>
      <c r="V87" s="186"/>
      <c r="W87" s="79">
        <f>1158.71+197.82</f>
        <v>1356.53</v>
      </c>
      <c r="X87" s="80"/>
      <c r="Y87" s="80"/>
      <c r="Z87" s="79">
        <f>8163.25</f>
        <v>8163.25</v>
      </c>
      <c r="AA87" s="80"/>
      <c r="AB87" s="81"/>
      <c r="AC87" s="79">
        <v>0</v>
      </c>
      <c r="AD87" s="80"/>
      <c r="AE87" s="81"/>
      <c r="AF87" s="101">
        <f>7453.9+7056.9+1356.53+8163.25</f>
        <v>24030.58</v>
      </c>
      <c r="AG87" s="102"/>
      <c r="AH87" s="103"/>
      <c r="AI87" s="19">
        <f>AF87/AF99</f>
        <v>4.6346845790427062E-2</v>
      </c>
      <c r="AJ87" s="105">
        <f>69328.92+AF87</f>
        <v>93359.5</v>
      </c>
      <c r="AK87" s="105"/>
    </row>
    <row r="88" spans="1:37" x14ac:dyDescent="0.25">
      <c r="A88" s="67" t="s">
        <v>62</v>
      </c>
      <c r="B88" s="101">
        <v>0</v>
      </c>
      <c r="C88" s="102"/>
      <c r="D88" s="103"/>
      <c r="E88" s="184">
        <v>0</v>
      </c>
      <c r="F88" s="185"/>
      <c r="G88" s="186"/>
      <c r="H88" s="184">
        <v>0</v>
      </c>
      <c r="I88" s="185"/>
      <c r="J88" s="186"/>
      <c r="K88" s="204">
        <v>0</v>
      </c>
      <c r="L88" s="204"/>
      <c r="M88" s="204"/>
      <c r="N88" s="184">
        <v>0</v>
      </c>
      <c r="O88" s="185"/>
      <c r="P88" s="186"/>
      <c r="Q88" s="79">
        <v>0</v>
      </c>
      <c r="R88" s="80"/>
      <c r="S88" s="81"/>
      <c r="T88" s="184">
        <v>0</v>
      </c>
      <c r="U88" s="185"/>
      <c r="V88" s="186"/>
      <c r="W88" s="79">
        <v>0</v>
      </c>
      <c r="X88" s="80"/>
      <c r="Y88" s="80"/>
      <c r="Z88" s="79">
        <v>0</v>
      </c>
      <c r="AA88" s="80"/>
      <c r="AB88" s="81"/>
      <c r="AC88" s="79">
        <v>0</v>
      </c>
      <c r="AD88" s="80"/>
      <c r="AE88" s="81"/>
      <c r="AF88" s="101">
        <f>0</f>
        <v>0</v>
      </c>
      <c r="AG88" s="102"/>
      <c r="AH88" s="103"/>
      <c r="AI88" s="19">
        <f>AF88/AF99</f>
        <v>0</v>
      </c>
      <c r="AJ88" s="105">
        <f>1000+AF88</f>
        <v>1000</v>
      </c>
      <c r="AK88" s="105"/>
    </row>
    <row r="89" spans="1:37" x14ac:dyDescent="0.25">
      <c r="A89" s="67" t="s">
        <v>63</v>
      </c>
      <c r="B89" s="101">
        <v>62</v>
      </c>
      <c r="C89" s="102"/>
      <c r="D89" s="103"/>
      <c r="E89" s="184">
        <v>0</v>
      </c>
      <c r="F89" s="185"/>
      <c r="G89" s="186"/>
      <c r="H89" s="184">
        <v>173016.22</v>
      </c>
      <c r="I89" s="185"/>
      <c r="J89" s="186"/>
      <c r="K89" s="204">
        <v>0</v>
      </c>
      <c r="L89" s="204"/>
      <c r="M89" s="204"/>
      <c r="N89" s="184">
        <v>0</v>
      </c>
      <c r="O89" s="185"/>
      <c r="P89" s="186"/>
      <c r="Q89" s="79">
        <v>0</v>
      </c>
      <c r="R89" s="80"/>
      <c r="S89" s="81"/>
      <c r="T89" s="184">
        <v>863.99</v>
      </c>
      <c r="U89" s="185"/>
      <c r="V89" s="186"/>
      <c r="W89" s="79">
        <f>511.17+360</f>
        <v>871.17000000000007</v>
      </c>
      <c r="X89" s="80"/>
      <c r="Y89" s="80"/>
      <c r="Z89" s="79">
        <v>0</v>
      </c>
      <c r="AA89" s="80"/>
      <c r="AB89" s="81"/>
      <c r="AC89" s="79">
        <f>360</f>
        <v>360</v>
      </c>
      <c r="AD89" s="80"/>
      <c r="AE89" s="81"/>
      <c r="AF89" s="101">
        <f>173016.22+863.99+871.17+360</f>
        <v>175111.38</v>
      </c>
      <c r="AG89" s="102"/>
      <c r="AH89" s="103"/>
      <c r="AI89" s="19">
        <f>AF89/AF99</f>
        <v>0.33773051357931738</v>
      </c>
      <c r="AJ89" s="105">
        <f>3732+AF89</f>
        <v>178843.38</v>
      </c>
      <c r="AK89" s="105"/>
    </row>
    <row r="90" spans="1:37" x14ac:dyDescent="0.25">
      <c r="A90" s="67" t="s">
        <v>110</v>
      </c>
      <c r="B90" s="101">
        <v>0</v>
      </c>
      <c r="C90" s="102"/>
      <c r="D90" s="103"/>
      <c r="E90" s="184">
        <v>0</v>
      </c>
      <c r="F90" s="185"/>
      <c r="G90" s="186"/>
      <c r="H90" s="184">
        <v>0</v>
      </c>
      <c r="I90" s="185"/>
      <c r="J90" s="186"/>
      <c r="K90" s="184">
        <v>0</v>
      </c>
      <c r="L90" s="185"/>
      <c r="M90" s="186"/>
      <c r="N90" s="184">
        <v>0</v>
      </c>
      <c r="O90" s="185"/>
      <c r="P90" s="186"/>
      <c r="Q90" s="184">
        <v>0</v>
      </c>
      <c r="R90" s="185"/>
      <c r="S90" s="186"/>
      <c r="T90" s="184">
        <v>0</v>
      </c>
      <c r="U90" s="185"/>
      <c r="V90" s="186"/>
      <c r="W90" s="184">
        <v>0</v>
      </c>
      <c r="X90" s="185"/>
      <c r="Y90" s="186"/>
      <c r="Z90" s="79">
        <f>60</f>
        <v>60</v>
      </c>
      <c r="AA90" s="80"/>
      <c r="AB90" s="81"/>
      <c r="AC90" s="79">
        <v>0</v>
      </c>
      <c r="AD90" s="80"/>
      <c r="AE90" s="81"/>
      <c r="AF90" s="101">
        <f>60</f>
        <v>60</v>
      </c>
      <c r="AG90" s="102"/>
      <c r="AH90" s="103"/>
      <c r="AI90" s="19">
        <f>AF90/AF99</f>
        <v>1.1571966833200128E-4</v>
      </c>
      <c r="AJ90" s="79">
        <f>AF90+0</f>
        <v>60</v>
      </c>
      <c r="AK90" s="81"/>
    </row>
    <row r="91" spans="1:37" x14ac:dyDescent="0.25">
      <c r="A91" s="66" t="s">
        <v>64</v>
      </c>
      <c r="B91" s="77">
        <v>54706.3</v>
      </c>
      <c r="C91" s="78"/>
      <c r="D91" s="157"/>
      <c r="E91" s="98">
        <f>SUM(E92:E98)</f>
        <v>0</v>
      </c>
      <c r="F91" s="99"/>
      <c r="G91" s="100"/>
      <c r="H91" s="98">
        <f t="shared" ref="H91" si="34">SUM(H92:H98)</f>
        <v>2604.98</v>
      </c>
      <c r="I91" s="99"/>
      <c r="J91" s="100"/>
      <c r="K91" s="205">
        <f>SUM(K92:K98)</f>
        <v>14146.78</v>
      </c>
      <c r="L91" s="205"/>
      <c r="M91" s="205"/>
      <c r="N91" s="98">
        <f t="shared" ref="N91" si="35">SUM(N92:N98)</f>
        <v>5441.6900000000005</v>
      </c>
      <c r="O91" s="99"/>
      <c r="P91" s="100"/>
      <c r="Q91" s="98">
        <f t="shared" ref="Q91" si="36">SUM(Q92:Q98)</f>
        <v>1359.04</v>
      </c>
      <c r="R91" s="99"/>
      <c r="S91" s="100"/>
      <c r="T91" s="188">
        <f t="shared" ref="T91" si="37">SUM(T92:T98)</f>
        <v>12457.19</v>
      </c>
      <c r="U91" s="189"/>
      <c r="V91" s="190"/>
      <c r="W91" s="77">
        <f>SUM(W92:Y98)</f>
        <v>5101.3900000000003</v>
      </c>
      <c r="X91" s="78"/>
      <c r="Y91" s="78"/>
      <c r="Z91" s="98">
        <f t="shared" ref="Z91" si="38">SUM(Z92:Z98)</f>
        <v>1734.21</v>
      </c>
      <c r="AA91" s="99"/>
      <c r="AB91" s="100"/>
      <c r="AC91" s="98">
        <f t="shared" ref="AC91" si="39">SUM(AC92:AC98)</f>
        <v>15631.64</v>
      </c>
      <c r="AD91" s="99"/>
      <c r="AE91" s="100"/>
      <c r="AF91" s="77">
        <f>SUM(AF92:AH98)</f>
        <v>58476.92</v>
      </c>
      <c r="AG91" s="78"/>
      <c r="AH91" s="157"/>
      <c r="AI91" s="18">
        <f>AF91/AF99</f>
        <v>0.1127821631246162</v>
      </c>
      <c r="AJ91" s="104">
        <f>SUM(AJ92:AK98)</f>
        <v>163038.11000000002</v>
      </c>
      <c r="AK91" s="104"/>
    </row>
    <row r="92" spans="1:37" x14ac:dyDescent="0.25">
      <c r="A92" s="69" t="s">
        <v>65</v>
      </c>
      <c r="B92" s="101">
        <v>24831.980000000003</v>
      </c>
      <c r="C92" s="102"/>
      <c r="D92" s="103"/>
      <c r="E92" s="184">
        <v>0</v>
      </c>
      <c r="F92" s="185"/>
      <c r="G92" s="186"/>
      <c r="H92" s="184">
        <v>2417.9499999999998</v>
      </c>
      <c r="I92" s="185"/>
      <c r="J92" s="186"/>
      <c r="K92" s="204">
        <v>2278.7199999999998</v>
      </c>
      <c r="L92" s="204"/>
      <c r="M92" s="204"/>
      <c r="N92" s="184">
        <v>2603.92</v>
      </c>
      <c r="O92" s="185"/>
      <c r="P92" s="186"/>
      <c r="Q92" s="79">
        <v>0</v>
      </c>
      <c r="R92" s="80"/>
      <c r="S92" s="81"/>
      <c r="T92" s="184">
        <v>2258.09</v>
      </c>
      <c r="U92" s="185"/>
      <c r="V92" s="186"/>
      <c r="W92" s="79">
        <f>2413.24+2679.03</f>
        <v>5092.2700000000004</v>
      </c>
      <c r="X92" s="80"/>
      <c r="Y92" s="80"/>
      <c r="Z92" s="79">
        <f>983.02</f>
        <v>983.02</v>
      </c>
      <c r="AA92" s="80"/>
      <c r="AB92" s="81"/>
      <c r="AC92" s="79">
        <f>1809.54+2339.7+1342.41</f>
        <v>5491.65</v>
      </c>
      <c r="AD92" s="80"/>
      <c r="AE92" s="81"/>
      <c r="AF92" s="101">
        <f>2417.95+2278.72+2603.92+2258.09+5092.27+983.02+5491.65</f>
        <v>21125.620000000003</v>
      </c>
      <c r="AG92" s="102"/>
      <c r="AH92" s="103"/>
      <c r="AI92" s="19">
        <f>AF92/AF99</f>
        <v>4.0744162328464888E-2</v>
      </c>
      <c r="AJ92" s="105">
        <f>46575.11+AF92</f>
        <v>67700.73000000001</v>
      </c>
      <c r="AK92" s="105"/>
    </row>
    <row r="93" spans="1:37" x14ac:dyDescent="0.25">
      <c r="A93" s="69" t="s">
        <v>66</v>
      </c>
      <c r="B93" s="101">
        <v>8709.6500000000015</v>
      </c>
      <c r="C93" s="102"/>
      <c r="D93" s="103"/>
      <c r="E93" s="184">
        <v>0</v>
      </c>
      <c r="F93" s="185"/>
      <c r="G93" s="186"/>
      <c r="H93" s="184">
        <v>0</v>
      </c>
      <c r="I93" s="185"/>
      <c r="J93" s="186"/>
      <c r="K93" s="204">
        <v>1189.1500000000001</v>
      </c>
      <c r="L93" s="204"/>
      <c r="M93" s="204"/>
      <c r="N93" s="184">
        <v>2837.77</v>
      </c>
      <c r="O93" s="185"/>
      <c r="P93" s="186"/>
      <c r="Q93" s="79">
        <v>0</v>
      </c>
      <c r="R93" s="80"/>
      <c r="S93" s="81"/>
      <c r="T93" s="184">
        <v>1922.75</v>
      </c>
      <c r="U93" s="185"/>
      <c r="V93" s="186"/>
      <c r="W93" s="79">
        <v>0</v>
      </c>
      <c r="X93" s="80"/>
      <c r="Y93" s="80"/>
      <c r="Z93" s="79">
        <v>0</v>
      </c>
      <c r="AA93" s="80"/>
      <c r="AB93" s="81"/>
      <c r="AC93" s="79">
        <f>2048.93</f>
        <v>2048.9299999999998</v>
      </c>
      <c r="AD93" s="80"/>
      <c r="AE93" s="81"/>
      <c r="AF93" s="101">
        <f>1189.15+2837.77+1922.75+2048.93</f>
        <v>7998.6</v>
      </c>
      <c r="AG93" s="102"/>
      <c r="AH93" s="103"/>
      <c r="AI93" s="19">
        <f>AF93/AF99</f>
        <v>1.5426588985339091E-2</v>
      </c>
      <c r="AJ93" s="105">
        <f>10093.06+AF93</f>
        <v>18091.66</v>
      </c>
      <c r="AK93" s="105"/>
    </row>
    <row r="94" spans="1:37" x14ac:dyDescent="0.25">
      <c r="A94" s="69" t="s">
        <v>67</v>
      </c>
      <c r="B94" s="101">
        <v>4573</v>
      </c>
      <c r="C94" s="102"/>
      <c r="D94" s="103"/>
      <c r="E94" s="184">
        <v>0</v>
      </c>
      <c r="F94" s="185"/>
      <c r="G94" s="186"/>
      <c r="H94" s="184">
        <v>0</v>
      </c>
      <c r="I94" s="185"/>
      <c r="J94" s="186"/>
      <c r="K94" s="204">
        <v>566.03</v>
      </c>
      <c r="L94" s="204"/>
      <c r="M94" s="204"/>
      <c r="N94" s="184">
        <v>0</v>
      </c>
      <c r="O94" s="185"/>
      <c r="P94" s="186"/>
      <c r="Q94" s="79">
        <v>0</v>
      </c>
      <c r="R94" s="80"/>
      <c r="S94" s="81"/>
      <c r="T94" s="184">
        <v>1998.5</v>
      </c>
      <c r="U94" s="185"/>
      <c r="V94" s="186"/>
      <c r="W94" s="79">
        <v>0</v>
      </c>
      <c r="X94" s="80"/>
      <c r="Y94" s="80"/>
      <c r="Z94" s="79">
        <v>0</v>
      </c>
      <c r="AA94" s="80"/>
      <c r="AB94" s="81"/>
      <c r="AC94" s="79">
        <f>1214.69+626.71</f>
        <v>1841.4</v>
      </c>
      <c r="AD94" s="80"/>
      <c r="AE94" s="81"/>
      <c r="AF94" s="101">
        <f>566.03+1998.5+1841.4</f>
        <v>4405.93</v>
      </c>
      <c r="AG94" s="102"/>
      <c r="AH94" s="103"/>
      <c r="AI94" s="19">
        <f>AF94/AF99</f>
        <v>8.4975459715669072E-3</v>
      </c>
      <c r="AJ94" s="105">
        <f>17826.42+AF94</f>
        <v>22232.35</v>
      </c>
      <c r="AK94" s="105"/>
    </row>
    <row r="95" spans="1:37" x14ac:dyDescent="0.25">
      <c r="A95" s="69" t="s">
        <v>68</v>
      </c>
      <c r="B95" s="101">
        <v>1671.47</v>
      </c>
      <c r="C95" s="102"/>
      <c r="D95" s="103"/>
      <c r="E95" s="184">
        <v>0</v>
      </c>
      <c r="F95" s="185"/>
      <c r="G95" s="186"/>
      <c r="H95" s="184">
        <v>187.03</v>
      </c>
      <c r="I95" s="185"/>
      <c r="J95" s="186"/>
      <c r="K95" s="204">
        <v>1350.19</v>
      </c>
      <c r="L95" s="204"/>
      <c r="M95" s="204"/>
      <c r="N95" s="184">
        <v>0</v>
      </c>
      <c r="O95" s="185"/>
      <c r="P95" s="186"/>
      <c r="Q95" s="79">
        <v>0</v>
      </c>
      <c r="R95" s="80"/>
      <c r="S95" s="81"/>
      <c r="T95" s="184">
        <v>807.21</v>
      </c>
      <c r="U95" s="185"/>
      <c r="V95" s="186"/>
      <c r="W95" s="79">
        <v>0</v>
      </c>
      <c r="X95" s="80"/>
      <c r="Y95" s="80"/>
      <c r="Z95" s="79">
        <v>0</v>
      </c>
      <c r="AA95" s="80"/>
      <c r="AB95" s="81"/>
      <c r="AC95" s="79">
        <f>1813.38+35</f>
        <v>1848.38</v>
      </c>
      <c r="AD95" s="80"/>
      <c r="AE95" s="81"/>
      <c r="AF95" s="101">
        <f>187.03+1350.19+807.21+1848.38</f>
        <v>4192.8100000000004</v>
      </c>
      <c r="AG95" s="102"/>
      <c r="AH95" s="103"/>
      <c r="AI95" s="21">
        <f>AF95/AF99</f>
        <v>8.0865097096516382E-3</v>
      </c>
      <c r="AJ95" s="105">
        <f>1671.47+AF95</f>
        <v>5864.2800000000007</v>
      </c>
      <c r="AK95" s="105"/>
    </row>
    <row r="96" spans="1:37" x14ac:dyDescent="0.25">
      <c r="A96" s="69" t="s">
        <v>69</v>
      </c>
      <c r="B96" s="101">
        <v>5290.1100000000006</v>
      </c>
      <c r="C96" s="102"/>
      <c r="D96" s="103"/>
      <c r="E96" s="184">
        <v>0</v>
      </c>
      <c r="F96" s="185"/>
      <c r="G96" s="186"/>
      <c r="H96" s="184">
        <v>0</v>
      </c>
      <c r="I96" s="185"/>
      <c r="J96" s="186"/>
      <c r="K96" s="204">
        <v>0</v>
      </c>
      <c r="L96" s="204"/>
      <c r="M96" s="204"/>
      <c r="N96" s="184">
        <v>0</v>
      </c>
      <c r="O96" s="185"/>
      <c r="P96" s="186"/>
      <c r="Q96" s="79">
        <v>0</v>
      </c>
      <c r="R96" s="80"/>
      <c r="S96" s="81"/>
      <c r="T96" s="184">
        <v>1029.6500000000001</v>
      </c>
      <c r="U96" s="185"/>
      <c r="V96" s="186"/>
      <c r="W96" s="79">
        <v>0</v>
      </c>
      <c r="X96" s="80"/>
      <c r="Y96" s="80"/>
      <c r="Z96" s="79">
        <f>751.19</f>
        <v>751.19</v>
      </c>
      <c r="AA96" s="80"/>
      <c r="AB96" s="81"/>
      <c r="AC96" s="79">
        <f>135.23</f>
        <v>135.22999999999999</v>
      </c>
      <c r="AD96" s="80"/>
      <c r="AE96" s="81"/>
      <c r="AF96" s="101">
        <f>1029.65+751.19+135.23</f>
        <v>1916.0700000000002</v>
      </c>
      <c r="AG96" s="102"/>
      <c r="AH96" s="103"/>
      <c r="AI96" s="19">
        <f>AF96/AF99</f>
        <v>3.6954497483482952E-3</v>
      </c>
      <c r="AJ96" s="105">
        <f>5290.11+AF96</f>
        <v>7206.18</v>
      </c>
      <c r="AK96" s="105"/>
    </row>
    <row r="97" spans="1:39" x14ac:dyDescent="0.25">
      <c r="A97" s="69" t="s">
        <v>70</v>
      </c>
      <c r="B97" s="101">
        <v>8507.09</v>
      </c>
      <c r="C97" s="102"/>
      <c r="D97" s="103"/>
      <c r="E97" s="184">
        <v>0</v>
      </c>
      <c r="F97" s="185"/>
      <c r="G97" s="186"/>
      <c r="H97" s="184">
        <v>0</v>
      </c>
      <c r="I97" s="185"/>
      <c r="J97" s="186"/>
      <c r="K97" s="204">
        <v>0</v>
      </c>
      <c r="L97" s="204"/>
      <c r="M97" s="204"/>
      <c r="N97" s="184">
        <v>0</v>
      </c>
      <c r="O97" s="185"/>
      <c r="P97" s="186"/>
      <c r="Q97" s="79">
        <v>0</v>
      </c>
      <c r="R97" s="80"/>
      <c r="S97" s="81"/>
      <c r="T97" s="184">
        <v>1752.98</v>
      </c>
      <c r="U97" s="185"/>
      <c r="V97" s="186"/>
      <c r="W97" s="79">
        <f>6+3.12</f>
        <v>9.120000000000001</v>
      </c>
      <c r="X97" s="80"/>
      <c r="Y97" s="80"/>
      <c r="Z97" s="79">
        <v>0</v>
      </c>
      <c r="AA97" s="80"/>
      <c r="AB97" s="81"/>
      <c r="AC97" s="79">
        <v>0</v>
      </c>
      <c r="AD97" s="80"/>
      <c r="AE97" s="81"/>
      <c r="AF97" s="101">
        <f>1752.98+9.12</f>
        <v>1762.1</v>
      </c>
      <c r="AG97" s="102"/>
      <c r="AH97" s="103"/>
      <c r="AI97" s="19">
        <f>AF97/AF99</f>
        <v>3.3984937927969906E-3</v>
      </c>
      <c r="AJ97" s="105">
        <f>9766.44+AF97</f>
        <v>11528.54</v>
      </c>
      <c r="AK97" s="105"/>
      <c r="AM97" s="76"/>
    </row>
    <row r="98" spans="1:39" x14ac:dyDescent="0.25">
      <c r="A98" s="69" t="s">
        <v>103</v>
      </c>
      <c r="B98" s="101">
        <v>1123</v>
      </c>
      <c r="C98" s="102"/>
      <c r="D98" s="103"/>
      <c r="E98" s="184">
        <v>0</v>
      </c>
      <c r="F98" s="185"/>
      <c r="G98" s="186"/>
      <c r="H98" s="184">
        <v>0</v>
      </c>
      <c r="I98" s="185"/>
      <c r="J98" s="186"/>
      <c r="K98" s="204">
        <v>8762.69</v>
      </c>
      <c r="L98" s="204"/>
      <c r="M98" s="204"/>
      <c r="N98" s="184">
        <v>0</v>
      </c>
      <c r="O98" s="185"/>
      <c r="P98" s="186"/>
      <c r="Q98" s="79">
        <v>1359.04</v>
      </c>
      <c r="R98" s="80"/>
      <c r="S98" s="81"/>
      <c r="T98" s="184">
        <v>2688.01</v>
      </c>
      <c r="U98" s="185"/>
      <c r="V98" s="186"/>
      <c r="W98" s="79">
        <v>0</v>
      </c>
      <c r="X98" s="80"/>
      <c r="Y98" s="80"/>
      <c r="Z98" s="79">
        <v>0</v>
      </c>
      <c r="AA98" s="80"/>
      <c r="AB98" s="81"/>
      <c r="AC98" s="79">
        <f>1926.03+2340.02</f>
        <v>4266.05</v>
      </c>
      <c r="AD98" s="80"/>
      <c r="AE98" s="81"/>
      <c r="AF98" s="101">
        <f>8762.69+1359.04+2688.01+4266.05</f>
        <v>17075.79</v>
      </c>
      <c r="AG98" s="102"/>
      <c r="AH98" s="103"/>
      <c r="AI98" s="19">
        <f>AF98/AF99</f>
        <v>3.2933412588448403E-2</v>
      </c>
      <c r="AJ98" s="105">
        <f>13338.58+AF98</f>
        <v>30414.370000000003</v>
      </c>
      <c r="AK98" s="105"/>
    </row>
    <row r="99" spans="1:39" x14ac:dyDescent="0.25">
      <c r="A99" s="70" t="s">
        <v>71</v>
      </c>
      <c r="B99" s="96">
        <v>420074.00999999995</v>
      </c>
      <c r="C99" s="97"/>
      <c r="D99" s="187"/>
      <c r="E99" s="96">
        <f t="shared" ref="E99" si="40">E33+E42+E45+E49+E62+E67+E80+E86+E91</f>
        <v>20171.68</v>
      </c>
      <c r="F99" s="97"/>
      <c r="G99" s="187"/>
      <c r="H99" s="96">
        <f t="shared" ref="H99" si="41">H33+H42+H45+H49+H62+H67+H80+H86+H91</f>
        <v>211927.83000000002</v>
      </c>
      <c r="I99" s="97"/>
      <c r="J99" s="187"/>
      <c r="K99" s="212">
        <v>44208.9</v>
      </c>
      <c r="L99" s="212"/>
      <c r="M99" s="212"/>
      <c r="N99" s="96">
        <f t="shared" ref="N99" si="42">N33+N42+N45+N49+N62+N67+N80+N86+N91</f>
        <v>28244.670000000006</v>
      </c>
      <c r="O99" s="97"/>
      <c r="P99" s="187"/>
      <c r="Q99" s="96">
        <f t="shared" ref="Q99" si="43">Q33+Q42+Q45+Q49+Q62+Q67+Q80+Q86+Q91</f>
        <v>44942.97</v>
      </c>
      <c r="R99" s="97"/>
      <c r="S99" s="187"/>
      <c r="T99" s="96">
        <f t="shared" ref="T99" si="44">T33+T42+T45+T49+T62+T67+T80+T86+T91</f>
        <v>35789.769999999997</v>
      </c>
      <c r="U99" s="97"/>
      <c r="V99" s="187"/>
      <c r="W99" s="96">
        <f>W33+W42+W45+W49+W62+W67+W80+W86+W91</f>
        <v>39916.080000000002</v>
      </c>
      <c r="X99" s="97"/>
      <c r="Y99" s="97"/>
      <c r="Z99" s="96">
        <f>Z33+Z42+Z45+Z49+Z62+Z67+Z80+Z86+Z91</f>
        <v>37313.200000000004</v>
      </c>
      <c r="AA99" s="97"/>
      <c r="AB99" s="97"/>
      <c r="AC99" s="96">
        <f>AC33+AC42+AC45+AC49+AC62+AC67+AC80+AC86+AC91</f>
        <v>55979.3</v>
      </c>
      <c r="AD99" s="97"/>
      <c r="AE99" s="97"/>
      <c r="AF99" s="96">
        <f>SUM(AF33+AF42+AF45+AF49+AF62+AF67+AF80+AF86+AF91)</f>
        <v>518494.39999999997</v>
      </c>
      <c r="AG99" s="97"/>
      <c r="AH99" s="187"/>
      <c r="AI99" s="40">
        <f>AF99/AF99</f>
        <v>1</v>
      </c>
      <c r="AJ99" s="229">
        <f>SUM(AJ33+AJ42+AJ45+AJ49+AJ62+AJ67+AJ80+AJ86+AJ91)</f>
        <v>1888719.1699999997</v>
      </c>
      <c r="AK99" s="229"/>
    </row>
    <row r="100" spans="1:39" x14ac:dyDescent="0.25">
      <c r="A100" s="71" t="s">
        <v>82</v>
      </c>
      <c r="B100" s="218">
        <f>D27-B101</f>
        <v>1638818.02</v>
      </c>
      <c r="C100" s="219"/>
      <c r="D100" s="220"/>
      <c r="E100" s="94">
        <f>G27-E99</f>
        <v>100480.64000000001</v>
      </c>
      <c r="F100" s="94"/>
      <c r="G100" s="94"/>
      <c r="H100" s="221">
        <f>H99-J27</f>
        <v>93226.260000000009</v>
      </c>
      <c r="I100" s="221"/>
      <c r="J100" s="221"/>
      <c r="K100" s="221">
        <f>M27-K99</f>
        <v>75105.78</v>
      </c>
      <c r="L100" s="221"/>
      <c r="M100" s="221"/>
      <c r="N100" s="221">
        <f>P27-N99</f>
        <v>92307.729999999981</v>
      </c>
      <c r="O100" s="221"/>
      <c r="P100" s="221"/>
      <c r="Q100" s="221">
        <f>S27-Q99</f>
        <v>123893.29000000001</v>
      </c>
      <c r="R100" s="221"/>
      <c r="S100" s="221"/>
      <c r="T100" s="221">
        <f>V27-T99</f>
        <v>71508.489999999991</v>
      </c>
      <c r="U100" s="221"/>
      <c r="V100" s="221"/>
      <c r="W100" s="94">
        <f>Y27-W99</f>
        <v>95232.37000000001</v>
      </c>
      <c r="X100" s="94"/>
      <c r="Y100" s="95"/>
      <c r="Z100" s="224">
        <f>AB27-Z99</f>
        <v>-8485.7400000000052</v>
      </c>
      <c r="AA100" s="224"/>
      <c r="AB100" s="225"/>
      <c r="AC100" s="94">
        <f>AE27-AC99</f>
        <v>-15991.43</v>
      </c>
      <c r="AD100" s="94"/>
      <c r="AE100" s="95"/>
      <c r="AF100" s="221">
        <f>AH27-AF99</f>
        <v>440824.87000000005</v>
      </c>
      <c r="AG100" s="221"/>
      <c r="AH100" s="221"/>
      <c r="AI100" s="214">
        <f>AK27-AJ99</f>
        <v>2079667.4600000007</v>
      </c>
      <c r="AJ100" s="214"/>
      <c r="AK100" s="214"/>
    </row>
    <row r="101" spans="1:39" x14ac:dyDescent="0.25">
      <c r="A101" s="72" t="s">
        <v>106</v>
      </c>
      <c r="B101" s="222">
        <f>1370224.77</f>
        <v>1370224.77</v>
      </c>
      <c r="C101" s="222"/>
      <c r="D101" s="222"/>
      <c r="E101" s="41"/>
      <c r="F101" s="41"/>
      <c r="G101" s="41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1"/>
      <c r="X101" s="41"/>
      <c r="Y101" s="41"/>
      <c r="Z101" s="42"/>
      <c r="AA101" s="41"/>
      <c r="AB101" s="41"/>
      <c r="AC101" s="41"/>
      <c r="AD101" s="41"/>
      <c r="AE101" s="41"/>
      <c r="AF101" s="39"/>
      <c r="AG101" s="39"/>
      <c r="AH101" s="39"/>
      <c r="AI101" s="223"/>
      <c r="AJ101" s="223"/>
      <c r="AK101" s="223"/>
    </row>
    <row r="102" spans="1:39" x14ac:dyDescent="0.25">
      <c r="A102" s="215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</row>
    <row r="103" spans="1:39" x14ac:dyDescent="0.25">
      <c r="A103" s="217"/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6"/>
      <c r="X103" s="216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</row>
    <row r="104" spans="1:39" x14ac:dyDescent="0.25">
      <c r="A104" s="37" t="s">
        <v>72</v>
      </c>
      <c r="B104" s="137" t="s">
        <v>90</v>
      </c>
      <c r="C104" s="138"/>
      <c r="D104" s="138"/>
      <c r="E104" s="84" t="s">
        <v>95</v>
      </c>
      <c r="F104" s="85"/>
      <c r="G104" s="86"/>
      <c r="H104" s="132" t="s">
        <v>96</v>
      </c>
      <c r="I104" s="132"/>
      <c r="J104" s="132"/>
      <c r="K104" s="132" t="s">
        <v>97</v>
      </c>
      <c r="L104" s="132"/>
      <c r="M104" s="132"/>
      <c r="N104" s="132" t="s">
        <v>100</v>
      </c>
      <c r="O104" s="132"/>
      <c r="P104" s="132"/>
      <c r="Q104" s="84" t="s">
        <v>98</v>
      </c>
      <c r="R104" s="85"/>
      <c r="S104" s="86"/>
      <c r="T104" s="132" t="s">
        <v>99</v>
      </c>
      <c r="U104" s="132"/>
      <c r="V104" s="132"/>
      <c r="W104" s="132" t="s">
        <v>93</v>
      </c>
      <c r="X104" s="132"/>
      <c r="Y104" s="132"/>
      <c r="Z104" s="84" t="s">
        <v>109</v>
      </c>
      <c r="AA104" s="85"/>
      <c r="AB104" s="86"/>
      <c r="AC104" s="84" t="s">
        <v>112</v>
      </c>
      <c r="AD104" s="85"/>
      <c r="AE104" s="86"/>
      <c r="AF104" s="91"/>
      <c r="AG104" s="92"/>
      <c r="AH104" s="92"/>
      <c r="AI104" s="92"/>
      <c r="AJ104" s="92"/>
      <c r="AK104" s="92"/>
      <c r="AL104" s="92"/>
    </row>
    <row r="105" spans="1:39" x14ac:dyDescent="0.25">
      <c r="A105" s="49" t="s">
        <v>73</v>
      </c>
      <c r="B105" s="129">
        <f>445319.09</f>
        <v>445319.09</v>
      </c>
      <c r="C105" s="130"/>
      <c r="D105" s="131"/>
      <c r="E105" s="121">
        <f>B105+1850</f>
        <v>447169.09</v>
      </c>
      <c r="F105" s="122"/>
      <c r="G105" s="123"/>
      <c r="H105" s="121">
        <f>E105+1969.46</f>
        <v>449138.55000000005</v>
      </c>
      <c r="I105" s="122"/>
      <c r="J105" s="123"/>
      <c r="K105" s="121">
        <f>H105+1669.14</f>
        <v>450807.69000000006</v>
      </c>
      <c r="L105" s="122"/>
      <c r="M105" s="123"/>
      <c r="N105" s="121">
        <f>K105+108000+1910.88</f>
        <v>560718.57000000007</v>
      </c>
      <c r="O105" s="122"/>
      <c r="P105" s="123"/>
      <c r="Q105" s="121">
        <f>N105+2409.84-1722.91</f>
        <v>561405.5</v>
      </c>
      <c r="R105" s="122"/>
      <c r="S105" s="123"/>
      <c r="T105" s="133">
        <f>Q105+2081.1</f>
        <v>563486.6</v>
      </c>
      <c r="U105" s="133"/>
      <c r="V105" s="133"/>
      <c r="W105" s="133">
        <f>T105+109000+2568.23</f>
        <v>675054.83</v>
      </c>
      <c r="X105" s="133"/>
      <c r="Y105" s="133"/>
      <c r="Z105" s="121">
        <f>W105+2635.97</f>
        <v>677690.79999999993</v>
      </c>
      <c r="AA105" s="122"/>
      <c r="AB105" s="123"/>
      <c r="AC105" s="79">
        <f>Z105+2420.54</f>
        <v>680111.34</v>
      </c>
      <c r="AD105" s="82"/>
      <c r="AE105" s="83"/>
      <c r="AF105" s="91"/>
      <c r="AG105" s="92"/>
      <c r="AH105" s="92"/>
      <c r="AI105" s="92"/>
      <c r="AJ105" s="92"/>
      <c r="AK105" s="92"/>
      <c r="AL105" s="92"/>
    </row>
    <row r="106" spans="1:39" x14ac:dyDescent="0.25">
      <c r="A106" s="49" t="s">
        <v>74</v>
      </c>
      <c r="B106" s="129">
        <f>409607.94+316071.6</f>
        <v>725679.54</v>
      </c>
      <c r="C106" s="130"/>
      <c r="D106" s="131"/>
      <c r="E106" s="121">
        <f>B106+4900.28</f>
        <v>730579.82000000007</v>
      </c>
      <c r="F106" s="122"/>
      <c r="G106" s="123"/>
      <c r="H106" s="121">
        <f>E106+3107.13</f>
        <v>733686.95000000007</v>
      </c>
      <c r="I106" s="122"/>
      <c r="J106" s="123"/>
      <c r="K106" s="121">
        <f>H106+2965.82</f>
        <v>736652.77</v>
      </c>
      <c r="L106" s="122"/>
      <c r="M106" s="123"/>
      <c r="N106" s="121">
        <f>K106+3294.02</f>
        <v>739946.79</v>
      </c>
      <c r="O106" s="122"/>
      <c r="P106" s="123"/>
      <c r="Q106" s="121">
        <f>N106+3469.01</f>
        <v>743415.8</v>
      </c>
      <c r="R106" s="122"/>
      <c r="S106" s="123"/>
      <c r="T106" s="127">
        <f>Q106+3010.95</f>
        <v>746426.75</v>
      </c>
      <c r="U106" s="127"/>
      <c r="V106" s="127"/>
      <c r="W106" s="127">
        <f>T106+3663.54</f>
        <v>750090.29</v>
      </c>
      <c r="X106" s="127"/>
      <c r="Y106" s="127"/>
      <c r="Z106" s="226">
        <f>W106+159.75+252922.2</f>
        <v>1003172.24</v>
      </c>
      <c r="AA106" s="227"/>
      <c r="AB106" s="228"/>
      <c r="AC106" s="79">
        <f>Z106+3663.57</f>
        <v>1006835.8099999999</v>
      </c>
      <c r="AD106" s="80"/>
      <c r="AE106" s="81"/>
      <c r="AF106" s="75"/>
      <c r="AG106" s="75"/>
      <c r="AH106" s="75"/>
      <c r="AI106" s="74"/>
      <c r="AJ106" s="74"/>
      <c r="AK106" s="74"/>
    </row>
    <row r="107" spans="1:39" x14ac:dyDescent="0.25">
      <c r="A107" s="49" t="s">
        <v>75</v>
      </c>
      <c r="B107" s="129">
        <f>466470.14</f>
        <v>466470.14</v>
      </c>
      <c r="C107" s="130"/>
      <c r="D107" s="130"/>
      <c r="E107" s="121">
        <f>B107+108000-15377.57+1982.04-34.96</f>
        <v>561039.65000000014</v>
      </c>
      <c r="F107" s="122"/>
      <c r="G107" s="123"/>
      <c r="H107" s="121">
        <f>E107+108000-207838.49+1704.98-538.5</f>
        <v>462367.64000000013</v>
      </c>
      <c r="I107" s="122"/>
      <c r="J107" s="123"/>
      <c r="K107" s="121">
        <f>H107+109000-39908.16+1564.72-111.74</f>
        <v>532912.46000000008</v>
      </c>
      <c r="L107" s="122"/>
      <c r="M107" s="123"/>
      <c r="N107" s="121">
        <f>K107-23021.14+2047.5-49.45</f>
        <v>511889.37000000005</v>
      </c>
      <c r="O107" s="122"/>
      <c r="P107" s="123"/>
      <c r="Q107" s="121">
        <f>N107+144000-27059.73+2137.41-1275.94</f>
        <v>629691.11000000022</v>
      </c>
      <c r="R107" s="122"/>
      <c r="S107" s="123"/>
      <c r="T107" s="127">
        <f>Q107+66700-1050.45+2286.18-2.03</f>
        <v>697624.81000000029</v>
      </c>
      <c r="U107" s="127"/>
      <c r="V107" s="127"/>
      <c r="W107" s="127">
        <f>T107-22178.58+2956.68-51.13</f>
        <v>678351.78000000038</v>
      </c>
      <c r="X107" s="127"/>
      <c r="Y107" s="127"/>
      <c r="Z107" s="226">
        <f>W107+7500+1659.5-272591.07-698.69</f>
        <v>414221.52000000037</v>
      </c>
      <c r="AA107" s="227"/>
      <c r="AB107" s="228"/>
      <c r="AC107" s="79">
        <f>Z107+17000+1323.76-40921.17-125.75</f>
        <v>391498.36000000039</v>
      </c>
      <c r="AD107" s="80"/>
      <c r="AE107" s="81"/>
      <c r="AF107" s="73"/>
      <c r="AG107" s="73"/>
      <c r="AH107" s="73"/>
      <c r="AI107" s="74"/>
      <c r="AJ107" s="74"/>
      <c r="AK107" s="74"/>
    </row>
    <row r="108" spans="1:39" x14ac:dyDescent="0.25">
      <c r="A108" s="38" t="s">
        <v>105</v>
      </c>
      <c r="B108" s="124">
        <f>SUM(B105:D107)</f>
        <v>1637468.77</v>
      </c>
      <c r="C108" s="125"/>
      <c r="D108" s="126"/>
      <c r="E108" s="87">
        <f>SUM(E105:G107)</f>
        <v>1738788.5600000003</v>
      </c>
      <c r="F108" s="88"/>
      <c r="G108" s="89"/>
      <c r="H108" s="87">
        <f t="shared" ref="H108" si="45">SUM(H105:J107)</f>
        <v>1645193.1400000001</v>
      </c>
      <c r="I108" s="88"/>
      <c r="J108" s="89"/>
      <c r="K108" s="87">
        <f t="shared" ref="K108" si="46">SUM(K105:M107)</f>
        <v>1720372.92</v>
      </c>
      <c r="L108" s="88"/>
      <c r="M108" s="89"/>
      <c r="N108" s="87">
        <f t="shared" ref="N108" si="47">SUM(N105:P107)</f>
        <v>1812554.7300000002</v>
      </c>
      <c r="O108" s="88"/>
      <c r="P108" s="89"/>
      <c r="Q108" s="87">
        <f t="shared" ref="Q108" si="48">SUM(Q105:S107)</f>
        <v>1934512.4100000001</v>
      </c>
      <c r="R108" s="88"/>
      <c r="S108" s="89"/>
      <c r="T108" s="87">
        <f t="shared" ref="T108" si="49">SUM(T105:V107)</f>
        <v>2007538.1600000004</v>
      </c>
      <c r="U108" s="88"/>
      <c r="V108" s="89"/>
      <c r="W108" s="128">
        <f t="shared" ref="W108" si="50">SUM(W105:Y107)</f>
        <v>2103496.9000000004</v>
      </c>
      <c r="X108" s="128"/>
      <c r="Y108" s="128"/>
      <c r="Z108" s="87">
        <f t="shared" ref="Z108" si="51">SUM(Z105:AB107)</f>
        <v>2095084.5600000005</v>
      </c>
      <c r="AA108" s="88"/>
      <c r="AB108" s="89"/>
      <c r="AC108" s="87">
        <f t="shared" ref="AC108" si="52">SUM(AC105:AE107)</f>
        <v>2078445.5100000002</v>
      </c>
      <c r="AD108" s="88"/>
      <c r="AE108" s="89"/>
      <c r="AF108" s="73"/>
      <c r="AG108" s="73"/>
      <c r="AH108" s="73"/>
      <c r="AI108" s="57"/>
      <c r="AJ108" s="57"/>
      <c r="AK108" s="57"/>
    </row>
    <row r="109" spans="1:39" x14ac:dyDescent="0.25">
      <c r="A109" s="22" t="s">
        <v>76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53"/>
      <c r="AA109" s="23"/>
      <c r="AB109" s="23"/>
      <c r="AC109" s="23"/>
      <c r="AD109" s="23"/>
      <c r="AE109" s="23"/>
      <c r="AF109" s="73"/>
      <c r="AG109" s="73"/>
      <c r="AH109" s="73"/>
      <c r="AI109" s="24"/>
      <c r="AJ109" s="25"/>
      <c r="AK109" s="23"/>
    </row>
    <row r="110" spans="1:39" x14ac:dyDescent="0.25">
      <c r="A110" s="26" t="s">
        <v>77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53"/>
      <c r="AA110" s="23"/>
      <c r="AB110" s="23"/>
      <c r="AC110" s="23"/>
      <c r="AD110" s="23"/>
      <c r="AE110" s="23"/>
      <c r="AF110" s="23"/>
      <c r="AG110" s="23"/>
      <c r="AH110" s="24"/>
      <c r="AI110" s="24"/>
      <c r="AJ110" s="25"/>
      <c r="AK110" s="23"/>
    </row>
    <row r="111" spans="1:39" x14ac:dyDescent="0.25">
      <c r="A111" s="26" t="s">
        <v>78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53"/>
      <c r="AA111" s="23"/>
      <c r="AB111" s="23"/>
      <c r="AC111" s="23"/>
      <c r="AD111" s="23"/>
      <c r="AE111" s="23"/>
      <c r="AF111" s="23"/>
      <c r="AG111" s="23"/>
      <c r="AH111" s="24"/>
      <c r="AI111" s="24"/>
      <c r="AJ111" s="23"/>
      <c r="AK111" s="23"/>
    </row>
    <row r="112" spans="1:39" x14ac:dyDescent="0.25">
      <c r="A112" s="213" t="s">
        <v>79</v>
      </c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</row>
    <row r="113" spans="1:31" x14ac:dyDescent="0.25">
      <c r="A113" s="27" t="s">
        <v>87</v>
      </c>
    </row>
    <row r="115" spans="1:31" x14ac:dyDescent="0.25">
      <c r="T115" s="248"/>
      <c r="U115" s="248"/>
      <c r="V115" s="248"/>
      <c r="Z115" s="248"/>
      <c r="AA115" s="248"/>
      <c r="AB115" s="248"/>
      <c r="AC115" s="58"/>
      <c r="AD115" s="58"/>
      <c r="AE115" s="58"/>
    </row>
    <row r="116" spans="1:31" x14ac:dyDescent="0.25">
      <c r="T116" s="248"/>
      <c r="U116" s="248"/>
      <c r="V116" s="248"/>
      <c r="Z116" s="248"/>
      <c r="AA116" s="248"/>
      <c r="AB116" s="248"/>
      <c r="AC116" s="58"/>
      <c r="AD116" s="58"/>
      <c r="AE116" s="58"/>
    </row>
    <row r="117" spans="1:31" x14ac:dyDescent="0.25">
      <c r="T117" s="248"/>
      <c r="U117" s="248"/>
      <c r="V117" s="248"/>
      <c r="Z117" s="248"/>
      <c r="AA117" s="248"/>
      <c r="AB117" s="248"/>
      <c r="AC117" s="58"/>
      <c r="AD117" s="58"/>
      <c r="AE117" s="58"/>
    </row>
    <row r="118" spans="1:31" x14ac:dyDescent="0.25">
      <c r="T118" s="248"/>
      <c r="U118" s="248"/>
      <c r="V118" s="248"/>
      <c r="Z118" s="248"/>
      <c r="AA118" s="248"/>
      <c r="AB118" s="248"/>
      <c r="AC118" s="58"/>
      <c r="AD118" s="58"/>
      <c r="AE118" s="58"/>
    </row>
    <row r="119" spans="1:31" x14ac:dyDescent="0.25">
      <c r="T119" s="248"/>
      <c r="U119" s="248"/>
      <c r="V119" s="248"/>
      <c r="Z119" s="248"/>
      <c r="AA119" s="248"/>
      <c r="AB119" s="248"/>
      <c r="AC119" s="58"/>
      <c r="AD119" s="58"/>
      <c r="AE119" s="58"/>
    </row>
    <row r="120" spans="1:31" x14ac:dyDescent="0.25">
      <c r="T120" s="248"/>
      <c r="U120" s="248"/>
      <c r="V120" s="248"/>
      <c r="Z120" s="248"/>
      <c r="AA120" s="248"/>
      <c r="AB120" s="248"/>
      <c r="AC120" s="58"/>
      <c r="AD120" s="58"/>
      <c r="AE120" s="58"/>
    </row>
    <row r="121" spans="1:31" x14ac:dyDescent="0.25">
      <c r="T121" s="248"/>
      <c r="U121" s="248"/>
      <c r="V121" s="248"/>
      <c r="Z121" s="248"/>
      <c r="AA121" s="248"/>
      <c r="AB121" s="248"/>
      <c r="AC121" s="58"/>
      <c r="AD121" s="58"/>
      <c r="AE121" s="58"/>
    </row>
    <row r="122" spans="1:31" x14ac:dyDescent="0.25">
      <c r="T122" s="248"/>
      <c r="U122" s="248"/>
      <c r="V122" s="248"/>
      <c r="Z122" s="248"/>
      <c r="AA122" s="248"/>
      <c r="AB122" s="248"/>
      <c r="AC122" s="58"/>
      <c r="AD122" s="58"/>
      <c r="AE122" s="58"/>
    </row>
    <row r="123" spans="1:31" x14ac:dyDescent="0.25">
      <c r="T123" s="248"/>
      <c r="U123" s="248"/>
      <c r="V123" s="248"/>
      <c r="Z123" s="248"/>
      <c r="AA123" s="248"/>
      <c r="AB123" s="248"/>
      <c r="AC123" s="58"/>
      <c r="AD123" s="58"/>
      <c r="AE123" s="58"/>
    </row>
    <row r="124" spans="1:31" x14ac:dyDescent="0.25">
      <c r="T124" s="248"/>
      <c r="U124" s="248"/>
      <c r="V124" s="248"/>
      <c r="Z124" s="248"/>
      <c r="AA124" s="248"/>
      <c r="AB124" s="248"/>
      <c r="AC124" s="58"/>
      <c r="AD124" s="58"/>
      <c r="AE124" s="58"/>
    </row>
    <row r="125" spans="1:31" x14ac:dyDescent="0.25">
      <c r="T125" s="248"/>
      <c r="U125" s="248"/>
      <c r="V125" s="248"/>
      <c r="Z125" s="248"/>
      <c r="AA125" s="248"/>
      <c r="AB125" s="248"/>
      <c r="AC125" s="58"/>
      <c r="AD125" s="58"/>
      <c r="AE125" s="58"/>
    </row>
    <row r="126" spans="1:31" x14ac:dyDescent="0.25">
      <c r="T126" s="248"/>
      <c r="U126" s="248"/>
      <c r="V126" s="248"/>
      <c r="Z126" s="248"/>
      <c r="AA126" s="248"/>
      <c r="AB126" s="248"/>
      <c r="AC126" s="58"/>
      <c r="AD126" s="58"/>
      <c r="AE126" s="58"/>
    </row>
    <row r="127" spans="1:31" x14ac:dyDescent="0.25">
      <c r="T127" s="248"/>
      <c r="U127" s="248"/>
      <c r="V127" s="248"/>
      <c r="Z127" s="248"/>
      <c r="AA127" s="248"/>
      <c r="AB127" s="248"/>
      <c r="AC127" s="58"/>
      <c r="AD127" s="58"/>
      <c r="AE127" s="58"/>
    </row>
    <row r="128" spans="1:31" x14ac:dyDescent="0.25">
      <c r="T128" s="249"/>
      <c r="U128" s="249"/>
      <c r="V128" s="249"/>
      <c r="Z128" s="249"/>
      <c r="AA128" s="249"/>
      <c r="AB128" s="249"/>
      <c r="AC128" s="59"/>
      <c r="AD128" s="59"/>
      <c r="AE128" s="59"/>
    </row>
    <row r="129" spans="20:31" x14ac:dyDescent="0.25">
      <c r="T129" s="249"/>
      <c r="U129" s="249"/>
      <c r="V129" s="249"/>
      <c r="Z129" s="249"/>
      <c r="AA129" s="249"/>
      <c r="AB129" s="249"/>
      <c r="AC129" s="59"/>
      <c r="AD129" s="59"/>
      <c r="AE129" s="59"/>
    </row>
    <row r="130" spans="20:31" x14ac:dyDescent="0.25">
      <c r="T130" s="249"/>
      <c r="U130" s="249"/>
      <c r="V130" s="249"/>
      <c r="Z130" s="249"/>
      <c r="AA130" s="249"/>
      <c r="AB130" s="249"/>
      <c r="AC130" s="59"/>
      <c r="AD130" s="59"/>
      <c r="AE130" s="59"/>
    </row>
    <row r="131" spans="20:31" x14ac:dyDescent="0.25">
      <c r="T131" s="249"/>
      <c r="U131" s="249"/>
      <c r="V131" s="249"/>
      <c r="Z131" s="249"/>
      <c r="AA131" s="249"/>
      <c r="AB131" s="249"/>
      <c r="AC131" s="59"/>
      <c r="AD131" s="59"/>
      <c r="AE131" s="59"/>
    </row>
    <row r="132" spans="20:31" x14ac:dyDescent="0.25">
      <c r="T132" s="249"/>
      <c r="U132" s="249"/>
      <c r="V132" s="249"/>
      <c r="Z132" s="249"/>
      <c r="AA132" s="249"/>
      <c r="AB132" s="249"/>
      <c r="AC132" s="59"/>
      <c r="AD132" s="59"/>
      <c r="AE132" s="59"/>
    </row>
    <row r="133" spans="20:31" x14ac:dyDescent="0.25">
      <c r="T133" s="250"/>
      <c r="U133" s="251"/>
      <c r="V133" s="251"/>
    </row>
  </sheetData>
  <sheetProtection sheet="1" objects="1" scenarios="1"/>
  <mergeCells count="1048">
    <mergeCell ref="Z132:AB132"/>
    <mergeCell ref="T115:V115"/>
    <mergeCell ref="T116:V116"/>
    <mergeCell ref="T117:V117"/>
    <mergeCell ref="T118:V118"/>
    <mergeCell ref="T119:V119"/>
    <mergeCell ref="T120:V120"/>
    <mergeCell ref="T121:V121"/>
    <mergeCell ref="T122:V122"/>
    <mergeCell ref="T123:V123"/>
    <mergeCell ref="T133:V133"/>
    <mergeCell ref="T124:V124"/>
    <mergeCell ref="T125:V125"/>
    <mergeCell ref="T126:V126"/>
    <mergeCell ref="T127:V127"/>
    <mergeCell ref="T128:V128"/>
    <mergeCell ref="T129:V129"/>
    <mergeCell ref="T130:V130"/>
    <mergeCell ref="T131:V131"/>
    <mergeCell ref="T132:V132"/>
    <mergeCell ref="Z115:AB115"/>
    <mergeCell ref="Z116:AB116"/>
    <mergeCell ref="Z117:AB117"/>
    <mergeCell ref="Z118:AB118"/>
    <mergeCell ref="Z119:AB119"/>
    <mergeCell ref="Z120:AB120"/>
    <mergeCell ref="Z121:AB121"/>
    <mergeCell ref="Z122:AB122"/>
    <mergeCell ref="Z123:AB123"/>
    <mergeCell ref="Z124:AB124"/>
    <mergeCell ref="Z125:AB125"/>
    <mergeCell ref="Z126:AB126"/>
    <mergeCell ref="Z127:AB127"/>
    <mergeCell ref="Z128:AB128"/>
    <mergeCell ref="Z129:AB129"/>
    <mergeCell ref="Z130:AB130"/>
    <mergeCell ref="Z131:AB131"/>
    <mergeCell ref="Z104:AB104"/>
    <mergeCell ref="Z87:AB87"/>
    <mergeCell ref="Z88:AB88"/>
    <mergeCell ref="Z91:AB91"/>
    <mergeCell ref="Z92:AB92"/>
    <mergeCell ref="Z93:AB93"/>
    <mergeCell ref="Z94:AB94"/>
    <mergeCell ref="Z95:AB95"/>
    <mergeCell ref="Z96:AB96"/>
    <mergeCell ref="Z97:AB97"/>
    <mergeCell ref="Z64:AB64"/>
    <mergeCell ref="Z65:AB65"/>
    <mergeCell ref="Z74:AB74"/>
    <mergeCell ref="Z67:AB67"/>
    <mergeCell ref="Z85:AB85"/>
    <mergeCell ref="Z84:AB84"/>
    <mergeCell ref="Z80:AB80"/>
    <mergeCell ref="Z81:AB81"/>
    <mergeCell ref="Z71:AB71"/>
    <mergeCell ref="Z90:AB90"/>
    <mergeCell ref="Z63:AB63"/>
    <mergeCell ref="Z68:AB68"/>
    <mergeCell ref="Z66:AB66"/>
    <mergeCell ref="AI12:AK12"/>
    <mergeCell ref="AI13:AK13"/>
    <mergeCell ref="AI14:AK14"/>
    <mergeCell ref="AI15:AK15"/>
    <mergeCell ref="AI16:AK16"/>
    <mergeCell ref="AI17:AK17"/>
    <mergeCell ref="AI18:AK18"/>
    <mergeCell ref="AJ81:AK81"/>
    <mergeCell ref="AJ82:AK82"/>
    <mergeCell ref="AJ79:AK79"/>
    <mergeCell ref="AJ80:AK80"/>
    <mergeCell ref="AJ73:AK73"/>
    <mergeCell ref="AJ65:AK65"/>
    <mergeCell ref="AJ66:AK66"/>
    <mergeCell ref="AJ63:AK63"/>
    <mergeCell ref="AJ64:AK64"/>
    <mergeCell ref="Z59:AB59"/>
    <mergeCell ref="Z60:AB60"/>
    <mergeCell ref="Z61:AB61"/>
    <mergeCell ref="AJ57:AK57"/>
    <mergeCell ref="AJ58:AK58"/>
    <mergeCell ref="AJ98:AK98"/>
    <mergeCell ref="AJ99:AK99"/>
    <mergeCell ref="AJ96:AK96"/>
    <mergeCell ref="AJ97:AK97"/>
    <mergeCell ref="B96:D96"/>
    <mergeCell ref="B97:D97"/>
    <mergeCell ref="B98:D98"/>
    <mergeCell ref="B99:D99"/>
    <mergeCell ref="K96:M96"/>
    <mergeCell ref="Z82:AB82"/>
    <mergeCell ref="Z83:AB83"/>
    <mergeCell ref="Z73:AB73"/>
    <mergeCell ref="Z99:AB99"/>
    <mergeCell ref="Z98:AB98"/>
    <mergeCell ref="Z54:AB54"/>
    <mergeCell ref="Z27:AA27"/>
    <mergeCell ref="Z35:AB35"/>
    <mergeCell ref="Z36:AB36"/>
    <mergeCell ref="Z37:AB37"/>
    <mergeCell ref="Z39:AB39"/>
    <mergeCell ref="Z40:AB40"/>
    <mergeCell ref="Z41:AB41"/>
    <mergeCell ref="Z49:AB49"/>
    <mergeCell ref="Z45:AB45"/>
    <mergeCell ref="Z42:AB42"/>
    <mergeCell ref="E98:G98"/>
    <mergeCell ref="E97:G97"/>
    <mergeCell ref="E96:G96"/>
    <mergeCell ref="AF99:AH99"/>
    <mergeCell ref="AJ94:AK94"/>
    <mergeCell ref="AJ95:AK95"/>
    <mergeCell ref="AJ92:AK92"/>
    <mergeCell ref="W106:Y106"/>
    <mergeCell ref="W105:Y105"/>
    <mergeCell ref="W104:Y104"/>
    <mergeCell ref="A112:AK112"/>
    <mergeCell ref="E27:F27"/>
    <mergeCell ref="T27:U27"/>
    <mergeCell ref="Q27:R27"/>
    <mergeCell ref="N27:O27"/>
    <mergeCell ref="K27:L27"/>
    <mergeCell ref="H27:I27"/>
    <mergeCell ref="W27:X27"/>
    <mergeCell ref="N33:P33"/>
    <mergeCell ref="AI100:AK100"/>
    <mergeCell ref="A102:AK103"/>
    <mergeCell ref="B100:D100"/>
    <mergeCell ref="E100:G100"/>
    <mergeCell ref="N100:P100"/>
    <mergeCell ref="Q100:S100"/>
    <mergeCell ref="AF100:AH100"/>
    <mergeCell ref="K100:M100"/>
    <mergeCell ref="H100:J100"/>
    <mergeCell ref="T100:V100"/>
    <mergeCell ref="B101:D101"/>
    <mergeCell ref="AI101:AK101"/>
    <mergeCell ref="Z100:AB100"/>
    <mergeCell ref="Z108:AB108"/>
    <mergeCell ref="Z107:AB107"/>
    <mergeCell ref="Z106:AB106"/>
    <mergeCell ref="Z105:AB105"/>
    <mergeCell ref="T97:V97"/>
    <mergeCell ref="T98:V98"/>
    <mergeCell ref="T99:V99"/>
    <mergeCell ref="AJ93:AK93"/>
    <mergeCell ref="B95:D95"/>
    <mergeCell ref="B94:D94"/>
    <mergeCell ref="B93:D93"/>
    <mergeCell ref="B92:D92"/>
    <mergeCell ref="K92:M92"/>
    <mergeCell ref="K93:M93"/>
    <mergeCell ref="K94:M94"/>
    <mergeCell ref="K95:M95"/>
    <mergeCell ref="H95:J95"/>
    <mergeCell ref="H94:J94"/>
    <mergeCell ref="H93:J93"/>
    <mergeCell ref="H92:J92"/>
    <mergeCell ref="E95:G95"/>
    <mergeCell ref="E94:G94"/>
    <mergeCell ref="E93:G93"/>
    <mergeCell ref="E92:G92"/>
    <mergeCell ref="T94:V94"/>
    <mergeCell ref="T95:V95"/>
    <mergeCell ref="K97:M97"/>
    <mergeCell ref="K98:M98"/>
    <mergeCell ref="K99:M99"/>
    <mergeCell ref="H99:J99"/>
    <mergeCell ref="H98:J98"/>
    <mergeCell ref="H97:J97"/>
    <mergeCell ref="H96:J96"/>
    <mergeCell ref="E99:G99"/>
    <mergeCell ref="AJ89:AK89"/>
    <mergeCell ref="AJ91:AK91"/>
    <mergeCell ref="AJ87:AK87"/>
    <mergeCell ref="AJ88:AK88"/>
    <mergeCell ref="B91:D91"/>
    <mergeCell ref="B89:D89"/>
    <mergeCell ref="B88:D88"/>
    <mergeCell ref="B87:D87"/>
    <mergeCell ref="H87:J87"/>
    <mergeCell ref="H88:J88"/>
    <mergeCell ref="H89:J89"/>
    <mergeCell ref="H91:J91"/>
    <mergeCell ref="K91:M91"/>
    <mergeCell ref="K89:M89"/>
    <mergeCell ref="K88:M88"/>
    <mergeCell ref="K87:M87"/>
    <mergeCell ref="E87:G87"/>
    <mergeCell ref="E88:G88"/>
    <mergeCell ref="E89:G89"/>
    <mergeCell ref="E91:G91"/>
    <mergeCell ref="Z89:AB89"/>
    <mergeCell ref="N90:P90"/>
    <mergeCell ref="T90:V90"/>
    <mergeCell ref="Q90:S90"/>
    <mergeCell ref="K90:M90"/>
    <mergeCell ref="H90:J90"/>
    <mergeCell ref="E90:G90"/>
    <mergeCell ref="B90:D90"/>
    <mergeCell ref="AJ90:AK90"/>
    <mergeCell ref="AF90:AH90"/>
    <mergeCell ref="W90:Y90"/>
    <mergeCell ref="AJ86:AK86"/>
    <mergeCell ref="AJ83:AK83"/>
    <mergeCell ref="AJ84:AK84"/>
    <mergeCell ref="B86:D86"/>
    <mergeCell ref="B85:D85"/>
    <mergeCell ref="B84:D84"/>
    <mergeCell ref="B83:D83"/>
    <mergeCell ref="H83:J83"/>
    <mergeCell ref="H86:J86"/>
    <mergeCell ref="H84:J84"/>
    <mergeCell ref="H85:J85"/>
    <mergeCell ref="K86:M86"/>
    <mergeCell ref="K85:M85"/>
    <mergeCell ref="K84:M84"/>
    <mergeCell ref="K83:M83"/>
    <mergeCell ref="E83:G83"/>
    <mergeCell ref="E84:G84"/>
    <mergeCell ref="E85:G85"/>
    <mergeCell ref="E86:G86"/>
    <mergeCell ref="Z86:AB86"/>
    <mergeCell ref="N83:P83"/>
    <mergeCell ref="Q86:S86"/>
    <mergeCell ref="T86:V86"/>
    <mergeCell ref="AC84:AE84"/>
    <mergeCell ref="AJ85:AK85"/>
    <mergeCell ref="B81:D81"/>
    <mergeCell ref="B80:D80"/>
    <mergeCell ref="B79:D79"/>
    <mergeCell ref="B82:D82"/>
    <mergeCell ref="H82:J82"/>
    <mergeCell ref="H81:J81"/>
    <mergeCell ref="E79:G79"/>
    <mergeCell ref="E80:G80"/>
    <mergeCell ref="K80:M80"/>
    <mergeCell ref="H80:J80"/>
    <mergeCell ref="K79:M79"/>
    <mergeCell ref="H79:J79"/>
    <mergeCell ref="K81:M81"/>
    <mergeCell ref="K82:M82"/>
    <mergeCell ref="E81:G81"/>
    <mergeCell ref="E82:G82"/>
    <mergeCell ref="N82:P82"/>
    <mergeCell ref="N81:P81"/>
    <mergeCell ref="N80:P80"/>
    <mergeCell ref="N79:P79"/>
    <mergeCell ref="AJ77:AK77"/>
    <mergeCell ref="AJ78:AK78"/>
    <mergeCell ref="AJ75:AK75"/>
    <mergeCell ref="AJ76:AK76"/>
    <mergeCell ref="B78:D78"/>
    <mergeCell ref="B77:D77"/>
    <mergeCell ref="B76:D76"/>
    <mergeCell ref="B75:D75"/>
    <mergeCell ref="K75:M75"/>
    <mergeCell ref="H75:J75"/>
    <mergeCell ref="E77:G77"/>
    <mergeCell ref="E78:G78"/>
    <mergeCell ref="K78:M78"/>
    <mergeCell ref="K77:M77"/>
    <mergeCell ref="K76:M76"/>
    <mergeCell ref="H78:J78"/>
    <mergeCell ref="H77:J77"/>
    <mergeCell ref="H76:J76"/>
    <mergeCell ref="E75:G75"/>
    <mergeCell ref="E76:G76"/>
    <mergeCell ref="N78:P78"/>
    <mergeCell ref="N77:P77"/>
    <mergeCell ref="N76:P76"/>
    <mergeCell ref="N75:P75"/>
    <mergeCell ref="AF75:AH75"/>
    <mergeCell ref="AF76:AH76"/>
    <mergeCell ref="Z75:AB75"/>
    <mergeCell ref="Z76:AB76"/>
    <mergeCell ref="Z77:AB77"/>
    <mergeCell ref="Z78:AB78"/>
    <mergeCell ref="B74:D74"/>
    <mergeCell ref="B73:D73"/>
    <mergeCell ref="B72:D72"/>
    <mergeCell ref="B71:D71"/>
    <mergeCell ref="H74:J74"/>
    <mergeCell ref="H73:J73"/>
    <mergeCell ref="H72:J72"/>
    <mergeCell ref="H71:J71"/>
    <mergeCell ref="K71:M71"/>
    <mergeCell ref="K72:M72"/>
    <mergeCell ref="K73:M73"/>
    <mergeCell ref="K74:M74"/>
    <mergeCell ref="E71:G71"/>
    <mergeCell ref="E72:G72"/>
    <mergeCell ref="E73:G73"/>
    <mergeCell ref="E74:G74"/>
    <mergeCell ref="N74:P74"/>
    <mergeCell ref="N73:P73"/>
    <mergeCell ref="H70:J70"/>
    <mergeCell ref="H69:J69"/>
    <mergeCell ref="H68:J68"/>
    <mergeCell ref="H67:J67"/>
    <mergeCell ref="K70:M70"/>
    <mergeCell ref="E67:G67"/>
    <mergeCell ref="E68:G68"/>
    <mergeCell ref="E69:G69"/>
    <mergeCell ref="E70:G70"/>
    <mergeCell ref="N67:P67"/>
    <mergeCell ref="N70:P70"/>
    <mergeCell ref="T70:V70"/>
    <mergeCell ref="Q70:S70"/>
    <mergeCell ref="N69:P69"/>
    <mergeCell ref="N68:P68"/>
    <mergeCell ref="AJ74:AK74"/>
    <mergeCell ref="AJ71:AK71"/>
    <mergeCell ref="AJ72:AK72"/>
    <mergeCell ref="Q73:S73"/>
    <mergeCell ref="Q72:S72"/>
    <mergeCell ref="Q71:S71"/>
    <mergeCell ref="N72:P72"/>
    <mergeCell ref="N71:P71"/>
    <mergeCell ref="AJ70:AK70"/>
    <mergeCell ref="W72:Y72"/>
    <mergeCell ref="AF72:AH72"/>
    <mergeCell ref="T74:V74"/>
    <mergeCell ref="T73:V73"/>
    <mergeCell ref="T72:V72"/>
    <mergeCell ref="Z72:AB72"/>
    <mergeCell ref="AF69:AH69"/>
    <mergeCell ref="AF70:AH70"/>
    <mergeCell ref="B66:D66"/>
    <mergeCell ref="B65:D65"/>
    <mergeCell ref="B64:D64"/>
    <mergeCell ref="B63:D63"/>
    <mergeCell ref="AJ69:AK69"/>
    <mergeCell ref="H66:J66"/>
    <mergeCell ref="H65:J65"/>
    <mergeCell ref="H64:J64"/>
    <mergeCell ref="H63:J63"/>
    <mergeCell ref="K69:M69"/>
    <mergeCell ref="K68:M68"/>
    <mergeCell ref="K67:M67"/>
    <mergeCell ref="K66:M66"/>
    <mergeCell ref="K65:M65"/>
    <mergeCell ref="K64:M64"/>
    <mergeCell ref="K63:M63"/>
    <mergeCell ref="E63:G63"/>
    <mergeCell ref="E64:G64"/>
    <mergeCell ref="E65:G65"/>
    <mergeCell ref="Q69:S69"/>
    <mergeCell ref="Q68:S68"/>
    <mergeCell ref="Q67:S67"/>
    <mergeCell ref="T69:V69"/>
    <mergeCell ref="T68:V68"/>
    <mergeCell ref="T67:V67"/>
    <mergeCell ref="AF65:AH65"/>
    <mergeCell ref="AF64:AH64"/>
    <mergeCell ref="AF63:AH63"/>
    <mergeCell ref="B67:D67"/>
    <mergeCell ref="AJ67:AK67"/>
    <mergeCell ref="AJ68:AK68"/>
    <mergeCell ref="AF68:AH68"/>
    <mergeCell ref="B70:D70"/>
    <mergeCell ref="B69:D69"/>
    <mergeCell ref="B68:D68"/>
    <mergeCell ref="E66:G66"/>
    <mergeCell ref="AJ61:AK61"/>
    <mergeCell ref="AJ62:AK62"/>
    <mergeCell ref="AJ59:AK59"/>
    <mergeCell ref="AJ60:AK60"/>
    <mergeCell ref="B62:D62"/>
    <mergeCell ref="B61:D61"/>
    <mergeCell ref="B60:D60"/>
    <mergeCell ref="B59:D59"/>
    <mergeCell ref="K59:M59"/>
    <mergeCell ref="N62:P62"/>
    <mergeCell ref="N61:P61"/>
    <mergeCell ref="N60:P60"/>
    <mergeCell ref="H60:J60"/>
    <mergeCell ref="H59:J59"/>
    <mergeCell ref="K60:M60"/>
    <mergeCell ref="H62:J62"/>
    <mergeCell ref="K61:M61"/>
    <mergeCell ref="H61:J61"/>
    <mergeCell ref="K62:M62"/>
    <mergeCell ref="E59:G59"/>
    <mergeCell ref="E60:G60"/>
    <mergeCell ref="E61:G61"/>
    <mergeCell ref="E62:G62"/>
    <mergeCell ref="Q61:S61"/>
    <mergeCell ref="Z69:AB69"/>
    <mergeCell ref="Z70:AB70"/>
    <mergeCell ref="AF62:AH62"/>
    <mergeCell ref="AF67:AH67"/>
    <mergeCell ref="AJ55:AK55"/>
    <mergeCell ref="AJ56:AK56"/>
    <mergeCell ref="B58:D58"/>
    <mergeCell ref="B57:D57"/>
    <mergeCell ref="B56:D56"/>
    <mergeCell ref="B55:D55"/>
    <mergeCell ref="K58:M58"/>
    <mergeCell ref="K57:M57"/>
    <mergeCell ref="K56:M56"/>
    <mergeCell ref="K55:M55"/>
    <mergeCell ref="H58:J58"/>
    <mergeCell ref="H56:J56"/>
    <mergeCell ref="H57:J57"/>
    <mergeCell ref="H55:J55"/>
    <mergeCell ref="E55:G55"/>
    <mergeCell ref="E56:G56"/>
    <mergeCell ref="E57:G57"/>
    <mergeCell ref="E58:G58"/>
    <mergeCell ref="T56:V56"/>
    <mergeCell ref="T55:V55"/>
    <mergeCell ref="W58:Y58"/>
    <mergeCell ref="W57:Y57"/>
    <mergeCell ref="Z58:AB58"/>
    <mergeCell ref="Z55:AB55"/>
    <mergeCell ref="Z56:AB56"/>
    <mergeCell ref="Z57:AB57"/>
    <mergeCell ref="N56:P56"/>
    <mergeCell ref="N55:P55"/>
    <mergeCell ref="W56:Y56"/>
    <mergeCell ref="W55:Y55"/>
    <mergeCell ref="AJ53:AK53"/>
    <mergeCell ref="AJ54:AK54"/>
    <mergeCell ref="AJ51:AK51"/>
    <mergeCell ref="AJ52:AK52"/>
    <mergeCell ref="B54:D54"/>
    <mergeCell ref="B53:D53"/>
    <mergeCell ref="B52:D52"/>
    <mergeCell ref="B51:D51"/>
    <mergeCell ref="E51:G51"/>
    <mergeCell ref="K54:M54"/>
    <mergeCell ref="K53:M53"/>
    <mergeCell ref="K52:M52"/>
    <mergeCell ref="H54:J54"/>
    <mergeCell ref="H53:J53"/>
    <mergeCell ref="H52:J52"/>
    <mergeCell ref="H51:J51"/>
    <mergeCell ref="K51:M51"/>
    <mergeCell ref="E52:G52"/>
    <mergeCell ref="E53:G53"/>
    <mergeCell ref="E54:G54"/>
    <mergeCell ref="Q51:S51"/>
    <mergeCell ref="T53:V53"/>
    <mergeCell ref="T52:V52"/>
    <mergeCell ref="T54:V54"/>
    <mergeCell ref="Z51:AB51"/>
    <mergeCell ref="Z52:AB52"/>
    <mergeCell ref="Z53:AB53"/>
    <mergeCell ref="N54:P54"/>
    <mergeCell ref="N53:P53"/>
    <mergeCell ref="N52:P52"/>
    <mergeCell ref="N51:P51"/>
    <mergeCell ref="AJ49:AK49"/>
    <mergeCell ref="AJ50:AK50"/>
    <mergeCell ref="AJ47:AK47"/>
    <mergeCell ref="AJ48:AK48"/>
    <mergeCell ref="B50:D50"/>
    <mergeCell ref="B49:D49"/>
    <mergeCell ref="B48:D48"/>
    <mergeCell ref="B47:D47"/>
    <mergeCell ref="E50:G50"/>
    <mergeCell ref="E49:G49"/>
    <mergeCell ref="E48:G48"/>
    <mergeCell ref="E47:G47"/>
    <mergeCell ref="H50:J50"/>
    <mergeCell ref="H49:J49"/>
    <mergeCell ref="H48:J48"/>
    <mergeCell ref="H47:J47"/>
    <mergeCell ref="K50:M50"/>
    <mergeCell ref="K49:M49"/>
    <mergeCell ref="K48:M48"/>
    <mergeCell ref="K47:M47"/>
    <mergeCell ref="Q48:S48"/>
    <mergeCell ref="Q47:S47"/>
    <mergeCell ref="N48:P48"/>
    <mergeCell ref="N47:P47"/>
    <mergeCell ref="Z50:AB50"/>
    <mergeCell ref="T48:V48"/>
    <mergeCell ref="T47:V47"/>
    <mergeCell ref="Z47:AB47"/>
    <mergeCell ref="Z48:AB48"/>
    <mergeCell ref="AJ45:AK45"/>
    <mergeCell ref="AJ46:AK46"/>
    <mergeCell ref="AJ43:AK43"/>
    <mergeCell ref="AJ44:AK44"/>
    <mergeCell ref="B46:D46"/>
    <mergeCell ref="B45:D45"/>
    <mergeCell ref="B44:D44"/>
    <mergeCell ref="B43:D43"/>
    <mergeCell ref="E46:G46"/>
    <mergeCell ref="E45:G45"/>
    <mergeCell ref="E44:G44"/>
    <mergeCell ref="E43:G43"/>
    <mergeCell ref="H46:J46"/>
    <mergeCell ref="H45:J45"/>
    <mergeCell ref="H44:J44"/>
    <mergeCell ref="H43:J43"/>
    <mergeCell ref="K46:M46"/>
    <mergeCell ref="K45:M45"/>
    <mergeCell ref="K44:M44"/>
    <mergeCell ref="K43:M43"/>
    <mergeCell ref="N45:P45"/>
    <mergeCell ref="Q46:S46"/>
    <mergeCell ref="N46:P46"/>
    <mergeCell ref="N44:P44"/>
    <mergeCell ref="Z46:AB46"/>
    <mergeCell ref="Q43:S43"/>
    <mergeCell ref="N43:P43"/>
    <mergeCell ref="AF43:AH43"/>
    <mergeCell ref="AF44:AH44"/>
    <mergeCell ref="T46:V46"/>
    <mergeCell ref="T45:V45"/>
    <mergeCell ref="T44:V44"/>
    <mergeCell ref="AJ41:AK41"/>
    <mergeCell ref="AJ42:AK42"/>
    <mergeCell ref="AJ39:AK39"/>
    <mergeCell ref="AJ40:AK40"/>
    <mergeCell ref="B42:D42"/>
    <mergeCell ref="B41:D41"/>
    <mergeCell ref="B40:D40"/>
    <mergeCell ref="B39:D39"/>
    <mergeCell ref="E42:G42"/>
    <mergeCell ref="E41:G41"/>
    <mergeCell ref="E40:G40"/>
    <mergeCell ref="E39:G39"/>
    <mergeCell ref="K39:M39"/>
    <mergeCell ref="K40:M40"/>
    <mergeCell ref="K41:M41"/>
    <mergeCell ref="H41:J41"/>
    <mergeCell ref="H40:J40"/>
    <mergeCell ref="H39:J39"/>
    <mergeCell ref="H42:J42"/>
    <mergeCell ref="K42:M42"/>
    <mergeCell ref="N41:P41"/>
    <mergeCell ref="N40:P40"/>
    <mergeCell ref="N39:P39"/>
    <mergeCell ref="N42:P42"/>
    <mergeCell ref="Q41:S41"/>
    <mergeCell ref="Q40:S40"/>
    <mergeCell ref="Q39:S39"/>
    <mergeCell ref="Q42:S42"/>
    <mergeCell ref="T42:V42"/>
    <mergeCell ref="T41:V41"/>
    <mergeCell ref="T40:V40"/>
    <mergeCell ref="T39:V39"/>
    <mergeCell ref="AF32:AH32"/>
    <mergeCell ref="AC32:AE32"/>
    <mergeCell ref="AJ37:AK37"/>
    <mergeCell ref="AJ38:AK38"/>
    <mergeCell ref="AJ35:AK35"/>
    <mergeCell ref="AJ36:AK36"/>
    <mergeCell ref="B38:D38"/>
    <mergeCell ref="B37:D37"/>
    <mergeCell ref="B36:D36"/>
    <mergeCell ref="B35:D35"/>
    <mergeCell ref="E38:G38"/>
    <mergeCell ref="E37:G37"/>
    <mergeCell ref="E36:G36"/>
    <mergeCell ref="E35:G35"/>
    <mergeCell ref="K35:M35"/>
    <mergeCell ref="K36:M36"/>
    <mergeCell ref="K37:M37"/>
    <mergeCell ref="K38:M38"/>
    <mergeCell ref="H38:J38"/>
    <mergeCell ref="H37:J37"/>
    <mergeCell ref="H36:J36"/>
    <mergeCell ref="H35:J35"/>
    <mergeCell ref="N38:P38"/>
    <mergeCell ref="N37:P37"/>
    <mergeCell ref="N36:P36"/>
    <mergeCell ref="N35:P35"/>
    <mergeCell ref="Q37:S37"/>
    <mergeCell ref="Q38:S38"/>
    <mergeCell ref="Q36:S36"/>
    <mergeCell ref="T38:V38"/>
    <mergeCell ref="T37:V37"/>
    <mergeCell ref="T36:V36"/>
    <mergeCell ref="B34:D34"/>
    <mergeCell ref="B33:D33"/>
    <mergeCell ref="B32:D32"/>
    <mergeCell ref="E32:G32"/>
    <mergeCell ref="H32:J32"/>
    <mergeCell ref="K32:M32"/>
    <mergeCell ref="E34:G34"/>
    <mergeCell ref="E33:G33"/>
    <mergeCell ref="H34:J34"/>
    <mergeCell ref="K34:M34"/>
    <mergeCell ref="K33:M33"/>
    <mergeCell ref="H33:J33"/>
    <mergeCell ref="Q32:S32"/>
    <mergeCell ref="N32:P32"/>
    <mergeCell ref="T32:V32"/>
    <mergeCell ref="N34:P34"/>
    <mergeCell ref="Q34:S34"/>
    <mergeCell ref="A1:AK4"/>
    <mergeCell ref="A5:AK6"/>
    <mergeCell ref="AI11:AK11"/>
    <mergeCell ref="A21:A22"/>
    <mergeCell ref="B21:D21"/>
    <mergeCell ref="AF21:AH21"/>
    <mergeCell ref="AI21:AI22"/>
    <mergeCell ref="AJ21:AK21"/>
    <mergeCell ref="E21:G21"/>
    <mergeCell ref="H21:J21"/>
    <mergeCell ref="K21:M21"/>
    <mergeCell ref="N21:P21"/>
    <mergeCell ref="Q21:S21"/>
    <mergeCell ref="T21:V21"/>
    <mergeCell ref="W21:Y21"/>
    <mergeCell ref="E18:G18"/>
    <mergeCell ref="AF11:AH11"/>
    <mergeCell ref="N12:P12"/>
    <mergeCell ref="K12:M12"/>
    <mergeCell ref="H12:J12"/>
    <mergeCell ref="Z11:AB11"/>
    <mergeCell ref="Z21:AB21"/>
    <mergeCell ref="A7:AK8"/>
    <mergeCell ref="B11:D11"/>
    <mergeCell ref="H11:J11"/>
    <mergeCell ref="K11:M11"/>
    <mergeCell ref="N11:P11"/>
    <mergeCell ref="Q11:S11"/>
    <mergeCell ref="T11:V11"/>
    <mergeCell ref="W11:Y11"/>
    <mergeCell ref="H18:J18"/>
    <mergeCell ref="H17:J17"/>
    <mergeCell ref="T35:V35"/>
    <mergeCell ref="T34:V34"/>
    <mergeCell ref="T33:V33"/>
    <mergeCell ref="AF34:AH34"/>
    <mergeCell ref="AF38:AH38"/>
    <mergeCell ref="W32:Y32"/>
    <mergeCell ref="Q33:S33"/>
    <mergeCell ref="Q35:S35"/>
    <mergeCell ref="Z32:AB32"/>
    <mergeCell ref="Z43:AB43"/>
    <mergeCell ref="Z38:AB38"/>
    <mergeCell ref="Z34:AB34"/>
    <mergeCell ref="AF33:AH33"/>
    <mergeCell ref="Q45:S45"/>
    <mergeCell ref="Q44:S44"/>
    <mergeCell ref="Q53:S53"/>
    <mergeCell ref="Q52:S52"/>
    <mergeCell ref="Q50:S50"/>
    <mergeCell ref="AF50:AH50"/>
    <mergeCell ref="AF49:AH49"/>
    <mergeCell ref="AF48:AH48"/>
    <mergeCell ref="AF47:AH47"/>
    <mergeCell ref="AF46:AH46"/>
    <mergeCell ref="W52:Y52"/>
    <mergeCell ref="W51:Y51"/>
    <mergeCell ref="W50:Y50"/>
    <mergeCell ref="W49:Y49"/>
    <mergeCell ref="W48:Y48"/>
    <mergeCell ref="W47:Y47"/>
    <mergeCell ref="W46:Y46"/>
    <mergeCell ref="AF45:AH45"/>
    <mergeCell ref="Z33:AB33"/>
    <mergeCell ref="T43:V43"/>
    <mergeCell ref="N50:P50"/>
    <mergeCell ref="N49:P49"/>
    <mergeCell ref="N66:P66"/>
    <mergeCell ref="N65:P65"/>
    <mergeCell ref="N64:P64"/>
    <mergeCell ref="N63:P63"/>
    <mergeCell ref="Q66:S66"/>
    <mergeCell ref="Q65:S65"/>
    <mergeCell ref="Q64:S64"/>
    <mergeCell ref="Q63:S63"/>
    <mergeCell ref="Q62:S62"/>
    <mergeCell ref="Q60:S60"/>
    <mergeCell ref="Q59:S59"/>
    <mergeCell ref="Q58:S58"/>
    <mergeCell ref="Q57:S57"/>
    <mergeCell ref="Q56:S56"/>
    <mergeCell ref="Q55:S55"/>
    <mergeCell ref="Q54:S54"/>
    <mergeCell ref="Q49:S49"/>
    <mergeCell ref="N59:P59"/>
    <mergeCell ref="N58:P58"/>
    <mergeCell ref="N57:P57"/>
    <mergeCell ref="T49:V49"/>
    <mergeCell ref="T51:V51"/>
    <mergeCell ref="T50:V50"/>
    <mergeCell ref="T66:V66"/>
    <mergeCell ref="T65:V65"/>
    <mergeCell ref="T64:V64"/>
    <mergeCell ref="T63:V63"/>
    <mergeCell ref="T62:V62"/>
    <mergeCell ref="T61:V61"/>
    <mergeCell ref="T96:V96"/>
    <mergeCell ref="Q79:S79"/>
    <mergeCell ref="Q78:S78"/>
    <mergeCell ref="Q77:S77"/>
    <mergeCell ref="Q76:S76"/>
    <mergeCell ref="Q75:S75"/>
    <mergeCell ref="Q74:S74"/>
    <mergeCell ref="T81:V81"/>
    <mergeCell ref="T83:V83"/>
    <mergeCell ref="T84:V84"/>
    <mergeCell ref="T85:V85"/>
    <mergeCell ref="Q85:S85"/>
    <mergeCell ref="Q84:S84"/>
    <mergeCell ref="Q83:S83"/>
    <mergeCell ref="Q82:S82"/>
    <mergeCell ref="Q81:S81"/>
    <mergeCell ref="Q80:S80"/>
    <mergeCell ref="T82:V82"/>
    <mergeCell ref="T80:V80"/>
    <mergeCell ref="Q91:S91"/>
    <mergeCell ref="Q89:S89"/>
    <mergeCell ref="T87:V87"/>
    <mergeCell ref="T88:V88"/>
    <mergeCell ref="T89:V89"/>
    <mergeCell ref="T91:V91"/>
    <mergeCell ref="T92:V92"/>
    <mergeCell ref="T93:V93"/>
    <mergeCell ref="T79:V79"/>
    <mergeCell ref="T78:V78"/>
    <mergeCell ref="T77:V77"/>
    <mergeCell ref="T76:V76"/>
    <mergeCell ref="T75:V75"/>
    <mergeCell ref="N89:P89"/>
    <mergeCell ref="N88:P88"/>
    <mergeCell ref="N87:P87"/>
    <mergeCell ref="N86:P86"/>
    <mergeCell ref="N85:P85"/>
    <mergeCell ref="N84:P84"/>
    <mergeCell ref="Q99:S99"/>
    <mergeCell ref="Q98:S98"/>
    <mergeCell ref="Q97:S97"/>
    <mergeCell ref="Q96:S96"/>
    <mergeCell ref="Q95:S95"/>
    <mergeCell ref="Q94:S94"/>
    <mergeCell ref="N99:P99"/>
    <mergeCell ref="N98:P98"/>
    <mergeCell ref="N97:P97"/>
    <mergeCell ref="N96:P96"/>
    <mergeCell ref="N95:P95"/>
    <mergeCell ref="N94:P94"/>
    <mergeCell ref="N93:P93"/>
    <mergeCell ref="N92:P92"/>
    <mergeCell ref="N91:P91"/>
    <mergeCell ref="Q87:S87"/>
    <mergeCell ref="Q93:S93"/>
    <mergeCell ref="Q92:S92"/>
    <mergeCell ref="Q88:S88"/>
    <mergeCell ref="W35:Y35"/>
    <mergeCell ref="W34:Y34"/>
    <mergeCell ref="AF35:AH35"/>
    <mergeCell ref="W33:Y33"/>
    <mergeCell ref="AF37:AH37"/>
    <mergeCell ref="AF36:AH36"/>
    <mergeCell ref="AF40:AH40"/>
    <mergeCell ref="AF39:AH39"/>
    <mergeCell ref="AC33:AE33"/>
    <mergeCell ref="AC37:AE37"/>
    <mergeCell ref="AC38:AE38"/>
    <mergeCell ref="AC39:AE39"/>
    <mergeCell ref="AC40:AE40"/>
    <mergeCell ref="W44:Y44"/>
    <mergeCell ref="W43:Y43"/>
    <mergeCell ref="W42:Y42"/>
    <mergeCell ref="W41:Y41"/>
    <mergeCell ref="AF42:AH42"/>
    <mergeCell ref="AC36:AE36"/>
    <mergeCell ref="Z44:AB44"/>
    <mergeCell ref="T60:V60"/>
    <mergeCell ref="T59:V59"/>
    <mergeCell ref="T58:V58"/>
    <mergeCell ref="T57:V57"/>
    <mergeCell ref="W93:Y93"/>
    <mergeCell ref="W92:Y92"/>
    <mergeCell ref="W40:Y40"/>
    <mergeCell ref="W39:Y39"/>
    <mergeCell ref="W38:Y38"/>
    <mergeCell ref="W37:Y37"/>
    <mergeCell ref="W36:Y36"/>
    <mergeCell ref="AF52:AH52"/>
    <mergeCell ref="AF51:AH51"/>
    <mergeCell ref="T71:V71"/>
    <mergeCell ref="W66:Y66"/>
    <mergeCell ref="W65:Y65"/>
    <mergeCell ref="W64:Y64"/>
    <mergeCell ref="W63:Y63"/>
    <mergeCell ref="AF66:AH66"/>
    <mergeCell ref="AF80:AH80"/>
    <mergeCell ref="AF71:AH71"/>
    <mergeCell ref="W71:Y71"/>
    <mergeCell ref="W70:Y70"/>
    <mergeCell ref="W69:Y69"/>
    <mergeCell ref="W68:Y68"/>
    <mergeCell ref="W67:Y67"/>
    <mergeCell ref="W82:Y82"/>
    <mergeCell ref="AC81:AE81"/>
    <mergeCell ref="AC82:AE82"/>
    <mergeCell ref="AC83:AE83"/>
    <mergeCell ref="AC86:AE86"/>
    <mergeCell ref="AF41:AH41"/>
    <mergeCell ref="W45:Y45"/>
    <mergeCell ref="W54:Y54"/>
    <mergeCell ref="W53:Y53"/>
    <mergeCell ref="AF61:AH61"/>
    <mergeCell ref="AF60:AH60"/>
    <mergeCell ref="AF59:AH59"/>
    <mergeCell ref="AF58:AH58"/>
    <mergeCell ref="AF57:AH57"/>
    <mergeCell ref="AF56:AH56"/>
    <mergeCell ref="AF55:AH55"/>
    <mergeCell ref="AF54:AH54"/>
    <mergeCell ref="AF53:AH53"/>
    <mergeCell ref="W62:Y62"/>
    <mergeCell ref="W61:Y61"/>
    <mergeCell ref="W60:Y60"/>
    <mergeCell ref="W59:Y59"/>
    <mergeCell ref="AC58:AE58"/>
    <mergeCell ref="AC59:AE59"/>
    <mergeCell ref="AC60:AE60"/>
    <mergeCell ref="Z62:AB62"/>
    <mergeCell ref="AF73:AH73"/>
    <mergeCell ref="AC73:AE73"/>
    <mergeCell ref="AC74:AE74"/>
    <mergeCell ref="AC75:AE75"/>
    <mergeCell ref="AC76:AE76"/>
    <mergeCell ref="AC77:AE77"/>
    <mergeCell ref="AC78:AE78"/>
    <mergeCell ref="AF79:AH79"/>
    <mergeCell ref="Z79:AB79"/>
    <mergeCell ref="AC79:AE79"/>
    <mergeCell ref="W91:Y91"/>
    <mergeCell ref="AF81:AH81"/>
    <mergeCell ref="AF82:AH82"/>
    <mergeCell ref="AF83:AH83"/>
    <mergeCell ref="AF84:AH84"/>
    <mergeCell ref="AF85:AH85"/>
    <mergeCell ref="AF86:AH86"/>
    <mergeCell ref="AF87:AH87"/>
    <mergeCell ref="AF88:AH88"/>
    <mergeCell ref="AF89:AH89"/>
    <mergeCell ref="W89:Y89"/>
    <mergeCell ref="W88:Y88"/>
    <mergeCell ref="W87:Y87"/>
    <mergeCell ref="W86:Y86"/>
    <mergeCell ref="W85:Y85"/>
    <mergeCell ref="W84:Y84"/>
    <mergeCell ref="W83:Y83"/>
    <mergeCell ref="AC80:AE80"/>
    <mergeCell ref="A9:AK9"/>
    <mergeCell ref="A10:AK10"/>
    <mergeCell ref="B18:D18"/>
    <mergeCell ref="B17:D17"/>
    <mergeCell ref="B16:D16"/>
    <mergeCell ref="B15:D15"/>
    <mergeCell ref="B14:D14"/>
    <mergeCell ref="B13:D13"/>
    <mergeCell ref="B12:D12"/>
    <mergeCell ref="K18:M18"/>
    <mergeCell ref="K17:M17"/>
    <mergeCell ref="K16:M16"/>
    <mergeCell ref="K15:M15"/>
    <mergeCell ref="K14:M14"/>
    <mergeCell ref="K13:M13"/>
    <mergeCell ref="W15:Y15"/>
    <mergeCell ref="W14:Y14"/>
    <mergeCell ref="W13:Y13"/>
    <mergeCell ref="Q18:S18"/>
    <mergeCell ref="Q17:S17"/>
    <mergeCell ref="Q16:S16"/>
    <mergeCell ref="Q15:S15"/>
    <mergeCell ref="Q14:S14"/>
    <mergeCell ref="W18:Y18"/>
    <mergeCell ref="H14:J14"/>
    <mergeCell ref="H13:J13"/>
    <mergeCell ref="N18:P18"/>
    <mergeCell ref="N17:P17"/>
    <mergeCell ref="N16:P16"/>
    <mergeCell ref="N15:P15"/>
    <mergeCell ref="N14:P14"/>
    <mergeCell ref="E11:G11"/>
    <mergeCell ref="AF17:AH17"/>
    <mergeCell ref="AF16:AH16"/>
    <mergeCell ref="AF15:AH15"/>
    <mergeCell ref="AF14:AH14"/>
    <mergeCell ref="AF13:AH13"/>
    <mergeCell ref="AF12:AH12"/>
    <mergeCell ref="AC12:AE12"/>
    <mergeCell ref="AC11:AE11"/>
    <mergeCell ref="H16:J16"/>
    <mergeCell ref="H15:J15"/>
    <mergeCell ref="N13:P13"/>
    <mergeCell ref="W17:Y17"/>
    <mergeCell ref="W16:Y16"/>
    <mergeCell ref="E17:G17"/>
    <mergeCell ref="E16:G16"/>
    <mergeCell ref="E15:G15"/>
    <mergeCell ref="E14:G14"/>
    <mergeCell ref="E13:G13"/>
    <mergeCell ref="E12:G12"/>
    <mergeCell ref="W12:Y12"/>
    <mergeCell ref="T12:V12"/>
    <mergeCell ref="Q12:S12"/>
    <mergeCell ref="B105:D105"/>
    <mergeCell ref="B104:D104"/>
    <mergeCell ref="B27:C27"/>
    <mergeCell ref="T18:V18"/>
    <mergeCell ref="T17:V17"/>
    <mergeCell ref="T16:V16"/>
    <mergeCell ref="T15:V15"/>
    <mergeCell ref="T14:V14"/>
    <mergeCell ref="T13:V13"/>
    <mergeCell ref="B24:C24"/>
    <mergeCell ref="B23:C23"/>
    <mergeCell ref="B22:C22"/>
    <mergeCell ref="B26:C26"/>
    <mergeCell ref="B25:C25"/>
    <mergeCell ref="A19:AK20"/>
    <mergeCell ref="Q13:S13"/>
    <mergeCell ref="AF98:AH98"/>
    <mergeCell ref="W100:Y100"/>
    <mergeCell ref="W99:Y99"/>
    <mergeCell ref="W98:Y98"/>
    <mergeCell ref="AF91:AH91"/>
    <mergeCell ref="AF92:AH92"/>
    <mergeCell ref="AF93:AH93"/>
    <mergeCell ref="AF94:AH94"/>
    <mergeCell ref="AF95:AH95"/>
    <mergeCell ref="AF96:AH96"/>
    <mergeCell ref="K104:M104"/>
    <mergeCell ref="AC16:AE16"/>
    <mergeCell ref="AC15:AE15"/>
    <mergeCell ref="AC14:AE14"/>
    <mergeCell ref="AC13:AE13"/>
    <mergeCell ref="AC35:AE35"/>
    <mergeCell ref="H106:J106"/>
    <mergeCell ref="H105:J105"/>
    <mergeCell ref="H104:J104"/>
    <mergeCell ref="E106:G106"/>
    <mergeCell ref="E105:G105"/>
    <mergeCell ref="E104:G104"/>
    <mergeCell ref="T106:V106"/>
    <mergeCell ref="T105:V105"/>
    <mergeCell ref="T104:V104"/>
    <mergeCell ref="Q106:S106"/>
    <mergeCell ref="Q105:S105"/>
    <mergeCell ref="Q104:S104"/>
    <mergeCell ref="N106:P106"/>
    <mergeCell ref="N105:P105"/>
    <mergeCell ref="N104:P104"/>
    <mergeCell ref="AF18:AH18"/>
    <mergeCell ref="AF97:AH97"/>
    <mergeCell ref="W97:Y97"/>
    <mergeCell ref="W96:Y96"/>
    <mergeCell ref="W95:Y95"/>
    <mergeCell ref="W94:Y94"/>
    <mergeCell ref="W81:Y81"/>
    <mergeCell ref="W80:Y80"/>
    <mergeCell ref="W79:Y79"/>
    <mergeCell ref="W78:Y78"/>
    <mergeCell ref="W77:Y77"/>
    <mergeCell ref="W76:Y76"/>
    <mergeCell ref="W75:Y75"/>
    <mergeCell ref="W74:Y74"/>
    <mergeCell ref="W73:Y73"/>
    <mergeCell ref="AF74:AH74"/>
    <mergeCell ref="AC34:AE34"/>
    <mergeCell ref="AC21:AE21"/>
    <mergeCell ref="AC18:AE18"/>
    <mergeCell ref="AC17:AE17"/>
    <mergeCell ref="Q108:S108"/>
    <mergeCell ref="Q107:S107"/>
    <mergeCell ref="B108:D108"/>
    <mergeCell ref="E107:G107"/>
    <mergeCell ref="E108:G108"/>
    <mergeCell ref="N107:P107"/>
    <mergeCell ref="K107:M107"/>
    <mergeCell ref="H108:J108"/>
    <mergeCell ref="H107:J107"/>
    <mergeCell ref="N108:P108"/>
    <mergeCell ref="K108:M108"/>
    <mergeCell ref="T107:V107"/>
    <mergeCell ref="T108:V108"/>
    <mergeCell ref="W108:Y108"/>
    <mergeCell ref="W107:Y107"/>
    <mergeCell ref="B107:D107"/>
    <mergeCell ref="B106:D106"/>
    <mergeCell ref="K106:M106"/>
    <mergeCell ref="K105:M105"/>
    <mergeCell ref="AC94:AE94"/>
    <mergeCell ref="AC95:AE95"/>
    <mergeCell ref="AC63:AE63"/>
    <mergeCell ref="AC64:AE64"/>
    <mergeCell ref="AC65:AE65"/>
    <mergeCell ref="AC66:AE66"/>
    <mergeCell ref="AC68:AE68"/>
    <mergeCell ref="AC69:AE69"/>
    <mergeCell ref="AC70:AE70"/>
    <mergeCell ref="AC71:AE71"/>
    <mergeCell ref="AC105:AE105"/>
    <mergeCell ref="AC106:AE106"/>
    <mergeCell ref="AC107:AE107"/>
    <mergeCell ref="AC104:AE104"/>
    <mergeCell ref="AC108:AE108"/>
    <mergeCell ref="AC27:AD27"/>
    <mergeCell ref="AF104:AL105"/>
    <mergeCell ref="AC62:AE62"/>
    <mergeCell ref="AC49:AE49"/>
    <mergeCell ref="AC45:AE45"/>
    <mergeCell ref="AC42:AE42"/>
    <mergeCell ref="AC43:AE43"/>
    <mergeCell ref="AC44:AE44"/>
    <mergeCell ref="AC46:AE46"/>
    <mergeCell ref="AC47:AE47"/>
    <mergeCell ref="AC48:AE48"/>
    <mergeCell ref="AC96:AE96"/>
    <mergeCell ref="AC97:AE97"/>
    <mergeCell ref="AC98:AE98"/>
    <mergeCell ref="AC100:AE100"/>
    <mergeCell ref="AC99:AE99"/>
    <mergeCell ref="AC91:AE91"/>
    <mergeCell ref="AF77:AH77"/>
    <mergeCell ref="AF78:AH78"/>
    <mergeCell ref="AC61:AE61"/>
    <mergeCell ref="AJ33:AK33"/>
    <mergeCell ref="AJ34:AK34"/>
    <mergeCell ref="AF27:AG27"/>
    <mergeCell ref="A28:AK29"/>
    <mergeCell ref="A30:AK30"/>
    <mergeCell ref="A31:AK31"/>
    <mergeCell ref="AJ32:AK32"/>
    <mergeCell ref="AC67:AE67"/>
    <mergeCell ref="AC85:AE85"/>
    <mergeCell ref="AC87:AE87"/>
    <mergeCell ref="AC88:AE88"/>
    <mergeCell ref="AC89:AE89"/>
    <mergeCell ref="AC90:AE90"/>
    <mergeCell ref="AC92:AE92"/>
    <mergeCell ref="AC93:AE93"/>
    <mergeCell ref="AC72:AE72"/>
    <mergeCell ref="AC41:AE41"/>
    <mergeCell ref="AC50:AE50"/>
    <mergeCell ref="AC51:AE51"/>
    <mergeCell ref="AC52:AE52"/>
    <mergeCell ref="AC53:AE53"/>
    <mergeCell ref="AC54:AE54"/>
    <mergeCell ref="AC55:AE55"/>
    <mergeCell ref="AC56:AE56"/>
    <mergeCell ref="AC57:AE57"/>
  </mergeCells>
  <pageMargins left="0.51181102362204722" right="0.51181102362204722" top="0.78740157480314965" bottom="0.78740157480314965" header="0.31496062992125984" footer="0.31496062992125984"/>
  <pageSetup paperSize="165" scale="55" orientation="landscape" r:id="rId1"/>
  <ignoredErrors>
    <ignoredError sqref="E33 K91" formulaRange="1"/>
    <ignoredError sqref="AI27 H100 W91 Z91 Z8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</dc:creator>
  <cp:lastModifiedBy>ANIPA</cp:lastModifiedBy>
  <cp:lastPrinted>2019-10-08T19:59:56Z</cp:lastPrinted>
  <dcterms:created xsi:type="dcterms:W3CDTF">2019-05-17T13:40:24Z</dcterms:created>
  <dcterms:modified xsi:type="dcterms:W3CDTF">2019-10-08T20:03:28Z</dcterms:modified>
</cp:coreProperties>
</file>