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ados\Desktop\FINANCEIRO\05. FINANCEIRO\2020\08. AGO\Histórico Mensal\"/>
    </mc:Choice>
  </mc:AlternateContent>
  <xr:revisionPtr revIDLastSave="0" documentId="8_{CB0E4F09-3730-442B-ABE9-087D3D0003E5}" xr6:coauthVersionLast="45" xr6:coauthVersionMax="45" xr10:uidLastSave="{00000000-0000-0000-0000-000000000000}"/>
  <bookViews>
    <workbookView xWindow="-120" yWindow="-120" windowWidth="20730" windowHeight="11160" xr2:uid="{95A6C821-3E5E-44AC-A5BE-1C0BBC52936F}"/>
  </bookViews>
  <sheets>
    <sheet name="AG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14" i="1" l="1"/>
  <c r="W113" i="1"/>
  <c r="T113" i="1"/>
  <c r="K113" i="1"/>
  <c r="E113" i="1"/>
  <c r="H112" i="1"/>
  <c r="K112" i="1" s="1"/>
  <c r="N112" i="1" s="1"/>
  <c r="Q112" i="1" s="1"/>
  <c r="T112" i="1" s="1"/>
  <c r="W112" i="1" s="1"/>
  <c r="Z112" i="1" s="1"/>
  <c r="E112" i="1"/>
  <c r="T111" i="1"/>
  <c r="W111" i="1" s="1"/>
  <c r="Z111" i="1" s="1"/>
  <c r="Q111" i="1"/>
  <c r="N111" i="1"/>
  <c r="E110" i="1"/>
  <c r="H110" i="1" s="1"/>
  <c r="K110" i="1" s="1"/>
  <c r="N110" i="1" s="1"/>
  <c r="Q110" i="1" s="1"/>
  <c r="T110" i="1" s="1"/>
  <c r="W110" i="1" s="1"/>
  <c r="Z110" i="1" s="1"/>
  <c r="E109" i="1"/>
  <c r="H109" i="1" s="1"/>
  <c r="B109" i="1"/>
  <c r="B114" i="1" s="1"/>
  <c r="AC102" i="1"/>
  <c r="K102" i="1"/>
  <c r="E102" i="1"/>
  <c r="AC101" i="1"/>
  <c r="AG101" i="1" s="1"/>
  <c r="AC100" i="1"/>
  <c r="K100" i="1"/>
  <c r="AC99" i="1"/>
  <c r="K99" i="1"/>
  <c r="AC98" i="1"/>
  <c r="K98" i="1"/>
  <c r="H98" i="1"/>
  <c r="E98" i="1"/>
  <c r="AG97" i="1"/>
  <c r="AC97" i="1"/>
  <c r="H97" i="1"/>
  <c r="K96" i="1"/>
  <c r="H96" i="1"/>
  <c r="Z95" i="1"/>
  <c r="W95" i="1"/>
  <c r="T95" i="1"/>
  <c r="Q95" i="1"/>
  <c r="N95" i="1"/>
  <c r="K95" i="1"/>
  <c r="E95" i="1"/>
  <c r="B95" i="1"/>
  <c r="Z94" i="1"/>
  <c r="AC94" i="1" s="1"/>
  <c r="K93" i="1"/>
  <c r="K90" i="1" s="1"/>
  <c r="E93" i="1"/>
  <c r="AC93" i="1" s="1"/>
  <c r="AC92" i="1"/>
  <c r="H92" i="1"/>
  <c r="AC91" i="1"/>
  <c r="Z91" i="1"/>
  <c r="Q91" i="1"/>
  <c r="E91" i="1"/>
  <c r="B91" i="1"/>
  <c r="Z90" i="1"/>
  <c r="W90" i="1"/>
  <c r="T90" i="1"/>
  <c r="Q90" i="1"/>
  <c r="N90" i="1"/>
  <c r="H90" i="1"/>
  <c r="E90" i="1"/>
  <c r="B90" i="1"/>
  <c r="Z89" i="1"/>
  <c r="Q89" i="1"/>
  <c r="K89" i="1"/>
  <c r="E89" i="1"/>
  <c r="Z88" i="1"/>
  <c r="W88" i="1"/>
  <c r="W84" i="1" s="1"/>
  <c r="T88" i="1"/>
  <c r="Q88" i="1"/>
  <c r="K88" i="1"/>
  <c r="E88" i="1"/>
  <c r="Z87" i="1"/>
  <c r="W87" i="1"/>
  <c r="T87" i="1"/>
  <c r="Q87" i="1"/>
  <c r="K87" i="1"/>
  <c r="K84" i="1" s="1"/>
  <c r="H87" i="1"/>
  <c r="E87" i="1"/>
  <c r="AC87" i="1" s="1"/>
  <c r="AC86" i="1"/>
  <c r="AG86" i="1" s="1"/>
  <c r="AC85" i="1"/>
  <c r="Z84" i="1"/>
  <c r="T84" i="1"/>
  <c r="Q84" i="1"/>
  <c r="N84" i="1"/>
  <c r="H84" i="1"/>
  <c r="B84" i="1"/>
  <c r="Z83" i="1"/>
  <c r="W83" i="1"/>
  <c r="T83" i="1"/>
  <c r="Q83" i="1"/>
  <c r="N83" i="1"/>
  <c r="K83" i="1"/>
  <c r="H83" i="1"/>
  <c r="E83" i="1"/>
  <c r="Z82" i="1"/>
  <c r="W82" i="1"/>
  <c r="T82" i="1"/>
  <c r="Q82" i="1"/>
  <c r="N82" i="1"/>
  <c r="K82" i="1"/>
  <c r="K69" i="1" s="1"/>
  <c r="H82" i="1"/>
  <c r="E82" i="1"/>
  <c r="AC81" i="1"/>
  <c r="AG81" i="1" s="1"/>
  <c r="AC80" i="1"/>
  <c r="E80" i="1"/>
  <c r="AC79" i="1"/>
  <c r="H79" i="1"/>
  <c r="E79" i="1"/>
  <c r="AC78" i="1"/>
  <c r="AG78" i="1" s="1"/>
  <c r="Z77" i="1"/>
  <c r="W77" i="1"/>
  <c r="K77" i="1"/>
  <c r="H77" i="1"/>
  <c r="H69" i="1" s="1"/>
  <c r="E77" i="1"/>
  <c r="Z76" i="1"/>
  <c r="W76" i="1"/>
  <c r="T76" i="1"/>
  <c r="Q76" i="1"/>
  <c r="Q69" i="1" s="1"/>
  <c r="N76" i="1"/>
  <c r="K76" i="1"/>
  <c r="H76" i="1"/>
  <c r="E76" i="1"/>
  <c r="AC76" i="1" s="1"/>
  <c r="Z75" i="1"/>
  <c r="Z69" i="1" s="1"/>
  <c r="W75" i="1"/>
  <c r="T75" i="1"/>
  <c r="Q75" i="1"/>
  <c r="N75" i="1"/>
  <c r="N69" i="1" s="1"/>
  <c r="K75" i="1"/>
  <c r="H75" i="1"/>
  <c r="E75" i="1"/>
  <c r="Z74" i="1"/>
  <c r="W74" i="1"/>
  <c r="Q74" i="1"/>
  <c r="H74" i="1"/>
  <c r="AC74" i="1" s="1"/>
  <c r="E74" i="1"/>
  <c r="AG73" i="1"/>
  <c r="AC73" i="1"/>
  <c r="K72" i="1"/>
  <c r="H72" i="1"/>
  <c r="E72" i="1"/>
  <c r="AG71" i="1"/>
  <c r="AC71" i="1"/>
  <c r="AG70" i="1"/>
  <c r="AC70" i="1"/>
  <c r="T69" i="1"/>
  <c r="B69" i="1"/>
  <c r="W68" i="1"/>
  <c r="N68" i="1"/>
  <c r="H68" i="1"/>
  <c r="E68" i="1"/>
  <c r="AC68" i="1" s="1"/>
  <c r="AG68" i="1" s="1"/>
  <c r="Z67" i="1"/>
  <c r="W67" i="1"/>
  <c r="T67" i="1"/>
  <c r="Q67" i="1"/>
  <c r="N67" i="1"/>
  <c r="K67" i="1"/>
  <c r="H67" i="1"/>
  <c r="E67" i="1"/>
  <c r="AC67" i="1" s="1"/>
  <c r="Z66" i="1"/>
  <c r="Z64" i="1" s="1"/>
  <c r="W66" i="1"/>
  <c r="T66" i="1"/>
  <c r="Q66" i="1"/>
  <c r="N66" i="1"/>
  <c r="N64" i="1" s="1"/>
  <c r="K66" i="1"/>
  <c r="H66" i="1"/>
  <c r="E66" i="1"/>
  <c r="AC66" i="1" s="1"/>
  <c r="Z65" i="1"/>
  <c r="W65" i="1"/>
  <c r="W64" i="1" s="1"/>
  <c r="T65" i="1"/>
  <c r="Q65" i="1"/>
  <c r="N65" i="1"/>
  <c r="K65" i="1"/>
  <c r="K64" i="1" s="1"/>
  <c r="H65" i="1"/>
  <c r="E65" i="1"/>
  <c r="T64" i="1"/>
  <c r="H64" i="1"/>
  <c r="B64" i="1"/>
  <c r="AC63" i="1"/>
  <c r="AG63" i="1" s="1"/>
  <c r="AC62" i="1"/>
  <c r="N62" i="1"/>
  <c r="AC61" i="1"/>
  <c r="AG60" i="1"/>
  <c r="AC60" i="1"/>
  <c r="AG59" i="1"/>
  <c r="AC59" i="1"/>
  <c r="Q59" i="1"/>
  <c r="AG58" i="1"/>
  <c r="Z58" i="1"/>
  <c r="W58" i="1"/>
  <c r="AC58" i="1" s="1"/>
  <c r="Z57" i="1"/>
  <c r="W57" i="1"/>
  <c r="T57" i="1"/>
  <c r="Q57" i="1"/>
  <c r="N57" i="1"/>
  <c r="K57" i="1"/>
  <c r="H57" i="1"/>
  <c r="E57" i="1"/>
  <c r="Z56" i="1"/>
  <c r="W56" i="1"/>
  <c r="T56" i="1"/>
  <c r="Q56" i="1"/>
  <c r="N56" i="1"/>
  <c r="K56" i="1"/>
  <c r="K50" i="1" s="1"/>
  <c r="H56" i="1"/>
  <c r="E56" i="1"/>
  <c r="AC56" i="1" s="1"/>
  <c r="Z55" i="1"/>
  <c r="W55" i="1"/>
  <c r="T55" i="1"/>
  <c r="Q55" i="1"/>
  <c r="N55" i="1"/>
  <c r="K55" i="1"/>
  <c r="H55" i="1"/>
  <c r="E55" i="1"/>
  <c r="AC55" i="1" s="1"/>
  <c r="AG55" i="1" s="1"/>
  <c r="AC54" i="1"/>
  <c r="Z53" i="1"/>
  <c r="W53" i="1"/>
  <c r="T53" i="1"/>
  <c r="T50" i="1" s="1"/>
  <c r="Q53" i="1"/>
  <c r="N53" i="1"/>
  <c r="K53" i="1"/>
  <c r="H53" i="1"/>
  <c r="H50" i="1" s="1"/>
  <c r="E53" i="1"/>
  <c r="AG52" i="1"/>
  <c r="AC52" i="1"/>
  <c r="AC51" i="1"/>
  <c r="AG51" i="1" s="1"/>
  <c r="Q50" i="1"/>
  <c r="E50" i="1"/>
  <c r="B50" i="1"/>
  <c r="AC49" i="1"/>
  <c r="Z48" i="1"/>
  <c r="AG47" i="1"/>
  <c r="AC47" i="1"/>
  <c r="W46" i="1"/>
  <c r="T46" i="1"/>
  <c r="Q46" i="1"/>
  <c r="N46" i="1"/>
  <c r="K46" i="1"/>
  <c r="H46" i="1"/>
  <c r="E46" i="1"/>
  <c r="B46" i="1"/>
  <c r="AG45" i="1"/>
  <c r="AC45" i="1"/>
  <c r="AC44" i="1"/>
  <c r="AG44" i="1" s="1"/>
  <c r="B44" i="1"/>
  <c r="B42" i="1" s="1"/>
  <c r="T43" i="1"/>
  <c r="T42" i="1" s="1"/>
  <c r="Q43" i="1"/>
  <c r="N43" i="1"/>
  <c r="B43" i="1"/>
  <c r="Z42" i="1"/>
  <c r="W42" i="1"/>
  <c r="Q42" i="1"/>
  <c r="K42" i="1"/>
  <c r="H42" i="1"/>
  <c r="E42" i="1"/>
  <c r="AC41" i="1"/>
  <c r="B41" i="1"/>
  <c r="AC40" i="1"/>
  <c r="B40" i="1"/>
  <c r="AC39" i="1"/>
  <c r="B39" i="1"/>
  <c r="Z38" i="1"/>
  <c r="W38" i="1"/>
  <c r="T38" i="1"/>
  <c r="N38" i="1"/>
  <c r="AC38" i="1" s="1"/>
  <c r="K38" i="1"/>
  <c r="H38" i="1"/>
  <c r="Z37" i="1"/>
  <c r="W37" i="1"/>
  <c r="T37" i="1"/>
  <c r="Q37" i="1"/>
  <c r="N37" i="1"/>
  <c r="K37" i="1"/>
  <c r="H37" i="1"/>
  <c r="AC37" i="1" s="1"/>
  <c r="AG37" i="1" s="1"/>
  <c r="Z36" i="1"/>
  <c r="Z33" i="1" s="1"/>
  <c r="W36" i="1"/>
  <c r="T36" i="1"/>
  <c r="Q36" i="1"/>
  <c r="N36" i="1"/>
  <c r="K36" i="1"/>
  <c r="H36" i="1"/>
  <c r="E36" i="1"/>
  <c r="AC36" i="1" s="1"/>
  <c r="Z35" i="1"/>
  <c r="W35" i="1"/>
  <c r="W33" i="1" s="1"/>
  <c r="T35" i="1"/>
  <c r="Q35" i="1"/>
  <c r="N35" i="1"/>
  <c r="K35" i="1"/>
  <c r="E35" i="1"/>
  <c r="AC34" i="1"/>
  <c r="B34" i="1"/>
  <c r="Q33" i="1"/>
  <c r="E33" i="1"/>
  <c r="B33" i="1"/>
  <c r="E27" i="1"/>
  <c r="H27" i="1" s="1"/>
  <c r="K27" i="1" s="1"/>
  <c r="N27" i="1" s="1"/>
  <c r="Q27" i="1" s="1"/>
  <c r="T27" i="1" s="1"/>
  <c r="W27" i="1" s="1"/>
  <c r="Z27" i="1" s="1"/>
  <c r="B27" i="1"/>
  <c r="AE26" i="1"/>
  <c r="AH26" i="1" s="1"/>
  <c r="D26" i="1"/>
  <c r="AB25" i="1"/>
  <c r="Y25" i="1"/>
  <c r="V25" i="1"/>
  <c r="S25" i="1"/>
  <c r="P25" i="1"/>
  <c r="M25" i="1"/>
  <c r="J25" i="1"/>
  <c r="G25" i="1"/>
  <c r="D25" i="1"/>
  <c r="AG24" i="1"/>
  <c r="AG27" i="1" s="1"/>
  <c r="AD24" i="1"/>
  <c r="AC24" i="1"/>
  <c r="AB24" i="1"/>
  <c r="AB27" i="1" s="1"/>
  <c r="Y24" i="1"/>
  <c r="Y27" i="1" s="1"/>
  <c r="V24" i="1"/>
  <c r="S24" i="1"/>
  <c r="S27" i="1" s="1"/>
  <c r="P24" i="1"/>
  <c r="P27" i="1" s="1"/>
  <c r="M24" i="1"/>
  <c r="M27" i="1" s="1"/>
  <c r="J24" i="1"/>
  <c r="G24" i="1"/>
  <c r="G27" i="1" s="1"/>
  <c r="E24" i="1"/>
  <c r="D24" i="1"/>
  <c r="AH23" i="1"/>
  <c r="D23" i="1"/>
  <c r="B17" i="1"/>
  <c r="B16" i="1"/>
  <c r="B15" i="1"/>
  <c r="B14" i="1"/>
  <c r="B13" i="1"/>
  <c r="B12" i="1" s="1"/>
  <c r="AF12" i="1"/>
  <c r="AC12" i="1"/>
  <c r="AG38" i="1" l="1"/>
  <c r="B18" i="1"/>
  <c r="AG67" i="1"/>
  <c r="AG76" i="1"/>
  <c r="AG36" i="1"/>
  <c r="AG39" i="1"/>
  <c r="AG66" i="1"/>
  <c r="AC77" i="1"/>
  <c r="AG87" i="1"/>
  <c r="AC35" i="1"/>
  <c r="K33" i="1"/>
  <c r="K103" i="1" s="1"/>
  <c r="K104" i="1" s="1"/>
  <c r="H33" i="1"/>
  <c r="AC43" i="1"/>
  <c r="N42" i="1"/>
  <c r="AC48" i="1"/>
  <c r="Z46" i="1"/>
  <c r="AG74" i="1"/>
  <c r="AG85" i="1"/>
  <c r="AG93" i="1"/>
  <c r="AG98" i="1"/>
  <c r="AG49" i="1"/>
  <c r="N50" i="1"/>
  <c r="Z50" i="1"/>
  <c r="AC57" i="1"/>
  <c r="AG61" i="1"/>
  <c r="AC72" i="1"/>
  <c r="E69" i="1"/>
  <c r="AC75" i="1"/>
  <c r="AC82" i="1"/>
  <c r="AC89" i="1"/>
  <c r="AG91" i="1"/>
  <c r="AC90" i="1"/>
  <c r="AG102" i="1"/>
  <c r="H114" i="1"/>
  <c r="AE24" i="1"/>
  <c r="AG41" i="1"/>
  <c r="AG62" i="1"/>
  <c r="AG92" i="1"/>
  <c r="AC96" i="1"/>
  <c r="H95" i="1"/>
  <c r="T33" i="1"/>
  <c r="T103" i="1" s="1"/>
  <c r="AG56" i="1"/>
  <c r="AG79" i="1"/>
  <c r="AG100" i="1"/>
  <c r="D27" i="1"/>
  <c r="B104" i="1" s="1"/>
  <c r="AG40" i="1"/>
  <c r="J27" i="1"/>
  <c r="V27" i="1"/>
  <c r="AE25" i="1"/>
  <c r="AC27" i="1"/>
  <c r="E103" i="1"/>
  <c r="E104" i="1" s="1"/>
  <c r="AG34" i="1"/>
  <c r="N33" i="1"/>
  <c r="N103" i="1" s="1"/>
  <c r="N104" i="1" s="1"/>
  <c r="Z103" i="1"/>
  <c r="Z104" i="1" s="1"/>
  <c r="AC53" i="1"/>
  <c r="AG54" i="1"/>
  <c r="W50" i="1"/>
  <c r="W103" i="1" s="1"/>
  <c r="W104" i="1" s="1"/>
  <c r="E64" i="1"/>
  <c r="Q64" i="1"/>
  <c r="Q103" i="1" s="1"/>
  <c r="Q104" i="1" s="1"/>
  <c r="W69" i="1"/>
  <c r="AG80" i="1"/>
  <c r="AC83" i="1"/>
  <c r="AC88" i="1"/>
  <c r="E84" i="1"/>
  <c r="AG94" i="1"/>
  <c r="AG99" i="1"/>
  <c r="K109" i="1"/>
  <c r="AC65" i="1"/>
  <c r="AC69" i="1"/>
  <c r="AG48" i="1" l="1"/>
  <c r="AG46" i="1" s="1"/>
  <c r="AC46" i="1"/>
  <c r="AG53" i="1"/>
  <c r="AC50" i="1"/>
  <c r="AG89" i="1"/>
  <c r="AG35" i="1"/>
  <c r="AC33" i="1"/>
  <c r="AG88" i="1"/>
  <c r="AG84" i="1" s="1"/>
  <c r="AH25" i="1"/>
  <c r="AF25" i="1"/>
  <c r="AC95" i="1"/>
  <c r="AG96" i="1"/>
  <c r="AG95" i="1" s="1"/>
  <c r="AG82" i="1"/>
  <c r="AG72" i="1"/>
  <c r="AG43" i="1"/>
  <c r="AG42" i="1" s="1"/>
  <c r="AC42" i="1"/>
  <c r="AG77" i="1"/>
  <c r="K114" i="1"/>
  <c r="N109" i="1"/>
  <c r="AG90" i="1"/>
  <c r="AE27" i="1"/>
  <c r="AH24" i="1"/>
  <c r="AF24" i="1"/>
  <c r="AC84" i="1"/>
  <c r="AC64" i="1"/>
  <c r="AG65" i="1"/>
  <c r="AG64" i="1" s="1"/>
  <c r="AG83" i="1"/>
  <c r="AG33" i="1"/>
  <c r="T104" i="1"/>
  <c r="AG75" i="1"/>
  <c r="AG57" i="1"/>
  <c r="H103" i="1"/>
  <c r="H104" i="1" s="1"/>
  <c r="AF64" i="1" l="1"/>
  <c r="AF50" i="1"/>
  <c r="AF84" i="1"/>
  <c r="AC103" i="1"/>
  <c r="AF33" i="1"/>
  <c r="AG103" i="1"/>
  <c r="AF17" i="1" s="1"/>
  <c r="N114" i="1"/>
  <c r="Q109" i="1"/>
  <c r="AG69" i="1"/>
  <c r="AH27" i="1"/>
  <c r="AF42" i="1"/>
  <c r="AF95" i="1"/>
  <c r="AC104" i="1"/>
  <c r="AF26" i="1"/>
  <c r="AC16" i="1"/>
  <c r="AF27" i="1"/>
  <c r="AG50" i="1"/>
  <c r="AF16" i="1" l="1"/>
  <c r="AF18" i="1" s="1"/>
  <c r="AF104" i="1"/>
  <c r="AF45" i="1"/>
  <c r="AF58" i="1"/>
  <c r="T109" i="1"/>
  <c r="Q114" i="1"/>
  <c r="AF71" i="1"/>
  <c r="AF60" i="1"/>
  <c r="AF47" i="1"/>
  <c r="AF101" i="1"/>
  <c r="AF86" i="1"/>
  <c r="AF44" i="1"/>
  <c r="AF103" i="1"/>
  <c r="AF81" i="1"/>
  <c r="AC17" i="1"/>
  <c r="AC18" i="1" s="1"/>
  <c r="AF78" i="1"/>
  <c r="AF63" i="1"/>
  <c r="AF51" i="1"/>
  <c r="AF67" i="1"/>
  <c r="AF39" i="1"/>
  <c r="AF66" i="1"/>
  <c r="AF97" i="1"/>
  <c r="AF93" i="1"/>
  <c r="AF70" i="1"/>
  <c r="AF91" i="1"/>
  <c r="AF41" i="1"/>
  <c r="AF92" i="1"/>
  <c r="AF68" i="1"/>
  <c r="AF100" i="1"/>
  <c r="AF40" i="1"/>
  <c r="AF37" i="1"/>
  <c r="AF54" i="1"/>
  <c r="AF94" i="1"/>
  <c r="AF34" i="1"/>
  <c r="AF76" i="1"/>
  <c r="AF36" i="1"/>
  <c r="AF55" i="1"/>
  <c r="AF74" i="1"/>
  <c r="AF52" i="1"/>
  <c r="AF79" i="1"/>
  <c r="AF99" i="1"/>
  <c r="AF38" i="1"/>
  <c r="AF56" i="1"/>
  <c r="AF85" i="1"/>
  <c r="AF49" i="1"/>
  <c r="AF59" i="1"/>
  <c r="AF98" i="1"/>
  <c r="AF62" i="1"/>
  <c r="AF87" i="1"/>
  <c r="AF61" i="1"/>
  <c r="AF73" i="1"/>
  <c r="AF102" i="1"/>
  <c r="AF80" i="1"/>
  <c r="AF89" i="1"/>
  <c r="AF88" i="1"/>
  <c r="AF96" i="1"/>
  <c r="AF82" i="1"/>
  <c r="AF77" i="1"/>
  <c r="AF69" i="1"/>
  <c r="AF65" i="1"/>
  <c r="AF83" i="1"/>
  <c r="AF75" i="1"/>
  <c r="AF48" i="1"/>
  <c r="AF90" i="1"/>
  <c r="AF53" i="1"/>
  <c r="AF35" i="1"/>
  <c r="AF43" i="1"/>
  <c r="AF72" i="1"/>
  <c r="AF57" i="1"/>
  <c r="AF46" i="1"/>
  <c r="T114" i="1" l="1"/>
  <c r="W109" i="1"/>
  <c r="W114" i="1" l="1"/>
  <c r="Z109" i="1"/>
  <c r="Z114" i="1" s="1"/>
</calcChain>
</file>

<file path=xl/sharedStrings.xml><?xml version="1.0" encoding="utf-8"?>
<sst xmlns="http://schemas.openxmlformats.org/spreadsheetml/2006/main" count="177" uniqueCount="125">
  <si>
    <r>
      <t xml:space="preserve">CONTROLE FINANCEIRO 2020
</t>
    </r>
    <r>
      <rPr>
        <b/>
        <sz val="12"/>
        <rFont val="Calibri"/>
        <family val="2"/>
        <scheme val="minor"/>
      </rPr>
      <t>Posição AGOSTO</t>
    </r>
  </si>
  <si>
    <t>DETALHAMENTO DE BENS E RECEITAS</t>
  </si>
  <si>
    <t>Bens da ANIPA</t>
  </si>
  <si>
    <t>Acumulado 2019</t>
  </si>
  <si>
    <t>JAN</t>
  </si>
  <si>
    <t>FEV</t>
  </si>
  <si>
    <t>MAR</t>
  </si>
  <si>
    <t>ABR</t>
  </si>
  <si>
    <t>MAI</t>
  </si>
  <si>
    <t>JUN</t>
  </si>
  <si>
    <t>JUL</t>
  </si>
  <si>
    <t>AGO</t>
  </si>
  <si>
    <t>Acumulado 2020</t>
  </si>
  <si>
    <t>Evolução histórica</t>
  </si>
  <si>
    <t xml:space="preserve">Total bens </t>
  </si>
  <si>
    <t>Imobilizado (computadores, equipamentos)</t>
  </si>
  <si>
    <t>Intangível (softwares)</t>
  </si>
  <si>
    <t>(-) Depreciação acumulada</t>
  </si>
  <si>
    <t xml:space="preserve"> </t>
  </si>
  <si>
    <t>Receitas</t>
  </si>
  <si>
    <t>Despesas</t>
  </si>
  <si>
    <t>Total Parcial e Acumulado</t>
  </si>
  <si>
    <t>Associados / Receitas</t>
  </si>
  <si>
    <t>%</t>
  </si>
  <si>
    <t>Q</t>
  </si>
  <si>
    <t>Valor</t>
  </si>
  <si>
    <t>S</t>
  </si>
  <si>
    <t>E</t>
  </si>
  <si>
    <t>Receitas anteriores / Associados</t>
  </si>
  <si>
    <t>Associados / Mensalidades</t>
  </si>
  <si>
    <t>Receitas Financeiras</t>
  </si>
  <si>
    <t xml:space="preserve">Outras Receitas </t>
  </si>
  <si>
    <t>Total Associados / Receitas</t>
  </si>
  <si>
    <t>DETALHAMENTO DE DESPESAS</t>
  </si>
  <si>
    <t>Serviços de Terceiros</t>
  </si>
  <si>
    <t>Serviços administrativos Advogados</t>
  </si>
  <si>
    <t>Assessoria Jurídica</t>
  </si>
  <si>
    <t xml:space="preserve">Serviços Contábeis </t>
  </si>
  <si>
    <t>Assessoria Atuarial</t>
  </si>
  <si>
    <t>Consultoria/Assessoria Técnica (Fin, Cont, TI)</t>
  </si>
  <si>
    <t>Telemarketing (associados regular termos)</t>
  </si>
  <si>
    <t>Assessoria Comunicação</t>
  </si>
  <si>
    <t xml:space="preserve">Serviços eventuais de apoio </t>
  </si>
  <si>
    <t>Custos das Ações</t>
  </si>
  <si>
    <r>
      <t>Honorários Advocatícios Iniciais Ações</t>
    </r>
    <r>
      <rPr>
        <sz val="8"/>
        <rFont val="Calibri"/>
        <family val="2"/>
        <scheme val="minor"/>
      </rPr>
      <t xml:space="preserve"> (5)</t>
    </r>
  </si>
  <si>
    <t>Honorários mensais das ações</t>
  </si>
  <si>
    <t>Taxas de ajuizamento de ações</t>
  </si>
  <si>
    <t>Registros/Cartórios/Publicações</t>
  </si>
  <si>
    <t>Registros e Taxas(Cart, Pref, RF...)</t>
  </si>
  <si>
    <t>Cartórios (Aut, Doc, Rec Firma)</t>
  </si>
  <si>
    <t>Publicações Legais/Editais</t>
  </si>
  <si>
    <t>Tecnologia</t>
  </si>
  <si>
    <t>Desenvolvimento/Hospedagem SITE e Sistema inicial</t>
  </si>
  <si>
    <t>Desenvolvimento novo SITE</t>
  </si>
  <si>
    <t xml:space="preserve">Hospedagem/Manutenção novo SITE </t>
  </si>
  <si>
    <t xml:space="preserve">Desenvolvimento novo Sistema ANIPA </t>
  </si>
  <si>
    <t xml:space="preserve">Hospedagem / Manutenção novo Sistema ANIPA </t>
  </si>
  <si>
    <t>Serviço de E-mail</t>
  </si>
  <si>
    <r>
      <t xml:space="preserve">Serviço de Mensagens por celular </t>
    </r>
    <r>
      <rPr>
        <sz val="8"/>
        <rFont val="Calibri"/>
        <family val="2"/>
        <scheme val="minor"/>
      </rPr>
      <t>(3)</t>
    </r>
  </si>
  <si>
    <r>
      <t xml:space="preserve">Plataforma de assinatura eletrônica </t>
    </r>
    <r>
      <rPr>
        <sz val="8"/>
        <rFont val="Calibri"/>
        <family val="2"/>
        <scheme val="minor"/>
      </rPr>
      <t>(6)</t>
    </r>
  </si>
  <si>
    <t>Desenv/Serviço Sist Assembleia Virtual</t>
  </si>
  <si>
    <t>Desenv/Serviço Sist Eleição Virtual</t>
  </si>
  <si>
    <t>Desenv/Serviço Fórum Site ANIPA</t>
  </si>
  <si>
    <t>Registro Domínio ANIPA</t>
  </si>
  <si>
    <t>Certificado Segurança SITE / Certificado Digital</t>
  </si>
  <si>
    <t>Bancos/Impostos/Juros</t>
  </si>
  <si>
    <t>Tarifas Bancárias CAIXA</t>
  </si>
  <si>
    <r>
      <t>Impostos recolhidos à terceiros (INSS, IR, CONTR. FEDER...)</t>
    </r>
    <r>
      <rPr>
        <sz val="8"/>
        <rFont val="Calibri"/>
        <family val="2"/>
        <scheme val="minor"/>
      </rPr>
      <t>(2)</t>
    </r>
  </si>
  <si>
    <t>IRRF/IOF operações financeiras (sobre os investimentos)</t>
  </si>
  <si>
    <t>Despesas com Juros/Outras despesas financeiras</t>
  </si>
  <si>
    <t xml:space="preserve">Escritório ANIPA </t>
  </si>
  <si>
    <t>Móveis/Utensílios</t>
  </si>
  <si>
    <t>Computadores 3, impressoras 1, celular 1</t>
  </si>
  <si>
    <t>Softwares (Office, Antivírus, Adobe mensal)</t>
  </si>
  <si>
    <t>Assinatura de jornais, revistas, publicações</t>
  </si>
  <si>
    <t>Material Escritório</t>
  </si>
  <si>
    <t xml:space="preserve">Aluguel/Condomínio/IPTU/Taxas </t>
  </si>
  <si>
    <t xml:space="preserve">Luz/Telefone/Internet </t>
  </si>
  <si>
    <t>Diversos (café, água, copos, chaves, etc.)</t>
  </si>
  <si>
    <t>Manutenção (de computadores, impressora)</t>
  </si>
  <si>
    <t>Higiene e Limpeza (material e serviço)</t>
  </si>
  <si>
    <t>Reforma escritório</t>
  </si>
  <si>
    <t>Serviço de Seleção e Recrutamento</t>
  </si>
  <si>
    <t>Salários (mês, 13°, férias, rescisão)</t>
  </si>
  <si>
    <r>
      <t>Encargos trabalhistas (INSS, FGTS, PIS, Transp, Alim, Sind)</t>
    </r>
    <r>
      <rPr>
        <sz val="8"/>
        <rFont val="Calibri"/>
        <family val="2"/>
        <scheme val="minor"/>
      </rPr>
      <t xml:space="preserve"> (2)</t>
    </r>
  </si>
  <si>
    <t>Outros Serviços</t>
  </si>
  <si>
    <t>Serv. Gráficos/Digitalizações/Cópias</t>
  </si>
  <si>
    <t>Serviços MSN/Telefonia</t>
  </si>
  <si>
    <t>Motoboy</t>
  </si>
  <si>
    <t>Correios</t>
  </si>
  <si>
    <t>Deslocamento (para serviços externos)</t>
  </si>
  <si>
    <t>Outros</t>
  </si>
  <si>
    <t>Locação sala Eventos/Assembleia/Equipamentos/Hotel</t>
  </si>
  <si>
    <t>Apoio a mobilizações</t>
  </si>
  <si>
    <t>Devoluções/Recebimentos indevidos</t>
  </si>
  <si>
    <t>Participações em outras associações</t>
  </si>
  <si>
    <t>Despesas Viagens</t>
  </si>
  <si>
    <t>Presidência</t>
  </si>
  <si>
    <t>Jurídico</t>
  </si>
  <si>
    <t>Financeiro</t>
  </si>
  <si>
    <t>Técnico</t>
  </si>
  <si>
    <t>Comunicação</t>
  </si>
  <si>
    <t>Conselho Fiscal</t>
  </si>
  <si>
    <r>
      <t xml:space="preserve">Associados / Prestador de serviço / Funcionários </t>
    </r>
    <r>
      <rPr>
        <sz val="8"/>
        <rFont val="Calibri"/>
        <family val="2"/>
        <scheme val="minor"/>
      </rPr>
      <t>(1)</t>
    </r>
  </si>
  <si>
    <t>Total Despesas</t>
  </si>
  <si>
    <t>Resultado / Saldo em Conta</t>
  </si>
  <si>
    <t>Despesas Acumuladas até 2019</t>
  </si>
  <si>
    <t>Investimentos</t>
  </si>
  <si>
    <t>Acumulado até 2019</t>
  </si>
  <si>
    <t>Caixa FIC GIRO EMPRESAS</t>
  </si>
  <si>
    <t>Caixa FIC PREMIUM</t>
  </si>
  <si>
    <t xml:space="preserve">Caixa FIC SIGMA </t>
  </si>
  <si>
    <t>CDB Flex Empresarial</t>
  </si>
  <si>
    <r>
      <t>Bolsa Americana Multimercado (encerrado)</t>
    </r>
    <r>
      <rPr>
        <sz val="9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(4)</t>
    </r>
  </si>
  <si>
    <t>Saldos totais</t>
  </si>
  <si>
    <t>Evolução histórica desde a fundação - MAR/2015</t>
  </si>
  <si>
    <r>
      <t xml:space="preserve">Q - </t>
    </r>
    <r>
      <rPr>
        <sz val="10"/>
        <color theme="1"/>
        <rFont val="Calibri"/>
        <family val="2"/>
        <scheme val="minor"/>
      </rPr>
      <t>Quantidade acumulada</t>
    </r>
  </si>
  <si>
    <r>
      <t xml:space="preserve">E - </t>
    </r>
    <r>
      <rPr>
        <sz val="10"/>
        <color theme="1"/>
        <rFont val="Calibri"/>
        <family val="2"/>
        <scheme val="minor"/>
      </rPr>
      <t>Entraram na ANIPA</t>
    </r>
  </si>
  <si>
    <t>(1) A serviço ou representação da ANIPA.</t>
  </si>
  <si>
    <t>(2) Pagamento em duplicidade de algumas DARFs</t>
  </si>
  <si>
    <t>(3) Pagamento em atraso mensalidade de dez/2019</t>
  </si>
  <si>
    <t xml:space="preserve">(4) Investimento realizado indevidamente pela agência bancária, sem anuência da ANIPA. Valor integral da  aplicação devolvido mediante crédito em conta. </t>
  </si>
  <si>
    <t>(5) Ajuizamento de Ação Quórum Qualificado no valor de R$ 50.000,00 em 2x</t>
  </si>
  <si>
    <t>(6) Contratação de plataforma de assinatura eletrônica para assinaturas de atas e documentos necessários em razão da pandemia de COVID-19 que</t>
  </si>
  <si>
    <t xml:space="preserve">       impossibilita a reunião presencial de diretores e conselheiros.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</si>
</sst>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_ ;[Red]\-#,##0.00\ "/>
    <numFmt numFmtId="165" formatCode="#,##0_ ;[Red]\-#,##0\ 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rgb="FFFF0000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0B0B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4A7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BC9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AEB"/>
        <bgColor indexed="64"/>
      </patternFill>
    </fill>
    <fill>
      <patternFill patternType="solid">
        <fgColor rgb="FFC2D1EC"/>
        <bgColor indexed="64"/>
      </patternFill>
    </fill>
    <fill>
      <patternFill patternType="solid">
        <fgColor rgb="FFF2E5FF"/>
        <bgColor indexed="64"/>
      </patternFill>
    </fill>
    <fill>
      <patternFill patternType="solid">
        <fgColor rgb="FF9ECA8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99">
    <xf numFmtId="0" fontId="0" fillId="0" borderId="0" xfId="0"/>
    <xf numFmtId="0" fontId="4" fillId="0" borderId="0" xfId="0" applyFont="1" applyAlignment="1">
      <alignment horizontal="center"/>
    </xf>
    <xf numFmtId="0" fontId="5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/>
    </xf>
    <xf numFmtId="0" fontId="9" fillId="5" borderId="3" xfId="0" applyFont="1" applyFill="1" applyBorder="1" applyAlignment="1">
      <alignment horizontal="center"/>
    </xf>
    <xf numFmtId="0" fontId="9" fillId="5" borderId="2" xfId="0" applyFont="1" applyFill="1" applyBorder="1" applyAlignment="1">
      <alignment horizontal="center"/>
    </xf>
    <xf numFmtId="0" fontId="9" fillId="5" borderId="4" xfId="0" applyFont="1" applyFill="1" applyBorder="1" applyAlignment="1">
      <alignment horizontal="center"/>
    </xf>
    <xf numFmtId="0" fontId="9" fillId="6" borderId="1" xfId="0" applyFont="1" applyFill="1" applyBorder="1" applyAlignment="1">
      <alignment horizontal="center"/>
    </xf>
    <xf numFmtId="0" fontId="10" fillId="7" borderId="5" xfId="0" applyFont="1" applyFill="1" applyBorder="1" applyAlignment="1">
      <alignment vertical="center"/>
    </xf>
    <xf numFmtId="4" fontId="9" fillId="7" borderId="3" xfId="0" applyNumberFormat="1" applyFont="1" applyFill="1" applyBorder="1" applyAlignment="1">
      <alignment horizontal="right"/>
    </xf>
    <xf numFmtId="4" fontId="9" fillId="7" borderId="2" xfId="0" applyNumberFormat="1" applyFont="1" applyFill="1" applyBorder="1" applyAlignment="1">
      <alignment horizontal="right"/>
    </xf>
    <xf numFmtId="4" fontId="9" fillId="7" borderId="4" xfId="0" applyNumberFormat="1" applyFont="1" applyFill="1" applyBorder="1" applyAlignment="1">
      <alignment horizontal="right"/>
    </xf>
    <xf numFmtId="0" fontId="9" fillId="8" borderId="3" xfId="0" applyFont="1" applyFill="1" applyBorder="1" applyAlignment="1">
      <alignment horizontal="right"/>
    </xf>
    <xf numFmtId="0" fontId="9" fillId="8" borderId="2" xfId="0" applyFont="1" applyFill="1" applyBorder="1" applyAlignment="1">
      <alignment horizontal="right"/>
    </xf>
    <xf numFmtId="0" fontId="9" fillId="8" borderId="4" xfId="0" applyFont="1" applyFill="1" applyBorder="1" applyAlignment="1">
      <alignment horizontal="right"/>
    </xf>
    <xf numFmtId="0" fontId="9" fillId="8" borderId="3" xfId="0" applyFont="1" applyFill="1" applyBorder="1" applyAlignment="1">
      <alignment horizontal="right"/>
    </xf>
    <xf numFmtId="0" fontId="9" fillId="8" borderId="2" xfId="0" applyFont="1" applyFill="1" applyBorder="1" applyAlignment="1">
      <alignment horizontal="right"/>
    </xf>
    <xf numFmtId="0" fontId="9" fillId="8" borderId="4" xfId="0" applyFont="1" applyFill="1" applyBorder="1" applyAlignment="1">
      <alignment horizontal="right"/>
    </xf>
    <xf numFmtId="4" fontId="8" fillId="0" borderId="3" xfId="0" applyNumberFormat="1" applyFont="1" applyBorder="1" applyAlignment="1">
      <alignment horizontal="right"/>
    </xf>
    <xf numFmtId="4" fontId="8" fillId="0" borderId="2" xfId="0" applyNumberFormat="1" applyFont="1" applyBorder="1" applyAlignment="1">
      <alignment horizontal="right"/>
    </xf>
    <xf numFmtId="4" fontId="8" fillId="0" borderId="4" xfId="0" applyNumberFormat="1" applyFont="1" applyBorder="1" applyAlignment="1">
      <alignment horizontal="right"/>
    </xf>
    <xf numFmtId="4" fontId="8" fillId="0" borderId="3" xfId="0" applyNumberFormat="1" applyFont="1" applyBorder="1" applyAlignment="1">
      <alignment horizontal="center"/>
    </xf>
    <xf numFmtId="4" fontId="8" fillId="0" borderId="2" xfId="0" applyNumberFormat="1" applyFont="1" applyBorder="1" applyAlignment="1">
      <alignment horizontal="center"/>
    </xf>
    <xf numFmtId="4" fontId="8" fillId="0" borderId="4" xfId="0" applyNumberFormat="1" applyFont="1" applyBorder="1" applyAlignment="1">
      <alignment horizontal="center"/>
    </xf>
    <xf numFmtId="4" fontId="10" fillId="9" borderId="1" xfId="0" applyNumberFormat="1" applyFont="1" applyFill="1" applyBorder="1" applyAlignment="1">
      <alignment horizontal="right"/>
    </xf>
    <xf numFmtId="0" fontId="8" fillId="8" borderId="1" xfId="0" applyFont="1" applyFill="1" applyBorder="1"/>
    <xf numFmtId="4" fontId="11" fillId="7" borderId="3" xfId="0" applyNumberFormat="1" applyFont="1" applyFill="1" applyBorder="1" applyAlignment="1">
      <alignment horizontal="right"/>
    </xf>
    <xf numFmtId="4" fontId="11" fillId="7" borderId="2" xfId="0" applyNumberFormat="1" applyFont="1" applyFill="1" applyBorder="1" applyAlignment="1">
      <alignment horizontal="right"/>
    </xf>
    <xf numFmtId="4" fontId="11" fillId="7" borderId="4" xfId="0" applyNumberFormat="1" applyFont="1" applyFill="1" applyBorder="1" applyAlignment="1">
      <alignment horizontal="right"/>
    </xf>
    <xf numFmtId="3" fontId="11" fillId="8" borderId="3" xfId="0" applyNumberFormat="1" applyFont="1" applyFill="1" applyBorder="1" applyAlignment="1">
      <alignment horizontal="right"/>
    </xf>
    <xf numFmtId="3" fontId="11" fillId="8" borderId="2" xfId="0" applyNumberFormat="1" applyFont="1" applyFill="1" applyBorder="1" applyAlignment="1">
      <alignment horizontal="right"/>
    </xf>
    <xf numFmtId="3" fontId="11" fillId="8" borderId="4" xfId="0" applyNumberFormat="1" applyFont="1" applyFill="1" applyBorder="1" applyAlignment="1">
      <alignment horizontal="right"/>
    </xf>
    <xf numFmtId="3" fontId="11" fillId="8" borderId="3" xfId="0" applyNumberFormat="1" applyFont="1" applyFill="1" applyBorder="1" applyAlignment="1">
      <alignment horizontal="right"/>
    </xf>
    <xf numFmtId="3" fontId="11" fillId="8" borderId="2" xfId="0" applyNumberFormat="1" applyFont="1" applyFill="1" applyBorder="1" applyAlignment="1">
      <alignment horizontal="right"/>
    </xf>
    <xf numFmtId="3" fontId="11" fillId="8" borderId="4" xfId="0" applyNumberFormat="1" applyFont="1" applyFill="1" applyBorder="1" applyAlignment="1">
      <alignment horizontal="right"/>
    </xf>
    <xf numFmtId="4" fontId="8" fillId="8" borderId="1" xfId="0" applyNumberFormat="1" applyFont="1" applyFill="1" applyBorder="1" applyAlignment="1">
      <alignment horizontal="right"/>
    </xf>
    <xf numFmtId="4" fontId="8" fillId="0" borderId="1" xfId="0" applyNumberFormat="1" applyFont="1" applyBorder="1" applyAlignment="1">
      <alignment horizontal="right" vertical="center" wrapText="1"/>
    </xf>
    <xf numFmtId="3" fontId="11" fillId="8" borderId="3" xfId="0" applyNumberFormat="1" applyFont="1" applyFill="1" applyBorder="1" applyAlignment="1">
      <alignment horizontal="center"/>
    </xf>
    <xf numFmtId="3" fontId="11" fillId="8" borderId="2" xfId="0" applyNumberFormat="1" applyFont="1" applyFill="1" applyBorder="1" applyAlignment="1">
      <alignment horizontal="center"/>
    </xf>
    <xf numFmtId="3" fontId="11" fillId="8" borderId="4" xfId="0" applyNumberFormat="1" applyFont="1" applyFill="1" applyBorder="1" applyAlignment="1">
      <alignment horizontal="center"/>
    </xf>
    <xf numFmtId="0" fontId="10" fillId="10" borderId="1" xfId="0" applyFont="1" applyFill="1" applyBorder="1" applyAlignment="1">
      <alignment horizontal="center"/>
    </xf>
    <xf numFmtId="4" fontId="11" fillId="10" borderId="3" xfId="0" applyNumberFormat="1" applyFont="1" applyFill="1" applyBorder="1" applyAlignment="1">
      <alignment horizontal="right"/>
    </xf>
    <xf numFmtId="4" fontId="11" fillId="10" borderId="2" xfId="0" applyNumberFormat="1" applyFont="1" applyFill="1" applyBorder="1" applyAlignment="1">
      <alignment horizontal="right"/>
    </xf>
    <xf numFmtId="4" fontId="11" fillId="10" borderId="4" xfId="0" applyNumberFormat="1" applyFont="1" applyFill="1" applyBorder="1" applyAlignment="1">
      <alignment horizontal="right"/>
    </xf>
    <xf numFmtId="3" fontId="11" fillId="10" borderId="3" xfId="0" applyNumberFormat="1" applyFont="1" applyFill="1" applyBorder="1" applyAlignment="1">
      <alignment horizontal="right"/>
    </xf>
    <xf numFmtId="3" fontId="11" fillId="10" borderId="2" xfId="0" applyNumberFormat="1" applyFont="1" applyFill="1" applyBorder="1" applyAlignment="1">
      <alignment horizontal="right"/>
    </xf>
    <xf numFmtId="3" fontId="11" fillId="10" borderId="4" xfId="0" applyNumberFormat="1" applyFont="1" applyFill="1" applyBorder="1" applyAlignment="1">
      <alignment horizontal="right"/>
    </xf>
    <xf numFmtId="3" fontId="11" fillId="10" borderId="3" xfId="0" applyNumberFormat="1" applyFont="1" applyFill="1" applyBorder="1" applyAlignment="1">
      <alignment horizontal="right"/>
    </xf>
    <xf numFmtId="3" fontId="11" fillId="10" borderId="2" xfId="0" applyNumberFormat="1" applyFont="1" applyFill="1" applyBorder="1" applyAlignment="1">
      <alignment horizontal="right"/>
    </xf>
    <xf numFmtId="3" fontId="11" fillId="10" borderId="4" xfId="0" applyNumberFormat="1" applyFont="1" applyFill="1" applyBorder="1" applyAlignment="1">
      <alignment horizontal="right"/>
    </xf>
    <xf numFmtId="3" fontId="11" fillId="10" borderId="3" xfId="0" applyNumberFormat="1" applyFont="1" applyFill="1" applyBorder="1" applyAlignment="1">
      <alignment horizontal="center"/>
    </xf>
    <xf numFmtId="3" fontId="11" fillId="10" borderId="2" xfId="0" applyNumberFormat="1" applyFont="1" applyFill="1" applyBorder="1" applyAlignment="1">
      <alignment horizontal="center"/>
    </xf>
    <xf numFmtId="3" fontId="11" fillId="10" borderId="4" xfId="0" applyNumberFormat="1" applyFont="1" applyFill="1" applyBorder="1" applyAlignment="1">
      <alignment horizontal="center"/>
    </xf>
    <xf numFmtId="4" fontId="8" fillId="10" borderId="1" xfId="0" applyNumberFormat="1" applyFont="1" applyFill="1" applyBorder="1" applyAlignment="1">
      <alignment horizontal="right" vertical="center" wrapText="1"/>
    </xf>
    <xf numFmtId="0" fontId="10" fillId="11" borderId="1" xfId="0" applyFont="1" applyFill="1" applyBorder="1" applyAlignment="1">
      <alignment horizontal="center"/>
    </xf>
    <xf numFmtId="4" fontId="11" fillId="11" borderId="3" xfId="0" applyNumberFormat="1" applyFont="1" applyFill="1" applyBorder="1" applyAlignment="1">
      <alignment horizontal="right"/>
    </xf>
    <xf numFmtId="4" fontId="11" fillId="11" borderId="2" xfId="0" applyNumberFormat="1" applyFont="1" applyFill="1" applyBorder="1" applyAlignment="1">
      <alignment horizontal="right"/>
    </xf>
    <xf numFmtId="4" fontId="11" fillId="11" borderId="4" xfId="0" applyNumberFormat="1" applyFont="1" applyFill="1" applyBorder="1" applyAlignment="1">
      <alignment horizontal="right"/>
    </xf>
    <xf numFmtId="3" fontId="9" fillId="11" borderId="3" xfId="0" applyNumberFormat="1" applyFont="1" applyFill="1" applyBorder="1" applyAlignment="1">
      <alignment horizontal="right"/>
    </xf>
    <xf numFmtId="3" fontId="9" fillId="11" borderId="2" xfId="0" applyNumberFormat="1" applyFont="1" applyFill="1" applyBorder="1" applyAlignment="1">
      <alignment horizontal="right"/>
    </xf>
    <xf numFmtId="3" fontId="9" fillId="11" borderId="4" xfId="0" applyNumberFormat="1" applyFont="1" applyFill="1" applyBorder="1" applyAlignment="1">
      <alignment horizontal="right"/>
    </xf>
    <xf numFmtId="3" fontId="9" fillId="11" borderId="3" xfId="0" applyNumberFormat="1" applyFont="1" applyFill="1" applyBorder="1" applyAlignment="1">
      <alignment horizontal="right"/>
    </xf>
    <xf numFmtId="3" fontId="9" fillId="11" borderId="2" xfId="0" applyNumberFormat="1" applyFont="1" applyFill="1" applyBorder="1" applyAlignment="1">
      <alignment horizontal="right"/>
    </xf>
    <xf numFmtId="3" fontId="9" fillId="11" borderId="4" xfId="0" applyNumberFormat="1" applyFont="1" applyFill="1" applyBorder="1" applyAlignment="1">
      <alignment horizontal="right"/>
    </xf>
    <xf numFmtId="3" fontId="9" fillId="11" borderId="3" xfId="0" applyNumberFormat="1" applyFont="1" applyFill="1" applyBorder="1" applyAlignment="1">
      <alignment horizontal="center"/>
    </xf>
    <xf numFmtId="3" fontId="9" fillId="11" borderId="2" xfId="0" applyNumberFormat="1" applyFont="1" applyFill="1" applyBorder="1" applyAlignment="1">
      <alignment horizontal="center"/>
    </xf>
    <xf numFmtId="3" fontId="9" fillId="11" borderId="4" xfId="0" applyNumberFormat="1" applyFont="1" applyFill="1" applyBorder="1" applyAlignment="1">
      <alignment horizontal="center"/>
    </xf>
    <xf numFmtId="4" fontId="8" fillId="11" borderId="1" xfId="0" applyNumberFormat="1" applyFont="1" applyFill="1" applyBorder="1" applyAlignment="1">
      <alignment horizontal="right"/>
    </xf>
    <xf numFmtId="4" fontId="10" fillId="10" borderId="3" xfId="0" applyNumberFormat="1" applyFont="1" applyFill="1" applyBorder="1" applyAlignment="1">
      <alignment horizontal="right" vertical="center" wrapText="1"/>
    </xf>
    <xf numFmtId="4" fontId="10" fillId="10" borderId="2" xfId="0" applyNumberFormat="1" applyFont="1" applyFill="1" applyBorder="1" applyAlignment="1">
      <alignment horizontal="right" vertical="center" wrapText="1"/>
    </xf>
    <xf numFmtId="4" fontId="10" fillId="10" borderId="4" xfId="0" applyNumberFormat="1" applyFont="1" applyFill="1" applyBorder="1" applyAlignment="1">
      <alignment horizontal="right" vertical="center" wrapText="1"/>
    </xf>
    <xf numFmtId="0" fontId="10" fillId="10" borderId="3" xfId="0" applyFont="1" applyFill="1" applyBorder="1" applyAlignment="1">
      <alignment horizontal="right" vertical="center" wrapText="1"/>
    </xf>
    <xf numFmtId="0" fontId="10" fillId="10" borderId="2" xfId="0" applyFont="1" applyFill="1" applyBorder="1" applyAlignment="1">
      <alignment horizontal="right" vertical="center" wrapText="1"/>
    </xf>
    <xf numFmtId="0" fontId="10" fillId="10" borderId="4" xfId="0" applyFont="1" applyFill="1" applyBorder="1" applyAlignment="1">
      <alignment horizontal="right" vertical="center" wrapText="1"/>
    </xf>
    <xf numFmtId="0" fontId="10" fillId="10" borderId="3" xfId="0" applyFont="1" applyFill="1" applyBorder="1" applyAlignment="1">
      <alignment horizontal="right" vertical="center" wrapText="1"/>
    </xf>
    <xf numFmtId="0" fontId="10" fillId="10" borderId="2" xfId="0" applyFont="1" applyFill="1" applyBorder="1" applyAlignment="1">
      <alignment horizontal="right" vertical="center" wrapText="1"/>
    </xf>
    <xf numFmtId="0" fontId="10" fillId="10" borderId="4" xfId="0" applyFont="1" applyFill="1" applyBorder="1" applyAlignment="1">
      <alignment horizontal="right" vertical="center" wrapText="1"/>
    </xf>
    <xf numFmtId="0" fontId="10" fillId="10" borderId="3" xfId="0" applyFont="1" applyFill="1" applyBorder="1" applyAlignment="1">
      <alignment horizontal="center" vertical="center" wrapText="1"/>
    </xf>
    <xf numFmtId="0" fontId="10" fillId="10" borderId="2" xfId="0" applyFont="1" applyFill="1" applyBorder="1" applyAlignment="1">
      <alignment horizontal="center" vertical="center" wrapText="1"/>
    </xf>
    <xf numFmtId="0" fontId="10" fillId="10" borderId="4" xfId="0" applyFont="1" applyFill="1" applyBorder="1" applyAlignment="1">
      <alignment horizontal="center" vertical="center" wrapText="1"/>
    </xf>
    <xf numFmtId="4" fontId="10" fillId="10" borderId="1" xfId="0" applyNumberFormat="1" applyFont="1" applyFill="1" applyBorder="1" applyAlignment="1">
      <alignment horizontal="right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 wrapText="1"/>
    </xf>
    <xf numFmtId="0" fontId="9" fillId="12" borderId="3" xfId="0" applyFont="1" applyFill="1" applyBorder="1" applyAlignment="1">
      <alignment horizontal="center"/>
    </xf>
    <xf numFmtId="0" fontId="9" fillId="12" borderId="4" xfId="0" applyFont="1" applyFill="1" applyBorder="1" applyAlignment="1">
      <alignment horizontal="center"/>
    </xf>
    <xf numFmtId="0" fontId="9" fillId="12" borderId="1" xfId="0" applyFont="1" applyFill="1" applyBorder="1" applyAlignment="1">
      <alignment horizontal="center"/>
    </xf>
    <xf numFmtId="0" fontId="10" fillId="9" borderId="1" xfId="0" applyFont="1" applyFill="1" applyBorder="1" applyAlignment="1">
      <alignment horizontal="center"/>
    </xf>
    <xf numFmtId="0" fontId="8" fillId="7" borderId="1" xfId="0" applyFont="1" applyFill="1" applyBorder="1" applyAlignment="1">
      <alignment horizontal="left" vertical="center" wrapText="1"/>
    </xf>
    <xf numFmtId="3" fontId="11" fillId="7" borderId="3" xfId="0" applyNumberFormat="1" applyFont="1" applyFill="1" applyBorder="1" applyAlignment="1">
      <alignment horizontal="center"/>
    </xf>
    <xf numFmtId="3" fontId="11" fillId="7" borderId="4" xfId="0" applyNumberFormat="1" applyFont="1" applyFill="1" applyBorder="1" applyAlignment="1">
      <alignment horizontal="center"/>
    </xf>
    <xf numFmtId="164" fontId="11" fillId="7" borderId="1" xfId="0" applyNumberFormat="1" applyFont="1" applyFill="1" applyBorder="1" applyAlignment="1">
      <alignment horizontal="right"/>
    </xf>
    <xf numFmtId="3" fontId="11" fillId="7" borderId="1" xfId="0" applyNumberFormat="1" applyFont="1" applyFill="1" applyBorder="1"/>
    <xf numFmtId="0" fontId="8" fillId="7" borderId="1" xfId="0" applyFont="1" applyFill="1" applyBorder="1"/>
    <xf numFmtId="164" fontId="11" fillId="7" borderId="1" xfId="0" applyNumberFormat="1" applyFont="1" applyFill="1" applyBorder="1"/>
    <xf numFmtId="10" fontId="12" fillId="7" borderId="1" xfId="0" applyNumberFormat="1" applyFont="1" applyFill="1" applyBorder="1"/>
    <xf numFmtId="3" fontId="8" fillId="13" borderId="1" xfId="0" applyNumberFormat="1" applyFont="1" applyFill="1" applyBorder="1"/>
    <xf numFmtId="164" fontId="8" fillId="13" borderId="1" xfId="0" applyNumberFormat="1" applyFont="1" applyFill="1" applyBorder="1"/>
    <xf numFmtId="164" fontId="11" fillId="8" borderId="1" xfId="0" applyNumberFormat="1" applyFont="1" applyFill="1" applyBorder="1" applyAlignment="1">
      <alignment horizontal="right"/>
    </xf>
    <xf numFmtId="3" fontId="8" fillId="7" borderId="1" xfId="0" applyNumberFormat="1" applyFont="1" applyFill="1" applyBorder="1"/>
    <xf numFmtId="10" fontId="12" fillId="8" borderId="1" xfId="0" applyNumberFormat="1" applyFont="1" applyFill="1" applyBorder="1"/>
    <xf numFmtId="3" fontId="8" fillId="8" borderId="1" xfId="0" applyNumberFormat="1" applyFont="1" applyFill="1" applyBorder="1"/>
    <xf numFmtId="164" fontId="8" fillId="8" borderId="1" xfId="0" applyNumberFormat="1" applyFont="1" applyFill="1" applyBorder="1"/>
    <xf numFmtId="0" fontId="11" fillId="8" borderId="1" xfId="0" applyFont="1" applyFill="1" applyBorder="1"/>
    <xf numFmtId="0" fontId="8" fillId="13" borderId="1" xfId="0" applyFont="1" applyFill="1" applyBorder="1"/>
    <xf numFmtId="0" fontId="10" fillId="14" borderId="1" xfId="0" applyFont="1" applyFill="1" applyBorder="1"/>
    <xf numFmtId="3" fontId="9" fillId="14" borderId="3" xfId="0" applyNumberFormat="1" applyFont="1" applyFill="1" applyBorder="1" applyAlignment="1">
      <alignment horizontal="center"/>
    </xf>
    <xf numFmtId="3" fontId="9" fillId="14" borderId="4" xfId="0" applyNumberFormat="1" applyFont="1" applyFill="1" applyBorder="1" applyAlignment="1">
      <alignment horizontal="center"/>
    </xf>
    <xf numFmtId="40" fontId="9" fillId="14" borderId="1" xfId="0" applyNumberFormat="1" applyFont="1" applyFill="1" applyBorder="1"/>
    <xf numFmtId="3" fontId="9" fillId="14" borderId="1" xfId="0" applyNumberFormat="1" applyFont="1" applyFill="1" applyBorder="1" applyAlignment="1">
      <alignment horizontal="center"/>
    </xf>
    <xf numFmtId="38" fontId="9" fillId="14" borderId="3" xfId="0" applyNumberFormat="1" applyFont="1" applyFill="1" applyBorder="1" applyAlignment="1">
      <alignment horizontal="center"/>
    </xf>
    <xf numFmtId="38" fontId="9" fillId="14" borderId="4" xfId="0" applyNumberFormat="1" applyFont="1" applyFill="1" applyBorder="1" applyAlignment="1">
      <alignment horizontal="center"/>
    </xf>
    <xf numFmtId="10" fontId="13" fillId="14" borderId="1" xfId="0" applyNumberFormat="1" applyFont="1" applyFill="1" applyBorder="1"/>
    <xf numFmtId="165" fontId="10" fillId="6" borderId="1" xfId="0" applyNumberFormat="1" applyFont="1" applyFill="1" applyBorder="1" applyAlignment="1">
      <alignment horizontal="right"/>
    </xf>
    <xf numFmtId="40" fontId="10" fillId="6" borderId="1" xfId="0" applyNumberFormat="1" applyFont="1" applyFill="1" applyBorder="1"/>
    <xf numFmtId="0" fontId="11" fillId="0" borderId="0" xfId="0" applyFont="1" applyAlignment="1">
      <alignment horizontal="left" vertical="center" wrapText="1"/>
    </xf>
    <xf numFmtId="0" fontId="11" fillId="0" borderId="2" xfId="0" applyFont="1" applyBorder="1" applyAlignment="1">
      <alignment horizontal="center" vertical="center" wrapText="1"/>
    </xf>
    <xf numFmtId="0" fontId="14" fillId="4" borderId="1" xfId="0" applyFont="1" applyFill="1" applyBorder="1" applyAlignment="1" applyProtection="1">
      <alignment horizontal="center"/>
      <protection locked="0"/>
    </xf>
    <xf numFmtId="0" fontId="3" fillId="5" borderId="3" xfId="0" applyFont="1" applyFill="1" applyBorder="1" applyAlignment="1">
      <alignment horizontal="center"/>
    </xf>
    <xf numFmtId="0" fontId="3" fillId="5" borderId="2" xfId="0" applyFont="1" applyFill="1" applyBorder="1" applyAlignment="1">
      <alignment horizontal="center"/>
    </xf>
    <xf numFmtId="0" fontId="3" fillId="5" borderId="4" xfId="0" applyFont="1" applyFill="1" applyBorder="1" applyAlignment="1">
      <alignment horizontal="center"/>
    </xf>
    <xf numFmtId="0" fontId="9" fillId="5" borderId="1" xfId="0" applyFont="1" applyFill="1" applyBorder="1" applyAlignment="1">
      <alignment horizontal="center" vertical="center"/>
    </xf>
    <xf numFmtId="0" fontId="9" fillId="12" borderId="1" xfId="0" applyFont="1" applyFill="1" applyBorder="1" applyAlignment="1" applyProtection="1">
      <alignment horizontal="center"/>
      <protection locked="0"/>
    </xf>
    <xf numFmtId="4" fontId="9" fillId="12" borderId="1" xfId="0" applyNumberFormat="1" applyFont="1" applyFill="1" applyBorder="1" applyAlignment="1">
      <alignment horizontal="right"/>
    </xf>
    <xf numFmtId="4" fontId="10" fillId="12" borderId="3" xfId="0" applyNumberFormat="1" applyFont="1" applyFill="1" applyBorder="1" applyAlignment="1">
      <alignment horizontal="right"/>
    </xf>
    <xf numFmtId="4" fontId="10" fillId="12" borderId="2" xfId="0" applyNumberFormat="1" applyFont="1" applyFill="1" applyBorder="1" applyAlignment="1">
      <alignment horizontal="right"/>
    </xf>
    <xf numFmtId="4" fontId="10" fillId="12" borderId="4" xfId="0" applyNumberFormat="1" applyFont="1" applyFill="1" applyBorder="1" applyAlignment="1">
      <alignment horizontal="right"/>
    </xf>
    <xf numFmtId="10" fontId="9" fillId="12" borderId="1" xfId="0" applyNumberFormat="1" applyFont="1" applyFill="1" applyBorder="1" applyAlignment="1">
      <alignment horizontal="right"/>
    </xf>
    <xf numFmtId="4" fontId="9" fillId="9" borderId="1" xfId="0" applyNumberFormat="1" applyFont="1" applyFill="1" applyBorder="1" applyAlignment="1">
      <alignment horizontal="right"/>
    </xf>
    <xf numFmtId="0" fontId="11" fillId="8" borderId="1" xfId="0" applyFont="1" applyFill="1" applyBorder="1" applyProtection="1">
      <protection locked="0"/>
    </xf>
    <xf numFmtId="4" fontId="11" fillId="7" borderId="1" xfId="0" applyNumberFormat="1" applyFont="1" applyFill="1" applyBorder="1" applyAlignment="1">
      <alignment horizontal="right"/>
    </xf>
    <xf numFmtId="10" fontId="11" fillId="8" borderId="1" xfId="0" applyNumberFormat="1" applyFont="1" applyFill="1" applyBorder="1" applyAlignment="1">
      <alignment horizontal="right"/>
    </xf>
    <xf numFmtId="4" fontId="11" fillId="8" borderId="1" xfId="0" applyNumberFormat="1" applyFont="1" applyFill="1" applyBorder="1" applyAlignment="1">
      <alignment horizontal="right"/>
    </xf>
    <xf numFmtId="0" fontId="8" fillId="0" borderId="1" xfId="0" applyFont="1" applyBorder="1" applyProtection="1">
      <protection locked="0"/>
    </xf>
    <xf numFmtId="4" fontId="11" fillId="8" borderId="3" xfId="0" applyNumberFormat="1" applyFont="1" applyFill="1" applyBorder="1" applyAlignment="1">
      <alignment horizontal="right"/>
    </xf>
    <xf numFmtId="4" fontId="11" fillId="8" borderId="2" xfId="0" applyNumberFormat="1" applyFont="1" applyFill="1" applyBorder="1" applyAlignment="1">
      <alignment horizontal="right"/>
    </xf>
    <xf numFmtId="4" fontId="11" fillId="8" borderId="4" xfId="0" applyNumberFormat="1" applyFont="1" applyFill="1" applyBorder="1" applyAlignment="1">
      <alignment horizontal="right"/>
    </xf>
    <xf numFmtId="2" fontId="8" fillId="7" borderId="1" xfId="0" applyNumberFormat="1" applyFont="1" applyFill="1" applyBorder="1" applyAlignment="1">
      <alignment horizontal="right"/>
    </xf>
    <xf numFmtId="0" fontId="11" fillId="8" borderId="1" xfId="0" applyFont="1" applyFill="1" applyBorder="1" applyAlignment="1" applyProtection="1">
      <alignment horizontal="left"/>
      <protection locked="0"/>
    </xf>
    <xf numFmtId="4" fontId="9" fillId="12" borderId="3" xfId="0" applyNumberFormat="1" applyFont="1" applyFill="1" applyBorder="1" applyAlignment="1">
      <alignment horizontal="right"/>
    </xf>
    <xf numFmtId="4" fontId="9" fillId="12" borderId="2" xfId="0" applyNumberFormat="1" applyFont="1" applyFill="1" applyBorder="1" applyAlignment="1">
      <alignment horizontal="right"/>
    </xf>
    <xf numFmtId="4" fontId="9" fillId="12" borderId="4" xfId="0" applyNumberFormat="1" applyFont="1" applyFill="1" applyBorder="1" applyAlignment="1">
      <alignment horizontal="right"/>
    </xf>
    <xf numFmtId="10" fontId="11" fillId="8" borderId="1" xfId="1" applyNumberFormat="1" applyFont="1" applyFill="1" applyBorder="1" applyAlignment="1">
      <alignment horizontal="right"/>
    </xf>
    <xf numFmtId="0" fontId="10" fillId="3" borderId="1" xfId="0" applyFont="1" applyFill="1" applyBorder="1" applyAlignment="1" applyProtection="1">
      <alignment horizontal="center"/>
      <protection locked="0"/>
    </xf>
    <xf numFmtId="4" fontId="10" fillId="3" borderId="3" xfId="0" applyNumberFormat="1" applyFont="1" applyFill="1" applyBorder="1" applyAlignment="1">
      <alignment horizontal="right"/>
    </xf>
    <xf numFmtId="4" fontId="10" fillId="3" borderId="2" xfId="0" applyNumberFormat="1" applyFont="1" applyFill="1" applyBorder="1" applyAlignment="1">
      <alignment horizontal="right"/>
    </xf>
    <xf numFmtId="4" fontId="10" fillId="3" borderId="4" xfId="0" applyNumberFormat="1" applyFont="1" applyFill="1" applyBorder="1" applyAlignment="1">
      <alignment horizontal="right"/>
    </xf>
    <xf numFmtId="10" fontId="10" fillId="3" borderId="1" xfId="0" applyNumberFormat="1" applyFont="1" applyFill="1" applyBorder="1" applyAlignment="1">
      <alignment horizontal="right"/>
    </xf>
    <xf numFmtId="4" fontId="10" fillId="6" borderId="1" xfId="0" applyNumberFormat="1" applyFont="1" applyFill="1" applyBorder="1" applyAlignment="1">
      <alignment horizontal="right"/>
    </xf>
    <xf numFmtId="0" fontId="9" fillId="14" borderId="1" xfId="0" applyFont="1" applyFill="1" applyBorder="1" applyAlignment="1" applyProtection="1">
      <alignment horizontal="center"/>
      <protection locked="0"/>
    </xf>
    <xf numFmtId="4" fontId="9" fillId="14" borderId="3" xfId="0" applyNumberFormat="1" applyFont="1" applyFill="1" applyBorder="1" applyAlignment="1">
      <alignment horizontal="right"/>
    </xf>
    <xf numFmtId="4" fontId="9" fillId="14" borderId="2" xfId="0" applyNumberFormat="1" applyFont="1" applyFill="1" applyBorder="1" applyAlignment="1">
      <alignment horizontal="right"/>
    </xf>
    <xf numFmtId="4" fontId="9" fillId="14" borderId="4" xfId="0" applyNumberFormat="1" applyFont="1" applyFill="1" applyBorder="1" applyAlignment="1">
      <alignment horizontal="right"/>
    </xf>
    <xf numFmtId="4" fontId="10" fillId="14" borderId="1" xfId="0" applyNumberFormat="1" applyFont="1" applyFill="1" applyBorder="1" applyAlignment="1">
      <alignment horizontal="right"/>
    </xf>
    <xf numFmtId="4" fontId="9" fillId="14" borderId="1" xfId="0" applyNumberFormat="1" applyFont="1" applyFill="1" applyBorder="1" applyAlignment="1">
      <alignment horizontal="right"/>
    </xf>
    <xf numFmtId="4" fontId="9" fillId="2" borderId="1" xfId="0" applyNumberFormat="1" applyFont="1" applyFill="1" applyBorder="1" applyAlignment="1">
      <alignment horizontal="center"/>
    </xf>
    <xf numFmtId="0" fontId="9" fillId="3" borderId="1" xfId="0" applyFont="1" applyFill="1" applyBorder="1" applyAlignment="1" applyProtection="1">
      <alignment horizontal="center"/>
      <protection locked="0"/>
    </xf>
    <xf numFmtId="4" fontId="9" fillId="3" borderId="1" xfId="0" applyNumberFormat="1" applyFont="1" applyFill="1" applyBorder="1" applyAlignment="1">
      <alignment horizontal="right"/>
    </xf>
    <xf numFmtId="4" fontId="10" fillId="8" borderId="0" xfId="0" applyNumberFormat="1" applyFont="1" applyFill="1" applyAlignment="1">
      <alignment horizontal="right"/>
    </xf>
    <xf numFmtId="4" fontId="16" fillId="8" borderId="0" xfId="0" applyNumberFormat="1" applyFont="1" applyFill="1" applyAlignment="1">
      <alignment horizontal="right"/>
    </xf>
    <xf numFmtId="4" fontId="9" fillId="8" borderId="0" xfId="0" applyNumberFormat="1" applyFont="1" applyFill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10" fillId="10" borderId="5" xfId="0" applyFont="1" applyFill="1" applyBorder="1" applyAlignment="1">
      <alignment horizontal="center" vertical="center"/>
    </xf>
    <xf numFmtId="4" fontId="9" fillId="10" borderId="3" xfId="0" applyNumberFormat="1" applyFont="1" applyFill="1" applyBorder="1" applyAlignment="1">
      <alignment horizontal="center"/>
    </xf>
    <xf numFmtId="4" fontId="9" fillId="10" borderId="2" xfId="0" applyNumberFormat="1" applyFont="1" applyFill="1" applyBorder="1" applyAlignment="1">
      <alignment horizontal="center"/>
    </xf>
    <xf numFmtId="0" fontId="9" fillId="10" borderId="3" xfId="0" applyFont="1" applyFill="1" applyBorder="1" applyAlignment="1">
      <alignment horizontal="center"/>
    </xf>
    <xf numFmtId="0" fontId="9" fillId="10" borderId="2" xfId="0" applyFont="1" applyFill="1" applyBorder="1" applyAlignment="1">
      <alignment horizontal="center"/>
    </xf>
    <xf numFmtId="0" fontId="9" fillId="10" borderId="4" xfId="0" applyFont="1" applyFill="1" applyBorder="1" applyAlignment="1">
      <alignment horizontal="center"/>
    </xf>
    <xf numFmtId="0" fontId="9" fillId="10" borderId="1" xfId="0" applyFont="1" applyFill="1" applyBorder="1" applyAlignment="1">
      <alignment horizontal="center"/>
    </xf>
    <xf numFmtId="4" fontId="14" fillId="10" borderId="1" xfId="0" applyNumberFormat="1" applyFont="1" applyFill="1" applyBorder="1" applyAlignment="1">
      <alignment horizontal="center" vertical="center" wrapText="1"/>
    </xf>
    <xf numFmtId="4" fontId="17" fillId="8" borderId="0" xfId="0" applyNumberFormat="1" applyFont="1" applyFill="1" applyAlignment="1">
      <alignment vertical="center" wrapText="1"/>
    </xf>
    <xf numFmtId="0" fontId="8" fillId="0" borderId="1" xfId="0" applyFont="1" applyBorder="1"/>
    <xf numFmtId="4" fontId="8" fillId="7" borderId="3" xfId="0" applyNumberFormat="1" applyFont="1" applyFill="1" applyBorder="1" applyAlignment="1">
      <alignment horizontal="right"/>
    </xf>
    <xf numFmtId="4" fontId="8" fillId="7" borderId="2" xfId="0" applyNumberFormat="1" applyFont="1" applyFill="1" applyBorder="1" applyAlignment="1">
      <alignment horizontal="right"/>
    </xf>
    <xf numFmtId="4" fontId="8" fillId="7" borderId="4" xfId="0" applyNumberFormat="1" applyFont="1" applyFill="1" applyBorder="1" applyAlignment="1">
      <alignment horizontal="right"/>
    </xf>
    <xf numFmtId="4" fontId="8" fillId="8" borderId="3" xfId="0" applyNumberFormat="1" applyFont="1" applyFill="1" applyBorder="1" applyAlignment="1">
      <alignment horizontal="right"/>
    </xf>
    <xf numFmtId="4" fontId="8" fillId="8" borderId="2" xfId="0" applyNumberFormat="1" applyFont="1" applyFill="1" applyBorder="1" applyAlignment="1">
      <alignment horizontal="right"/>
    </xf>
    <xf numFmtId="4" fontId="8" fillId="8" borderId="4" xfId="0" applyNumberFormat="1" applyFont="1" applyFill="1" applyBorder="1" applyAlignment="1">
      <alignment horizontal="right"/>
    </xf>
    <xf numFmtId="4" fontId="18" fillId="8" borderId="1" xfId="0" applyNumberFormat="1" applyFont="1" applyFill="1" applyBorder="1" applyAlignment="1">
      <alignment horizontal="right" vertical="center" wrapText="1"/>
    </xf>
    <xf numFmtId="4" fontId="2" fillId="8" borderId="0" xfId="0" applyNumberFormat="1" applyFont="1" applyFill="1" applyAlignment="1">
      <alignment horizontal="left" vertical="center" wrapText="1"/>
    </xf>
    <xf numFmtId="4" fontId="17" fillId="8" borderId="0" xfId="0" applyNumberFormat="1" applyFont="1" applyFill="1" applyAlignment="1">
      <alignment horizontal="left" vertical="center" wrapText="1"/>
    </xf>
    <xf numFmtId="0" fontId="10" fillId="5" borderId="1" xfId="0" applyFont="1" applyFill="1" applyBorder="1" applyAlignment="1">
      <alignment horizontal="center"/>
    </xf>
    <xf numFmtId="4" fontId="9" fillId="5" borderId="3" xfId="0" applyNumberFormat="1" applyFont="1" applyFill="1" applyBorder="1" applyAlignment="1">
      <alignment horizontal="right"/>
    </xf>
    <xf numFmtId="4" fontId="9" fillId="5" borderId="2" xfId="0" applyNumberFormat="1" applyFont="1" applyFill="1" applyBorder="1" applyAlignment="1">
      <alignment horizontal="right"/>
    </xf>
    <xf numFmtId="4" fontId="9" fillId="5" borderId="4" xfId="0" applyNumberFormat="1" applyFont="1" applyFill="1" applyBorder="1" applyAlignment="1">
      <alignment horizontal="right"/>
    </xf>
    <xf numFmtId="4" fontId="9" fillId="5" borderId="1" xfId="0" applyNumberFormat="1" applyFont="1" applyFill="1" applyBorder="1" applyAlignment="1">
      <alignment horizontal="right"/>
    </xf>
    <xf numFmtId="4" fontId="14" fillId="5" borderId="1" xfId="0" applyNumberFormat="1" applyFont="1" applyFill="1" applyBorder="1" applyAlignment="1">
      <alignment horizontal="right" vertical="center" wrapText="1"/>
    </xf>
    <xf numFmtId="0" fontId="20" fillId="0" borderId="0" xfId="0" applyFont="1"/>
    <xf numFmtId="40" fontId="10" fillId="8" borderId="0" xfId="0" applyNumberFormat="1" applyFont="1" applyFill="1"/>
    <xf numFmtId="0" fontId="10" fillId="0" borderId="0" xfId="0" applyFont="1"/>
    <xf numFmtId="0" fontId="12" fillId="0" borderId="0" xfId="0" applyFont="1" applyAlignment="1">
      <alignment horizontal="left"/>
    </xf>
    <xf numFmtId="0" fontId="12" fillId="0" borderId="0" xfId="0" applyFont="1"/>
  </cellXfs>
  <cellStyles count="2"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9BE3F3-304B-4B05-91AD-1D802C9D7B8E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6B66DD-5F5B-4D1B-82E2-155BBBCA9E0B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070D5C-553A-4E24-91E8-0799DA354D82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852789-766A-4EC7-A964-7E7CAF050B3D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A707FC-B820-4006-8AC6-53175AA22A4E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CB5564-10DE-4906-89D5-5C2182953866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A8E9C2-91E8-407F-8866-51AA620D5F03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008FA7-9099-43CA-B2D6-1569A476C737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714375" cy="304800"/>
    <xdr:sp macro="" textlink="">
      <xdr:nvSpPr>
        <xdr:cNvPr id="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A86878-AA7A-4AA2-B121-5A9215041D66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086AFD-3A82-4020-85EB-ADAE9094B211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876314-9BC2-4DE9-8B1E-20D30AFFB22D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7D2227-0435-4282-8C04-4DAAE568E72B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535276-C602-4821-A4FE-59238BE91C8E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C2F4C4-BF11-4C0D-937C-183DEE684116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714375" cy="304800"/>
    <xdr:sp macro="" textlink="">
      <xdr:nvSpPr>
        <xdr:cNvPr id="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86D748-DACA-4958-BB06-9328EA25DD34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FFD97A-9D23-481E-AD31-8A225387678C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A29879-58FF-4B30-9757-A9CEB6600528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813965-2D99-43C0-8225-C96253ED6FF4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250F3B-2028-4FD9-95A8-E0978E8C8433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15B18A-6024-47BB-BDD3-FE5E42FFD84B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1C87E4-04B8-447F-86A7-750A200B77B7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5E5865-0C37-477B-93CF-11365ED3294E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14210F-7912-45FC-BCA5-40302094F38E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274061-0568-4811-816C-4FA6411EA584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1D7BB1-B477-40EA-956C-D5AD297DEB0A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E14AEB-B692-4A32-B603-4B853D0A6A7D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FA9D5D-537D-4464-BDE9-FE4FFED9E66C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B85688-B390-46BF-840D-B1C92A29A256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B06A6D-32DD-4C7E-AFE7-0D277F168EAC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0A7F4F-2433-4E2E-96A0-28D4FC17F696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09325A-9A1C-42D2-B45E-490DF57BACB9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71AD29-9432-4D68-A51C-9316A72D1CB1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642C5E-A5D7-492D-8B86-D794F048A3D5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51FEFC-7F72-4A26-B40D-9736434DA436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5A458B-E18A-4568-816C-36429DCE7CCD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714375" cy="304800"/>
    <xdr:sp macro="" textlink="">
      <xdr:nvSpPr>
        <xdr:cNvPr id="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B7D237-E6C6-458F-8AA2-95F350090B5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E9A22E-20A7-48F8-AD46-F5017E14F4D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625E48-1C1F-45CA-A6CB-00A4D56B108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7D3A3A-465A-4DC2-8C06-D1737B7EAE5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1C548E-3052-415C-A365-E820C0E2616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355449-727B-4CBA-A35B-DE27C1E1FF6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714375" cy="304800"/>
    <xdr:sp macro="" textlink="">
      <xdr:nvSpPr>
        <xdr:cNvPr id="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09F7F7-5902-45C2-A53F-FF46AE0337C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F14009-0FD4-4699-95CD-39250B59F0F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94AB41-F0D5-4352-974D-E8C9424837E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4FB15E-1060-4C41-90ED-D9F9DCA463A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93CE74-E979-49BB-A48F-55D7D677AAF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C9DFE0-1997-4701-BEC3-9E28771CB87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FF1009-D17D-4538-8C31-1149D89D9D7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C01647-5C90-4F09-B5D3-7A49FFA03F8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56C39D-8760-4041-AA75-4927AABD24E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7EECAF-AFD0-4917-8B41-CA01E7A1237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3C4981-32FF-4C8C-BDC6-B24723080CB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714375" cy="304800"/>
    <xdr:sp macro="" textlink="">
      <xdr:nvSpPr>
        <xdr:cNvPr id="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A6A9D2-E86A-40C7-8FA8-26AC53B34C3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79532C-F514-464C-A7F2-46AAE2B74BE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B1F14D-CC89-4F5D-A828-A2488579681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2772C4-11EF-440F-A59F-89526E4A191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9F2B53-33F8-4CC2-9E54-EAA98D7BAC9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4B23A2-C042-4F1C-A0BF-D334057C23C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EDD68D-1852-4027-B920-C358F2B0330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7F8CA8-9247-4F28-ACC8-180C29D9EB5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82EE33-F672-4256-90A7-D369FB827BE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B6EE6A-BB03-48CB-994B-B36842B7CA8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41EC72-A1D2-445E-90E3-F1AA4B859A2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C7B9E9-B538-4CDF-B399-D13896F65ACB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4F918D-9FD7-4270-94BC-C79BFB19AF82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44C402-90B1-46DD-A110-5F4B9DBF45C1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15C768-F427-44D8-9613-E664B36432A9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3DCCBB-0F5F-47BA-973D-3EFD5A2FDFED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EAC1DD-4506-4401-B67D-8DCCF0420395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A6E6F1-7EFD-450F-9228-E7592620FDEC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62AEAE-EBB1-4E42-BF0D-0BA556578364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714375" cy="304800"/>
    <xdr:sp macro="" textlink="">
      <xdr:nvSpPr>
        <xdr:cNvPr id="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744DFF-005C-46A1-9BD4-CA15184FA88E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A7369D-2901-4E87-8570-5292913236F5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D83F95-3F11-492D-9833-E3A187B633D1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3098CD-7C4C-4E89-A9C3-457924875C17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DA2024-7CFA-4E6C-B514-FC2087FF3957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5D53D7-2700-413C-A901-11B7E496C2A9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714375" cy="304800"/>
    <xdr:sp macro="" textlink="">
      <xdr:nvSpPr>
        <xdr:cNvPr id="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B96AD7-91F0-49EB-92C8-DCB2EB29641E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544CFC-5F4D-4790-9017-F11A5DD9D7FE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54D87B-E969-4260-8908-54BAA2B91967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11A43A-6C4B-425D-A007-35B082CD743E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01A6D2-8DD8-4DE7-9935-A833707EE591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F952F5-D064-4E3B-8217-6ACCB5AE5BFC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3B1666-4593-41A3-AC74-BC91C42CC804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0E475E-3F18-41BE-9ED5-4200DBCAF961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B571DA-26BA-41B5-AE8D-B20CB23B01EB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E75A8C-2940-4DAC-846B-D87F795FFFAF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AFEF7D-D080-4623-B24F-87991E9D784D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08D7F5-A175-4C44-8C05-51E50ADBA23B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E017CF-DD3A-41D9-BBE4-F527F88B073C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A94877-B320-472F-BCD3-A99536E04636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C0BBAE-F411-456D-920B-ABA45D7BDB41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A71C93-4112-4C3F-8AA1-6B0DC4D55B61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9163AD-639D-4D80-BFE6-B7AF91E41086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13F684-6C97-4C0D-BE0F-76FB3E03FCB5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33878D-61F8-463B-B327-8E2F5BF9A462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98E151-F32D-4FCF-818A-E4DAC8E6145A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839C54-47F9-4E53-BD04-68F6175C96DE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714375" cy="304800"/>
    <xdr:sp macro="" textlink="">
      <xdr:nvSpPr>
        <xdr:cNvPr id="1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8F9575-78FC-4BD5-ADFA-79028B43DF3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1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A0398F-3D30-4B18-B075-A7766D50B22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1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A25487-C63B-4061-BA12-7556D3292A3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1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926B4A-1188-47D7-BB67-A1DF3B09743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1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24D0ED-9D86-47BA-B564-7FECAB92BC8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1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665A5F-851F-4B28-816A-CC4F5EDE58E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714375" cy="304800"/>
    <xdr:sp macro="" textlink="">
      <xdr:nvSpPr>
        <xdr:cNvPr id="1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6E308B-E0B1-45BB-A996-D937C0D8E48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1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AEE35C-C7B7-4B73-98F6-B06F488B1B3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1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11E127-0F7E-4FA2-A208-25365FC64BE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1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8E677D-95E9-4ED6-9DDE-1A83F00D337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1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D56D87-12B7-4651-9CC1-1D402F39ECE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1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DFD0C0-F705-49D4-B9DB-5B536397530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1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36E794-7B9A-4268-85C6-2C3BA3C70AC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1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C83FED-5F38-44C5-AAC9-30013F94C2C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1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7DAB22-75C7-463B-9939-E6B07FF0F36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1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3FB27A-C3A7-459E-83AD-4C5C45F6830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1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4A6D0F-5A55-4AE0-8F70-667D3FA8880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714375" cy="304800"/>
    <xdr:sp macro="" textlink="">
      <xdr:nvSpPr>
        <xdr:cNvPr id="1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31760E-DF89-49D0-BCFC-F06A10120A0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1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36329D-1473-4D0A-B023-F54779FDF73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1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2255DA-1E44-4F9A-89B5-ABEC87810B6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1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A308AF-7583-4283-84B2-A8D3E0EE9F2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1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39450C-DCA2-431C-B71C-FA4867E221C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1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68612E-83E2-4808-AA36-9A536F34FF0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1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A6481D-7076-4DBC-992A-BAD5CCF7775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1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A1802B-1807-48EB-85BF-C34A4E7819F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1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C48527-42C9-421C-8F58-372FCF1C807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1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DB71CC-1527-46BD-8A26-65A530E8C7F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0</xdr:col>
      <xdr:colOff>28575</xdr:colOff>
      <xdr:row>0</xdr:row>
      <xdr:rowOff>28575</xdr:rowOff>
    </xdr:from>
    <xdr:to>
      <xdr:col>12</xdr:col>
      <xdr:colOff>191954</xdr:colOff>
      <xdr:row>3</xdr:row>
      <xdr:rowOff>133790</xdr:rowOff>
    </xdr:to>
    <xdr:pic>
      <xdr:nvPicPr>
        <xdr:cNvPr id="127" name="Imagem 126">
          <a:extLst>
            <a:ext uri="{FF2B5EF4-FFF2-40B4-BE49-F238E27FC236}">
              <a16:creationId xmlns:a16="http://schemas.microsoft.com/office/drawing/2014/main" id="{33DA9ECC-506C-4334-9B6E-240AA62C39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28575"/>
          <a:ext cx="7392854" cy="676715"/>
        </a:xfrm>
        <a:prstGeom prst="rect">
          <a:avLst/>
        </a:prstGeom>
      </xdr:spPr>
    </xdr:pic>
    <xdr:clientData/>
  </xdr:twoCellAnchor>
  <xdr:oneCellAnchor>
    <xdr:from>
      <xdr:col>28</xdr:col>
      <xdr:colOff>0</xdr:colOff>
      <xdr:row>5</xdr:row>
      <xdr:rowOff>0</xdr:rowOff>
    </xdr:from>
    <xdr:ext cx="714375" cy="304800"/>
    <xdr:sp macro="" textlink="">
      <xdr:nvSpPr>
        <xdr:cNvPr id="1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086149-B4B5-4AEE-9A55-8B84F390D9F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9FD208-573A-4AD2-9F51-803C231E997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132388-EBF5-4524-98D8-DAAC7A9FB07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0F0908-247E-461F-B191-F64782381C7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45FD42-CE20-44C3-AEEB-A0DE3D45CCD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645E3A-18ED-4A9F-B58A-8609FD51A29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714375" cy="304800"/>
    <xdr:sp macro="" textlink="">
      <xdr:nvSpPr>
        <xdr:cNvPr id="1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E11CA6-2AEF-493C-8925-D66074BA5FB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7EA468-43D5-49EB-9F63-4A572345100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A47ED4-3987-49D8-B722-E9C8884F43E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AAA79E-EE95-4EE0-B201-51A265314DC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F74049-654E-4514-BCB8-F51565AFE70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686019-4B58-4A2D-9364-EE63EADF5DB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4F0512-381E-4DF4-8F0B-899A648E8BE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283327-7851-4473-BBA7-579866FC78C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0CE11A-F182-4C30-A8CB-91DB44C411F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54CA04-3E1F-4A39-AAEE-0CA23EF68FD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B039CF-DB33-4997-8841-6E1B8A281A9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DBB905-C2E4-419D-9A95-44B69789EC4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1543ED-CBD8-442A-A777-8FC3B685B21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00B9DD-B9F1-417D-AB22-087F3882D2A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AF2182-3369-41AD-859C-FA0DD67E1B66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2F6305-DAC9-4791-B07E-550ABADA64B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DA5BAB-6D35-4AA4-B98D-069352A3B47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4287C8-315E-4D75-912E-F8901BA51AE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FB474C-E39B-4DBA-9E28-5116F9F002B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335297-7466-4387-9D36-19897A2375A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9125DA-C45F-4F47-8D46-91A18A22DAF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714375" cy="304800"/>
    <xdr:sp macro="" textlink="">
      <xdr:nvSpPr>
        <xdr:cNvPr id="1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B5EBCE-68F3-4342-9881-DCE03DDC2DF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BFBA22-7C83-40CB-9D59-5894282C06F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240CD3-91CB-48F1-93D6-EC288E5F4EE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AB539F-B5E9-43DB-A8D7-D53D49D20D2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2D38B1-0A2B-4D85-8729-8F2E8F43403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AA812F-D797-476B-8BE8-027C13BF3C3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714375" cy="304800"/>
    <xdr:sp macro="" textlink="">
      <xdr:nvSpPr>
        <xdr:cNvPr id="1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100421-52B5-43F8-8E19-97ADC6453D3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5A0ED3-5D3C-41C9-A46A-A1966166FB7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101781-9F44-409D-AE4F-340D800FBEB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43EABC-319F-46A6-BCCD-61BC685F646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F31A37-6821-424A-947D-3E35DC58DD5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A77538-B261-4323-B1BF-04649E5E5E0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049B8C-FFFD-4833-9CF9-94F43164CA4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48BB67-BE05-4A99-A67D-0B3F6581C73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D1CF52-4CAA-4B79-84B6-FED8FF2D364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34D759-13A4-4CFB-8D1D-DD1F97DDE3F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43DF37-7AC3-41C6-9760-1D8CF0C2933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1BCF4E-B224-4377-862E-AA5231250B96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33507D-7665-485F-8EC8-CAB1F0FCEE9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2E6DA2-3CDE-40CB-ADFA-A1AB7D405F7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5F3912-F110-464B-BAC3-942C7F7677B6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F777EA-50DC-46DC-A673-A995D55293C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3BFCE6-0F69-4585-A8DB-091250EC39A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AC8D7A-BC08-43FA-B695-800F95142BD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57B074-A436-4E0F-8138-6F3F735EF846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1DFA02-D8C0-42D3-8945-033E308C0BA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286665-8BCD-4E98-9586-6CC7C6E3A31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714375" cy="304800"/>
    <xdr:sp macro="" textlink="">
      <xdr:nvSpPr>
        <xdr:cNvPr id="1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1CF811-19DB-40B7-8659-90E839ECB030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1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0296D3-600B-4122-B2A5-3AF71901210C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1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47F93D-AFDF-4C99-AA8F-21D372C0A685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1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96DA88-A1B8-43C5-8AF1-7363BBC5A9E9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1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B3B44B-9BCD-4B9E-A6CB-937DD9B4DBA2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1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D5E57D-A005-4769-90A7-2D7576962941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714375" cy="304800"/>
    <xdr:sp macro="" textlink="">
      <xdr:nvSpPr>
        <xdr:cNvPr id="1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9E71A3-DC6C-4C84-8680-AB64E5E8FDBE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1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2C1EB8-6BB7-4158-90B1-8FB5B459EE51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1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C6EC38-42F0-4ABC-AE0E-C0FAF3F91C66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1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88A15B-EF26-4282-B0DB-9692A6867E04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1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DB6138-B168-49C2-B2F4-F69E12137C06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1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E01444-BE15-4259-A421-FEE5F22A93EC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1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CCB4F6-98EF-41E7-971A-F92EF09E5988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1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6C9AB2-1622-4DD1-91DA-8617C5339A93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1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AE33FF-85D6-42D8-BB5F-EFA1721BA5CA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1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E204A5-7F64-4D64-90A1-599F661F13B8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1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08450F-B979-483A-B0AE-76A8359EEC0F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1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3520D2-A2CB-4175-9428-96C74AFBEDB2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4293EC-F8B3-425F-A6EE-7120BDAF8070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0E910B-D626-4C3D-8616-D05D1FC8786C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413460-5D42-4B2B-9B81-C931518B0A6C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16DC03-90D9-4564-8398-E811AB733909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CEACEF-6927-48FD-8F80-2A02A1BE7FFE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9B5B99-3484-496D-82E0-749946888B84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F5084B-D48C-4987-A6B3-002AF7A8D1AB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B5EFE6-9431-4CB0-AB1E-A1D5485834EA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312651-1D94-4DD9-874B-A3ED74BA8250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714375" cy="304800"/>
    <xdr:sp macro="" textlink="">
      <xdr:nvSpPr>
        <xdr:cNvPr id="2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EC98F7-D98A-416B-955A-511B967B7DE3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E386A8-8F23-4C59-8A63-616EF4A51F69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31F9D4-D78A-4F16-BAA7-AA641EE7C21C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B46B5D-1955-4E15-BC25-049ECBAABCE3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24E366-A8CA-4E2B-9525-802872F6FF73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0715C9-C620-4AB0-A9D5-AFEE26142F8A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714375" cy="304800"/>
    <xdr:sp macro="" textlink="">
      <xdr:nvSpPr>
        <xdr:cNvPr id="2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2B179F-A986-4BDB-BF8B-E272F49B3D79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1CDDBE-0099-4394-843C-C53F8003A318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265E27-2B78-4B56-B2F0-EF6E54A67255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60ADBF-683B-4AB6-BE30-0B9F7C997012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CA90CF-BC0C-4909-BE55-2744667F58F5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07220C-9AE5-471A-A78F-1B4FF2FA5280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0E1E81-A022-4EA5-AC5E-10CB2244FD18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FBEBAE-11C4-43A7-BD92-7E95EDAB14D3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4DA768-2FC2-4B05-B916-274E7F9A62E4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BE7C67-A51C-4D88-8E2E-8457FDCB8188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5AC4D2-A2D5-4060-9154-A7721A44ABBC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521AFB-6558-42C7-9E08-52EA797986CF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E6232E-2310-4A47-B6A9-CA18244745E5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2EE680-70A1-4271-A001-2C757AC3BAF9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462D37-E483-43FB-882B-5CF78971BBBB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AB2F7D-EADF-437A-AD61-436B92D3040E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72408C-5141-40C9-B32A-F071D1047D5A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A6EF3F-434D-4EC5-B81E-06D3974E9971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B6ED89-2E1D-41FE-B3B8-A18A8E6CE7CA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C9CD8C-CB3E-4334-A8ED-5D3CC8618072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EC4C31-75A6-499E-A092-F5853CFBF170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2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5212AE-34DE-4AFC-89AC-5FE449CCBF9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F848EC-DF91-434E-A14B-BE677209446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8F086A-FAE6-4397-A6B6-EE9D60EE6BF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AFDFB5-4607-434B-909A-64647CDCD2A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9B4A8B-A63B-408E-BD35-52362EFB790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E75470-E100-445D-ADB6-065EC3B7D3B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2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784415-906F-427E-8829-62B6B347750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5A3217-7C47-4DCB-9F22-B43C7495B88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4E8CE7-5860-4273-8B1F-AB133B359F0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F2772A-0662-4584-B5B3-936FDA28F95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18E11C-180E-4040-921D-F684CD83898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B9B464-E128-4E51-9C90-823AD9A0629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5006F7-D0EC-4601-8ADE-CDE1C0F54DD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D5A2A9-92D1-4C82-ABE6-1D5F36B0D89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8506EE-FB0A-4DF4-979C-F5A60A78265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0AF9F3-7E8D-44BA-A234-B6099492CBD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8159EE-E394-4C4D-B7CE-5B1599F6397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44C03C-2875-41E1-8FCC-B14C6321CAC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A067A6-70AC-4B3A-9104-8FB1BC3ED5B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4A4C1B-8933-4442-BA50-8693561667C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B99020-83D8-4700-B9F1-2F4D2B36282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78CF58-3F81-49BE-9F75-D8EAA5D094D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1EA40B-D2D0-4432-9F8F-4921F6B6B73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D95C4D-FA3E-4E03-94D5-0FFB4B37B59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E0CE6D-AA77-41DF-B9CC-7E06ECE1056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B0DB60-095B-4F52-B826-CAEEB1614D9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BF082F-C0D9-4579-A09F-CF0FD9076A8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2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7A147F-330C-4841-9FA0-793D52EFCB1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6A229F-D67E-4765-81A4-5132AD47894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F65A9A-4417-4EB7-96F5-29287D5CDBC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17AB6D-327A-4A84-A4C9-1F924E3CFDB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BE4E8C-7B21-451A-9549-760DB907356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0974A4-00DD-4E59-9356-649A4A25BF5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2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B4B947-B426-42A5-AAEC-F633C1B14F8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BD0194-1459-4B8A-AAD6-7F7BC0A3F09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D9822B-5841-414D-9198-664CC46D606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83F41B-3CCA-4104-88CA-6F6EB481AC6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1E94D3-3E62-4C8D-A67B-BB8F0D7988D6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ED662F-EF59-4CFF-8302-AD618BEAC1D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E982D8-B365-474B-BEAC-77A4C956648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8349E3-5967-4815-8B32-3B37372B0E8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F45D6D-F880-4A9B-8F34-463144D9D27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483CD2-846C-445F-8690-137657C14AE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CEECB9-CC61-4634-A832-E7A125B5A75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0EA347-E487-4301-9ED7-C9E61742582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2DBB6C-C946-4E24-90F5-04F7E27CDF2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F75DAD-9D80-4D4D-8B88-F0C1330695E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2F2E3C-6118-4E66-A811-FFFAF372649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D51557-5696-46C5-BF94-0850DB12242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FB05FB-86E8-4418-AF34-8FA3A88C444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E6391A-6152-4F37-B6AA-DC1C38D767C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6F1F17-6AC4-462A-8483-850853E634A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425D39-A6FE-4BAA-9BA9-1F6AD3CAF89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C05CB8-CA66-4D4A-9A44-E12CE0B608F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714375" cy="304800"/>
    <xdr:sp macro="" textlink="">
      <xdr:nvSpPr>
        <xdr:cNvPr id="2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EF6E7A-98E0-4855-8198-FE7DAAEF8DB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7D1651-5EAB-4BFE-A2B0-E0EAD8B547E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5A30E0-FC1C-46D9-B0DD-390F09823F28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0FC000-119C-4315-8A53-DFE1130BBD36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F6D964-9622-44D9-B17C-D2A82B02158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86DEB6-FE2B-4F57-B9BF-7F4DA1735C36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714375" cy="304800"/>
    <xdr:sp macro="" textlink="">
      <xdr:nvSpPr>
        <xdr:cNvPr id="2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DDB572-D035-4B09-842D-EA8C248E765B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CF28C5-FEA0-4B84-B541-F79A6ADADEC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79E82C-213D-4F01-BE76-4B194D9EF679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C243C1-B3F9-48D6-B172-353202D150A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3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2D39D6-D6D8-4C31-913C-88F0BA233EF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3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84309F-A125-410C-9F8A-6C57DA81B8A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3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9A5A59-DAFE-487B-A826-A432A4CB44B9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3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29D08D-62A0-48B9-853B-FF1356EE2754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3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142FF7-036B-4921-A479-C81A71696C66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3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B963CD-94BB-4DA5-9589-CCC23E85300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3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9676CC-9265-42AD-850E-1571CE554D9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3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241C31-8E12-4252-87F1-20630ADCA43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3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48AA0C-9FB3-444B-82ED-6B431BB0962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3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EC29AF-E2BA-4060-86C3-5FBFE4E05E28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3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B1BA5F-560D-4541-B8C1-0328E4FFF9A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3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03D392-31BE-4FFD-BC76-A780B4C586A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3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D5DFE9-C8C3-4C35-BB69-AC30AA739026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3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9601F0-3B17-4BD9-9DF6-EFEA1B8F268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3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ACCEFE-3AB6-4B51-9663-306913C913F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3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46107A-EAF8-4C35-9CC3-05777871599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3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7B3700-5A25-4E35-ABE3-D06A58CB53CB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714375" cy="304800"/>
    <xdr:sp macro="" textlink="">
      <xdr:nvSpPr>
        <xdr:cNvPr id="3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218340-E3E3-4BC7-9FA1-FE4AFD00FA73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3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BD74B9-19EC-4897-B058-8A62C36AA3B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3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0A7A34-70F4-4413-915A-33D01913970B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3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82D878-9B5A-41B2-9ACF-798C2251580A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3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268CB5-FB63-4928-99BB-8FB885D32FD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3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84CD35-E09E-476C-AA53-873A4FFF7A5D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3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034033-517D-4A19-9C9D-79E2688F065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3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F36EC8-8635-459F-9319-04327372433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3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EB285E-DFE9-4F66-9767-FB5D0751223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3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35E452-4DAA-496C-B248-98F0F81AB314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3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E62CE6-02E8-44BA-9D47-42F25B12FFF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3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54B1BC-8666-4EFB-BDEB-852049DB017B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3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D1A735-30B7-485A-98EB-0AC3023CFCB4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3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85C63C-D44E-4782-AA5F-0C0360BC718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3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677949-023E-4540-A7C9-D6452D50F793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3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1EAA86-51F5-457E-838C-7D0614F3A129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3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4F6339-6011-44A0-98FC-DDD91353A53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3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6CEAD7-8C4F-4B0D-BE2D-6578169E5DE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3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BE2AF6-8D12-449B-BB0C-C39B9AF724E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3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4F3D5F-6866-41F6-BFDA-09EF7F80FF44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3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ACBA21-01C5-4887-A00B-E2EF3B061304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3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3E1BF8-8A0D-488B-97CA-6C4D3561629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3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AF90D6-2833-41F4-9EDA-BB73EFF61C1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3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1AB653-3C12-4912-A832-4CEA708D5B34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3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66FB82-B17E-4978-A8A3-613775CEC4B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3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A6EA4D-C24E-47CA-9904-682270ABD94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BBD4BF-DF2C-47E8-9449-1A75B3700DD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2E8C26-BCB8-437F-ADC3-D2528AAE065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074E58-0076-4989-AB16-CD8CE396D35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F5F296-D926-4582-8CBB-FD6DDD47FE8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2BC516-E1DB-403D-B0F1-ADD62387965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3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CD309A-6953-4527-8A99-54F5C67E6D4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569123-3D36-4DAE-8CC0-DC7870269BF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146DA1-497C-461D-AC5E-B5FE6FAF017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066759-E624-41FC-8926-7BB25BE9C8D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931804-FDAE-4392-B766-0CE712FEC73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CD7AFE-4D44-4709-87E2-24B86D82393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7929F2-C0F4-4097-A1C6-520A8BC6129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ADB938-CF38-427A-AADD-AABA052A2F3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B54B36-28E7-49C6-8CCF-B62390D0F3B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3368AB-7932-429D-A09A-F3C7AA63939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D8DAAD-6E3E-402C-801A-FD3D78177B0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158493-1F3C-4DF0-83C1-3A186F04780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DB09B0-C477-40AC-B916-9ECFE7DD22F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4B68B3-DB51-46BD-93F6-3545605E969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8F86A4-CFE1-4807-98FF-6EF2BE7BFC9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2B6624-5CAF-4F73-9B78-B13E628144F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92FEF4-6911-4F10-BB6C-8DB0A123B9E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E60D0E-97DD-49FE-98B7-51A676A8044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441980-6AFA-4411-8016-773401C68A9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82F4A5-DFE2-4944-AFF5-D370A77D74C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1F8743-E945-49B4-A497-5CC36CA5DC9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3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B9CB9D-CDCE-4E88-AFB6-6EC489BE64E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B06933-A666-4C57-81BA-6E7510E60FE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E5C643-1BB5-4EE9-91CE-8FBC037810B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3F0E41-A92B-44D8-8439-5714ADEE9B9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7AAFDA-D3FA-472D-AEEF-E87124ECF62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1E57D9-1163-4BDD-BF2C-36E05A7A7A0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4ECC32-B33B-40F4-93FA-FD1DFBA2AB0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72CF07-834F-4F1F-BC78-51A1A5224A6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BDFE52-285D-4F02-9B6B-626FE6CD026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7BEEA9-18B2-452B-9F56-E43F4597E3D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AA1343-9C75-4A69-B4C5-BD9394E924D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B0AB27-D7D5-4C27-84F4-17E80975C76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B6D56F-80D9-408F-B774-64399F7ACE8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862227-C71D-44A1-A081-BA38A86E177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03E3C6-D165-4BBC-9065-F249ED9AA84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22960A-3FAB-4938-B343-2E58F20AE13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C72C0C-F41F-4652-86D3-7325A1FC415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0098A1-7138-436A-98F8-9146D40A837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31969E-3A61-444D-95E3-63B4DCF297A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533E74-C252-492E-8775-58F02D80C0A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64B781-26C8-44DB-ABD5-914AB0338AC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01D406-2959-471E-A80D-F438C69E683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5E1522-1EAA-41E4-BA2A-7B2B413C700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5C2E05-4523-4708-8FA8-177263078EB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FAEA42-ECBB-49DC-BBD7-A1891493E3A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58AFFA-DC03-41E3-80BD-1310CCE3FEC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C08049-E802-4A1C-A0BD-C0FF2A655D4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23D140-6EE9-4A33-A7C9-E6D67323582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D8D402-A0ED-461E-B055-A7F8D71770F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107A62-0815-41E4-BA3D-2648F938493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87A46D-B3A7-480B-A550-9BCEFCBC57A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661F6D-AAAB-4358-B716-3448FC58ACB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CFDBDB-43E2-4711-8F32-C825B9A85CC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C39FDB-CBFB-404F-91F0-CDAA5E5EF96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FCFF8D-5438-4F37-9929-92C1F9A3BA7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DFD27A-FBF8-4827-BF0B-352ED4B123B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DB75B3-5EA1-41B4-84F3-BA99972A8EF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362877-1154-4A82-9903-17A82D6894A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E473BD-5107-4AA2-B9D2-AF1584C3145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E262BB-0CEF-4E40-91F8-5DE6646572D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916EE9-D90E-4CEB-A31D-7B08FE4E753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247502-273D-46AA-B465-0E98360BFF6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5ED097-7F31-4BB2-BF1E-11D90E51B53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F5E319-32A7-4114-AD18-79DC232024C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FF5511-8F3D-4976-8020-7C76F7CAE52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5D620C-4CA6-47B0-8934-C7DCBFEB3F0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72F4F9-299D-456A-826B-0B2B647DBA8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33A72B-3FC3-45AA-B1DB-4E6B4769CB4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C6ACEC-E8E1-4966-BAEC-211FF06650C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BEDD89-260A-4401-AC98-B7BBF727B45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0CF92F-4DF8-4423-AC46-8D4A8F10EF5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2EA845-9004-43E8-9669-E3F3CD070C9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721054-0AD6-42DF-8E4C-8420914AC8D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8E974A-A884-4D22-A0BD-EF1BA3A7954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D3A8FB-BF6E-49EF-AFE2-F9195705AA6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9FE26B-ED95-4B5E-946E-3EFD13C358C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4784EF-8889-48F9-BB09-444B40DB9C4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64605A-B9D6-45C9-94C5-D4299C41C00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921698-416B-4335-811F-72428343621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A4B288-7565-4D0A-9D22-ED84169B246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C99DB5-EDF8-4119-9687-28D7987F1BD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7602EF-F4F1-46E7-86CE-BA2B26976D0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8B501B-A610-48ED-98E6-D5CA90CB495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52EEC6-A6A4-43FE-BEDD-22D6D016A49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FDF1A3-63B4-45AB-B1BC-C375CDF524A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3AB0C8-615E-48AC-A70D-8FC23C502DD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31AC3D-769E-42D8-9F67-7BCCC56B967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FCA534-4D27-40C4-8DA6-E2D99DFBB55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C15AA9-74BA-447E-9A4E-85A86B793A3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047530-CFC9-4FD1-9C98-119742F45F9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2494FD-0CBB-459B-A9C9-DDAF0D03641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5BF15D-7841-47E8-88EF-4FBBEB382EC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D4782E-CB60-4ED7-96F8-8AA696B8AA8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94C358-3814-418C-A79F-C30B2C5214F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C65A53-F4E5-45B9-9B5F-4897350A05B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3EA9B2-B016-4D4F-AA50-5730236B8DE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9BC13A-36FB-434F-9A91-BB9EA3A743A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63A378-661D-4FF0-BF1E-4DB6213E1BC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BEA758-43EF-4D7B-A8C5-76355B81854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DDB613-E7DA-44D8-8B73-6D283E4A3B9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FA647A-3ABF-411C-B6EA-9F6D76ED22C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7CAA53-E20A-4167-9114-747E04BA4DD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AE1DE3-B65C-4E83-B743-7282E3118DB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D847A2-D7F1-4DED-9F3C-5E37EB7889F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FDA2D4-85B5-4B02-843F-DDEDB47A35C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468E85-DB8A-446F-81BC-D787F6CB600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680EE4-7F3D-481B-BB36-4048222E48A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B88952-9707-4DCD-A070-183B46D9C95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F77D2B-BBA4-4533-91FB-D8AEB647606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A937E4-0291-484E-9B86-06F4602B5CE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6CDB48-6F52-49AD-9BA7-E658D224F4C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80BF0A-2C92-459F-8310-FDD915F5452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F64D37-A249-4AD6-BD5E-764FDACF54D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694EFD-B838-43E1-9ACA-44C9ABAEE36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4426A9-1FFB-44CD-BDDB-15FD5304E1B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EB88C2-0AFE-4C8E-BFD2-B552EC864F7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E2CB4D-A31B-4100-82EE-FAB457C7EDF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3DC08E-8BEB-4356-9707-6408D311DF6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F4C6FE-C2CF-492B-AE09-54F784DCBF9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3E55D4-E72F-4C14-914D-15228B0A437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8AB214-5E90-4820-A0F3-7408A682D80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C99204-AEF2-4131-A9FE-2D22E5A79BF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23506F-EC09-489D-A696-1EB6CF23DB3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8CE992-0D31-4D59-A65E-30E3FD03CC8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9124CA-0F74-4608-A657-EC77EB81D94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892548-3663-4F7C-AF18-3C463CF1F0C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5FD859-9156-4510-B948-248E74C6EDD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4EF203-F2A2-4A55-889D-EF038524896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45CA4E-7135-4DAE-807D-8E4AC185348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559E53-5433-4700-94C1-767B560E485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DF410A-1DCA-4B9A-85BC-9F9E365F38D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5F310A-6A9E-4F54-81F2-D5577D68602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829777-CA46-43E7-B268-03FE883578C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D4C1FE-C6CB-4CF8-858F-4B573D2CE66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CF46B9-0EDF-47C9-9A07-9E3B74085BE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B812B2-E95F-443F-8340-8219ABF8A26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58B689-E122-4068-9FC1-906793FDDAC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E57D99-0046-4DEF-BA9A-0B16B9CDB10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E14C55-5000-4CA5-A18B-4520E095F32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8440C7-2BBD-410B-8537-B775B74DB1A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893112-1EC4-45C3-9A35-F4B4DC2E352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85C1BA-B0AF-4014-99CB-83DCE106E40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A2C5D4-10E6-4D4E-B5BD-8A6297E5B44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7CB323-F423-44D5-B618-469A83C232E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D061B7-C33A-4411-B809-445E519546A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4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6EB204-5F55-4F67-9E2A-BE2E1DCC4A1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4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FA6215-2775-4EAF-A2A2-F3BC9248BFE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4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8F430E-0094-4F7C-BBE8-0D5F5E5F43F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4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6A95C6-5330-4FC7-994F-D5CB358EAEE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4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1ABCF4-7AFB-4DEC-9EF1-4DF26451AFC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4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7B4803-CFB3-4A24-AE53-06E20221EC5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57591B-BDEF-403D-A4AD-D6143A3F2D3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B49FD4-3E62-47B9-9E7B-939205DEB7C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796EE1-AFB0-4B69-8339-F6C4E190AA8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C4D90B-B8E1-4787-A25B-A0B5B546FE52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7DD9D3-9378-432B-91DB-E5976B279F4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46BE3C-FA64-4DBF-8160-17C8D16F3CE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F95EC9-1E99-475C-8F33-8154604B053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D5BE2D-83FE-4AF7-9DE6-C39EEF6F4FC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C39B22-8C44-4D34-A2F7-AAEA3C3E94D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D04CFC-29A5-416D-83B3-1009EFA12DE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AB59DD-7FF8-4136-A592-E0067B0E451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CBC5ED-AB30-49B2-A1EA-6031ADFD962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743417-297D-47E0-BB86-D9C1EBC7474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898B89-F57D-4F3E-AF14-C4796509CCFC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53EC3D-4C95-431F-9E84-AB732462FE8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AD5DA3-7B87-4E29-991E-5EC770BF410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FD302B-C384-49AC-BECB-6E295A5B869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B01C7F-D16C-460D-B3F7-3A2D2F9351CC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3DDC27-AAAF-48E0-8B9B-A060AFA9660C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B1AC11-0611-477F-8D4C-C0ACD10EF29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F67969-BC81-471E-AAB0-4BDAAC1E3D0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ACBA8A-8884-49DF-828B-395063DB0B7C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A04335-C71C-4DE6-980A-FA202A1AC41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E56E78-0B61-4CF7-B7D2-009B2896F0F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DD7BC7-14BE-4A13-9B47-72B2D710B2D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1E4C03-C19C-4F74-91F9-7326F35D49A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B3BD00-2E28-4908-91C1-A8E7BE37003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D99C00-A9F4-4612-AC6A-0FE6AA76F1A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D2E8A0-0DF6-4BE9-AA3E-5FAC51B9014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CA3449-F666-4526-B020-FAD47379E31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A8BE15-6014-47C9-B61C-603A6D095ED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636F4C-C2C3-4156-A6CB-2AA46E46DAD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94DCED-9E5A-4CA4-B7F2-C96E55F1C71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AFAF8D-ABE5-4B12-A38E-7451F56DE4AC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C1D785-4A31-44C2-81F6-60903871859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21FDC4-B086-419D-BEEB-05002AC8DFE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D2F4D6-3FD1-4F01-B3FE-55103015181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A12BE9-C2DF-44D5-AEE9-1EA86A8F2714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940A0B-6A13-4329-91DD-6C3634E685A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8E3F50-9BCF-40F5-A816-64A811B7C49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17C8F2-D937-4FE7-8D2B-A73C3F0ECE4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7D9199-A89F-4D25-B976-A20369DA526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1B0647-530C-424E-B8CE-652DBF1293E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5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2F2BA9-3D9F-43D6-A11B-7C8BD81DD2F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4DD434-58E3-4601-8BD1-72B7262CD19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6A9D35-C0E0-425F-98A7-56404EB7847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187E7E-829F-44CF-A5DE-CC4B06EE02C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EEB457-7CAA-45BD-BF36-02DB98E1800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3C5C0F-B52C-4BBE-A953-78927968CF0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D9346F-4894-4194-BFDE-816500E5CE8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5EB6C1-263C-4E6B-B8B9-9BD30E1660D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08CEFB-193F-45E5-9C3A-D51A9DC43B4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E35E2D-E263-4E48-8DE8-018C98B4690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76D0C9-3670-4971-8C5E-40B941257E8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C549C1-D1AD-414E-89AA-511120F92A1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84D1D7-4364-4F40-ABB6-686BE7E6588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8C6E92-FA1B-43F6-97CD-3DC1D1A1529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1BA8DB-49A2-4FFC-9638-2EB9398D874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7E3508-284E-4FCA-84C2-5A82008AB35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0BCE9E-C125-41F2-A5D8-3EE0B140BD6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9D09CF-282F-49DF-B270-1BB0CBCFD90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32A4D3-738C-4189-9084-FB0FE52F078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402FE3-0C1C-4DF3-BD07-21143AC2D9D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6A3CBA-4CFC-4ADE-AF03-C11B3DB2D1A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C2DBD4-F97C-4C58-A83F-A063EA210CA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C8E169-664D-496F-AC67-535AC8886D9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3A4D66-C6E0-4F43-B5C9-512A10D9CA4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83FA4A-84BB-4FE3-8DF2-4486DF2D454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633027-B94A-4CC9-B73F-3910A13B2B5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E98171-0D65-42D7-B740-39B1D0A12A1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1B9D99-6669-49C3-93C3-547453372F6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BD77AC-F26A-4A53-9805-3B66D43B26C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28557D-9ADF-44A0-AAE9-E68C4EB2123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14FAA2-8464-468E-9487-B1964B41EC7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0E1911-3754-49F6-A81F-4B6300B18BB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24D9F4-F691-4299-84FB-082DDBFB00D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2E95F9-52BA-4A62-9F88-92914BCCF7F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BB2F3E-51AC-4D76-AD6B-4FC8ABE7D38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D14A56-9FD2-48A1-809D-FCC0946B5D3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3E996E-666A-4A3A-8143-FA8A8803160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84A3E8-0B2D-4449-850F-BE4C04AA6FE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49BD3D-7192-42FD-93AC-C4FE044548D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1374B0-57C4-4ED9-BB9E-E2B45A2580C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D2BF75-E5E9-4519-9E1B-B31C6797B04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2442DA-61FF-4BC3-B231-3F453925A2E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B0588E-3340-4A14-A48D-51C4B44C457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C07D77-EAF1-4AA5-91E7-C3EB23FDEE7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BEC775-D088-4D57-BE93-4B940B9316D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B9EF36-6BC2-4468-934C-5E6541531AC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D82AE3-24F8-4246-9D7E-3509B4C4BF3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CAC815-DFD7-4FE6-A600-0836BDC03C4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D59609-E55E-4161-9682-6E159F52EF0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54E0BE-5BDA-4B26-8080-E24E242693A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5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F70241-E350-4B2E-975B-AC9CFE9B85D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714375" cy="304800"/>
    <xdr:sp macro="" textlink="">
      <xdr:nvSpPr>
        <xdr:cNvPr id="5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271D7E-A1B3-4DB5-ACEC-E07FC2A43413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5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AF18D1-62AC-4CF7-A7DF-B4D41A8D2166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5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F97852-AD4D-49B2-96A5-73B6C7CE2B9C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5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996C12-B731-4474-96E9-A2C6630D024A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5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FBCA53-02C6-4651-8669-DC4876A083C9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5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A55B58-9DF8-4C07-92CF-19D3063F7591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714375" cy="304800"/>
    <xdr:sp macro="" textlink="">
      <xdr:nvSpPr>
        <xdr:cNvPr id="6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A6CC76-791A-4A83-8BF1-E5A096C60062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501B48-B062-43E1-AFBB-658AAC4FD8A2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583323-E768-4202-ACEF-AF44184C51EC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DA60E7-3255-422B-8E59-FBCF2C7B2276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7422C9-1DCF-4332-BB97-6DB57059665F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CE57A4-508A-471F-9859-E5B024D7DF7D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C4468C-DB3E-461F-8A12-BFF602316410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F417C5-A532-4AEB-8589-CC1338EA368D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9CAD78-4107-44E7-BB90-ADBAD5FC6B3F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AFB933-F856-4D6E-B7CA-6C30FAB8A744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567C69-C91C-4127-A0B2-4AD31C821B17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BC4944-851B-419D-A04C-FAF73757470F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624B93-F062-4DC8-BDBF-7F366DA048CC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EB0BD9-2BB1-4B91-A0DB-D68B61221C14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15C22D-BDED-4B00-B56B-C16E0A5B6E56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0E1A00-02CF-4593-AAE9-ADF610B4E636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6ED6A7-1498-45D2-8B97-A04838FD76D4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DB0791-0E5E-448D-83EF-E404597D5CF5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13737C-547D-47BF-99DE-8D8385AA052D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3059AD-93F4-44DD-AFB2-599095FFC9AC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0A8DC0-FF03-4827-83F9-3863DEA6E8DE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714375" cy="304800"/>
    <xdr:sp macro="" textlink="">
      <xdr:nvSpPr>
        <xdr:cNvPr id="6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ADD6CE-8F3D-42F9-843C-C14B71438FEF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5F8493-2D67-48C9-ABFB-30A1232FE336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198056-CF8A-4197-9118-B6EE8C34FA6F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A119E6-55C3-42CA-AD1D-620A82A4992E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25F9FF-7543-407A-8DCC-4B41C0BD27C5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FDE2BF-5CE1-482F-9BB4-5E8A3EC7ADEC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714375" cy="304800"/>
    <xdr:sp macro="" textlink="">
      <xdr:nvSpPr>
        <xdr:cNvPr id="6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3399BE-5F90-48B8-84C6-DCB22181EE82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3DC020-1444-4358-97DA-D588963DA201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C68C70-228A-48F9-B7AB-B4EBAE87C603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F7C9A4-EC9C-4537-B868-7D332B6EA1FD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A98E25-64B5-4A47-84AE-821747C6112D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4BCFCB-3BE6-424A-A69F-AA7B690AA394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37ECCC-4E70-477E-95C8-124AE7650267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C5143F-11AC-41EC-A582-7E29C9326AEA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54D3CB-E028-4EC3-A0BB-C7F604989E17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9ADD1C-A2D2-415E-A7E6-BA750233F2B2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D3FFAC-C60A-43A2-95E0-F88F19F23B40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F05B20-7CEE-4DA4-871F-C0E79C8C481F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4D4022-081F-4F3D-80EB-DDB71D9E76EA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6D6AFB-7A94-4A1D-87EF-96FE35CACFEE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F94129-BE30-4EE7-BBBC-71FB305B36A2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C73803-1EE9-496D-B14D-2DFD538E6AFB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20D151-7E2D-4686-ACB5-B75101788355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4E1618-C9EA-4302-BD02-75B7D1661EA4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D6FF1D-E23A-4CAD-9C0B-2869C7B856EA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D72634-32D0-443C-B6E0-13061E300025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D016C2-F25E-4B2D-B266-D7367F578875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714375" cy="304800"/>
    <xdr:sp macro="" textlink="">
      <xdr:nvSpPr>
        <xdr:cNvPr id="6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772943-8E64-4832-88F3-812836A09F8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B33005-48DE-429D-9FB3-9C75D170BC2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B5082E-FCE2-48E5-9B08-3175D66E82C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43986A-71C4-49DC-A520-9777B3B853F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C66304-DCB3-43F9-9AF9-6744D8A46D3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009FA7-8F4D-4C1D-AE28-F05471AE224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714375" cy="304800"/>
    <xdr:sp macro="" textlink="">
      <xdr:nvSpPr>
        <xdr:cNvPr id="6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B544E4-9053-4E8B-BD3C-2F864A9F223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36C391-8663-41E8-BE60-696BC1A4D2B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87B328-6F12-476B-9B75-B91DD8385E2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2DD67B-38C2-48DA-9144-405FCF5E67C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A26D1B-9382-4831-B7F8-250E6CFF7C5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5795B2-4B8C-4B8B-B704-FD64592934A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BBBE08-1CCC-47D2-B9B1-9BB63DAB44E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A521A3-CBB3-49C9-B9B6-AA738596C43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340B19-6A64-40F6-A8F8-A3649AD2D41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361B05-EBC8-4CE7-9CD1-7043EEBE9C9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1135F6-D7A0-4747-BA3E-467DD94FD4D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BF693A-8DDC-47CB-8877-1A162A0538E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E9EEFB-67C0-4B51-8168-178CFB656AB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1F2CCA-78A9-4E94-AF06-BED78A5207A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3E08C7-E4F4-42C3-9C29-0D0A5654F0D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9F3993-AD2B-43F9-ABB5-D0305B6F162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BD3C23-BDA1-4716-9FF3-541362B6FEB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2C5021-17E4-4B1A-9791-2DE0716AAC0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94A016-3F86-40B2-95A9-176D120C945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BD9DB4-D9BE-4E56-8917-9926E3D2BCE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FBE8E9-2F6A-45EF-87B9-A96EDDC310E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714375" cy="304800"/>
    <xdr:sp macro="" textlink="">
      <xdr:nvSpPr>
        <xdr:cNvPr id="6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AEA673-1455-464D-A9C0-6940A0D0EFA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08A93C-8D1D-4C47-9F50-E075CC7E0A4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AC63A2-2A1E-45BA-86BF-9AA91A7906C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6CDCAF-63B3-46CC-B3B9-9C84BF43CA5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C8B496-15AB-40F2-88E4-CCCF86EDA80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DCC753-D715-4787-945A-9825152481F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714375" cy="304800"/>
    <xdr:sp macro="" textlink="">
      <xdr:nvSpPr>
        <xdr:cNvPr id="6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D64263-0F0B-4434-A910-91508B8C222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3B4B00-AACA-435D-951A-9EB29427975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F08CC7-C689-41C2-8506-A2033F40135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950F6B-AE3F-466F-B9B9-66408C8C559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1E7E98-D9D5-42A2-821C-591D63E7323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5236CF-7D30-4DCF-9CB3-1A61FAF1890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9C632B-8F7F-4FC1-8A80-BDF6718B125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F8570B-73DB-427C-A88E-D9F6A7A3AA8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1B9D5F-2891-4BDC-921A-17279391801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5F0F13-E6D5-4F32-9512-C3C87B3811D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C0196C-8850-4388-8F65-84FA148AC17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5C39E5-EF67-4A89-A63C-CC35C69E9B2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C88AD3-6A77-4AA5-95BB-A1877350F54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1E1022-718A-4E50-B2F0-A1CDBE06ED9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830EA1-7B33-4F9D-BD09-ABD0A20E0D7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FD9A69-6C0C-4C3D-9986-4F6A5966B76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DE5DFD-AB65-4BEF-9CC1-377781D48EC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0CCCE6-C8B1-4966-974E-0C9775FB760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6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02881A-A0F7-4F5A-BCDB-E0EC7EEE2D1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7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EE656D-1CF5-4236-8FA9-461DC6C59F8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7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DF7D41-C3AE-4975-9F6E-813B024CCA6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F381F9-E589-4B94-9F67-F049C68C126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5214E7-7AA6-4AF5-9176-B5B6BEB9A6D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712B1D-452B-4FF8-A53C-61DF9ADF654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EDC29B-3874-4F51-82E1-30EE2E41E27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E90496-45A5-4EE7-9BF5-C7366FCE2BE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F5EB50-79BE-46DB-936A-0748A487BB7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16CCFB-BDD5-4442-8DDC-5B58195CB0C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C55DB9-2602-4545-A0BB-431C4E7CEDD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E091D3-1864-42C3-AF3D-941524B856C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3FD177-EA49-4A0D-8A07-563DA743DB4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484574-9FF1-4F86-82EA-D19570B0CB3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979C5C-AB52-45EF-BBF1-34EAA18DB8F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A294FF-8282-47CF-9667-00D67B03336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5519AE-3C3B-4EF4-9D1A-54BB624D64C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9A9F02-E7A0-4475-AD4A-629CEF1874F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DEDF3C-2819-4206-9A62-B0CFA3855A6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C7E38C-695A-4AE2-95AD-521F6DA82ED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17C9D0-979D-4CC5-AF56-ED9ECDD7D75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E4864F-EDD5-4A40-B7A9-EA091F60904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029079-C983-479D-BC07-F75290DB7B4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3828CB-4A4B-490B-AF10-885B9C08661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79BD1D-FC2B-4850-AD82-DE2182F2665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8CB013-FE8B-4F0A-A532-C6FFA65566F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F28640-00FF-47E9-965E-9407386E007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ED2D9A-8695-427E-90F7-9AFC44F0EF7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5CD198-A4EF-4320-95AA-6C7CAB9BDD8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073895-60B8-46FC-B828-1C500CEB545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B9D725-ACA2-4E88-83CA-DFFD4E17E86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CC6344-5D08-4BF9-865D-DCD95382B4F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BFF248-C67B-4479-9E92-909A9481C31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9DA3E8-FBC4-4D70-9E6F-A152DF41E11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244D4D-D9F6-4079-82EA-BDAD034D815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5DE1A9-B26B-4A3D-8523-5049CAD2E9C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D00D86-9EFD-4D61-9421-37C33CD61E6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5DE89E-B1A3-4B7C-BECB-63F8964FB6A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E39570-0459-4B27-AC0D-693CF0EC11F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34F374-0B0B-4183-A4CC-A6915A029F4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DE590E-8847-4C3B-B143-75F19BB17E9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78B77F-3E87-4186-9CA5-B4C59B2D870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30F1AF-11AD-4835-8624-D8AD0A620F5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120018-29B3-4FBC-A345-63E69ED9A91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9D6F1B-7F6D-4983-B4CF-F8122B66784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188461-298D-4897-A0E6-CF8DB86B05A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B5514E-E86A-412C-8A91-6D244B635E4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FD9679-551D-4029-83EC-30A24FF520D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864A52-6F94-40ED-B677-FC29B96F286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2FAAC0-72D4-425A-AEED-3666B874F26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49A976-3F26-40BD-971E-E35878D21EC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68B96C-7F70-4EB1-BF9D-62DEA529E73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7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5593B3-9DA0-4C84-AB23-81C04179A43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714375" cy="304800"/>
    <xdr:sp macro="" textlink="">
      <xdr:nvSpPr>
        <xdr:cNvPr id="7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326798-6DC3-4A28-B0F4-6FD61ECADC5C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57274F-A780-4290-8CAC-9F33B9DE3B11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695DA9-0BB7-4D59-910C-9AB093924FC6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A35CE5-D3A7-46F6-8535-56A168B35315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719E84-220C-4BBD-92E5-CF54A1498DA1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CE00C1-57EA-47E9-BF43-A85D6D5E84C5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714375" cy="304800"/>
    <xdr:sp macro="" textlink="">
      <xdr:nvSpPr>
        <xdr:cNvPr id="7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8CE612-E72F-4756-B148-3049ED7CD80C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19C7A6-5D8D-4322-A878-F175322247A4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1927AE-58AA-4B20-ADF1-4778AF40EEB1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A80D23-55F9-46E8-89E8-D0AE823CB223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AF0E25-98A4-47BA-9368-BB8C106C0940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8DF66D-4063-4B4C-9495-FE57935219EC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5BAAD5-DF5D-40A8-B582-4C1A9F07977F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C28238-0DDF-4CAC-B5E3-816EA0243DD8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220072-3893-4788-8F12-783ACDA1B98C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68FD5A-9AFD-4214-A96F-3EE7293EE842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98C09B-256D-4A03-8DD3-AA9CEA5B03E4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78267A-A05C-4428-A39D-6A93DEF4FCCB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51C4FE-D670-460C-ACC5-3C353A90B8C9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6C12E3-4FBA-4A3F-9C7D-E8FC985D9800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A9AF69-17B5-463D-B036-ADA7673220E5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C251D6-9256-4D66-AB6A-EB2F98E3B501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B96633-154D-4F7B-8145-3BADCC7C5A19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C3AB28-70F1-47E8-9DF9-550E40876119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8DD68B-752D-4E6A-BC21-EB470B049E27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B926D9-E4E5-44F5-85FC-62C3B2E3CC99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AE08F8-8EA2-4097-82FC-9941E4021F30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714375" cy="304800"/>
    <xdr:sp macro="" textlink="">
      <xdr:nvSpPr>
        <xdr:cNvPr id="7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2E60A8-CAB7-408F-B6B2-D18EF50BCCFA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30A469-A1FB-44A8-8E75-56345A9311B4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C07CA7-E4B9-4D0F-BC9F-0B215ED801FF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54B1A5-4416-4CA2-8ED5-057D71FA3360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213D4D-98BC-40AF-BC24-2166F8903417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23864B-5E65-433D-AAB3-0030E9DF380A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714375" cy="304800"/>
    <xdr:sp macro="" textlink="">
      <xdr:nvSpPr>
        <xdr:cNvPr id="7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454DFD-271E-4421-A4CE-BD3EB0494A00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5A5E52-BFC0-400A-BA14-2F51E63A76D1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EA2A3F-916B-4BA6-B255-626334341FD6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199B22-6D3E-46F7-BEE6-074F4296387B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BDAD82-3C57-43BF-9B97-4F4405561F86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131613-63BF-47C7-BA59-031B4234E337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65BB8B-8C5D-433E-A814-BCBC7AFE3953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2C145A-9382-4441-8EDC-3C94F3B9E284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D8C0E1-7BA4-48C2-ACD0-E34606200DAC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F7FFE2-A241-4091-BC06-16B342B06E1A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420D70-6A2B-4879-BB4C-31149D235B23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D80BE2-C955-4D14-9D9B-A2BCCB421BAF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F8D5DE-F59E-4222-B847-C1A0D9E786B1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789B51-CDD6-4CAF-8294-66F1600E65ED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7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74DD9E-6C26-424F-A32A-1B6733279BCF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8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15AE61-7C57-441E-8079-C19CCBE196F3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8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CA92F8-E124-426A-B8CA-2F6457266F93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8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24DCE9-6D17-495D-AFD0-12106E90AE02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8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3A9DAE-ACE0-4A3C-9B38-73B44F1887AA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8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C9853A-1D1A-4137-9798-552CAEB1690E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8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A3DC4C-3E53-416C-A77C-E46C9EAD5D14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714375" cy="304800"/>
    <xdr:sp macro="" textlink="">
      <xdr:nvSpPr>
        <xdr:cNvPr id="8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278C44-3628-4D47-BB3B-DFEE25E2B82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FF83CB-880D-4592-A279-0B8FE016E38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8EE6C4-376A-4E56-9DC7-134BF7B9D67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B6B4BE-CB68-4399-AF23-E4F7DF0C36C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DCB1DD-CBD2-4D7B-8651-B499C6C958F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95C783-1FE3-49FD-9E40-D61ADF17BC1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714375" cy="304800"/>
    <xdr:sp macro="" textlink="">
      <xdr:nvSpPr>
        <xdr:cNvPr id="8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A4830D-E3D3-469E-AE62-32B2685BC63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5A2919-9AC8-4531-87F2-B73B647C4E9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B0782D-F923-4D9B-BA69-BB2E76253D4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A28EFE-5AAE-4996-9DF7-EC1265D7634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5B3BBE-B0EF-48FB-86E7-AB61CB7F20D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8E6A79-296F-4DBD-937E-B75D0CEFCA9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1C2F9E-EC7A-4B88-99DF-AEF4B500F2D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062706-9144-4AC8-9D42-66615DD1D2C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A4D734-E484-44F2-B03C-D9E0336A490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5D4DBB-202D-48AE-BCD9-39331D378DE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3D9A55-CB8C-4CD8-A12E-5195B9067B6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095568-95AF-4787-BCA5-82C8B4A7EB4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AB3CDE-AE04-473C-99CE-E3D9DD7A77D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2F67D9-66A1-489C-956E-76E528794A0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5AF69E-6D83-4677-9263-37654322F10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1355B4-E12F-44A1-8391-F16984E546B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F07834-9FA6-40A5-98C5-150A326B7E7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E54567-7477-4111-9286-1D4392657AD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7C7BB5-DEB6-411F-BE83-D657A277DCE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2C1BAB-D635-4EE2-A874-A99AF8908A3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B6D9A6-F36C-4CAD-92AB-79A0AFB8EA6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714375" cy="304800"/>
    <xdr:sp macro="" textlink="">
      <xdr:nvSpPr>
        <xdr:cNvPr id="8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74772A-9B4F-415E-8362-6C6B58BEF40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0569E3-2B3B-4ABB-8F5A-8150E9C153E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E80084-E8AD-412B-ABCB-322DAC6E3AA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AF17D3-7EBB-4123-BB12-6ED42F48ECC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12846C-1DD6-4E72-8D45-DC743B5A571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5B0059-FE2B-44CC-B48D-A57107508D9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714375" cy="304800"/>
    <xdr:sp macro="" textlink="">
      <xdr:nvSpPr>
        <xdr:cNvPr id="8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12BB8B-FC84-426A-BB6F-250B454E7D5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A70F8D-9083-4D04-9D56-012A10960B4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16F436-D545-49C1-A75C-FB9F4944FD1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0AF182-01BB-49C8-B5CD-70E9C4F96BF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FCC78E-3BA6-4696-85E5-DCC42042B37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CB46BF-59A0-494A-A8FD-5A00096A460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453F2D-3577-49F9-B8E7-E752AABA5FB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3C64B5-EF5E-40CD-9848-2CE292F43E1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14AA08-BB5D-4EED-BFA8-DDE89231D55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0A0CE0-9ED1-4CF0-98B7-2B790039E3C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FE6B8F-A2D1-4355-809E-A4AB421562C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9369B2-DAAB-40D8-B99C-B546AB757FD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4BE77F-8B44-4CB8-8E52-B4222818968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DF44FE-6943-44B4-A653-D36EE1439FF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D35077-F102-4581-A82B-E2E01275ED1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3BBB20-2AAD-4149-9AF9-99C10AFF05A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48B691-1600-4907-9912-888BC2ECC82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C3F620-1D27-4591-A2C6-0EC964DFEA5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580AC1-840B-4FE1-B652-28AD4576EAA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88AF38-049F-4F09-B6E0-C0AC874E280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8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EEAA22-E849-422F-A4A2-8A89CFC663B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8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193C6F-0873-47D1-813A-B93F38D9095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8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26CEE2-6CA3-49F5-AB1C-B9AC53E616D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8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8113FA-A852-4211-933B-950956254556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8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1F06E4-00F0-452F-8287-0DEDB244312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8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873CB8-B349-42D1-BBBA-F6DFCC3B5F9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8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38A0F4-354B-4830-AB44-F8F66FD3CBE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8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AC90B2-7F8A-43A3-9F35-F0D50467432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8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74F621-301A-4EC3-BB06-03F8DE01CA9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8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A3787C-ED66-43FD-B7CD-5D77E2E2A2A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8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5B59DF-7455-48CA-909A-A2B6E3D2315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8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0A3AA0-16F8-4317-9F85-49B81D0FC34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8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63F005-40AC-4347-B875-5FAE425FF9C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8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2F177F-0DBD-41D8-88AB-9380B373AE8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8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49B995-27CE-43BA-9FC1-0DB178FE62FA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8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E85E67-63C6-4BF1-85C2-5502E657436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8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24B0B9-D4AE-4A26-8DCE-0C753B38474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8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839FE3-59E4-4505-8144-0AE43B5D2F1C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8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65FC6F-1440-4796-8063-D645B4D2499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8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37B2DF-0A09-4F65-8993-736CDC7B96E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8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8D3AC8-EC9C-41F6-AF03-D1115C9824E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8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9264AD-5BF1-4232-98C3-0F0914752DFC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8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88D307-C649-447C-ADB8-16CC4E4145A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8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D013E7-EBD2-4A9A-9C3F-A3A32CF8DE3A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8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F8BAAD-5EA2-4523-BC7C-47C847FF11B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8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D52F6C-C8E7-4B96-8ABF-915053BBA72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8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09E8D0-414E-47CD-89B1-3774D1CAE62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8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C6E3CF-24C4-47D0-B2B3-B4A992D9DE1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8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BFB64A-2157-4498-80E7-0B9A2F68FA3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8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BC910D-E832-4FD5-B3AD-5556BFBB09A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8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12BEA7-F3C6-4DB3-BA79-67B58BF26C9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8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90B5EF-C64F-43E4-82C0-6A1377CEC15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8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F0E671-0A04-4052-A523-F81BD31C027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8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E41CC3-DA56-4591-9E4D-553B4ACA90E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8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997207-D06D-4F92-8D51-0E2EB5BF663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8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ABE8F6-65A9-45A4-A622-C60D90EF255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8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314D1B-7416-4DFB-8872-2368BA044EF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8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19078C-F27E-4A6C-B133-0FCDCF2DCF1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8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DB3824-F480-4084-B393-76419BCB0B2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8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B8E570-170A-4CDA-95E2-99787452B65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8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FF5102-0F5D-4E2D-80A1-4DB09C3D02F6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E622C4-2CF1-4E29-8F78-0DAC7EA2592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F4A194-14FA-478F-889F-7CC9D4990CA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E6C1E1-4ED6-4546-B4CE-CE0AD9A4CD0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C349A6-4D91-4473-A8F4-5225929B705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84016F-4A5F-4F9F-95C3-021803A96CB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3A59C8-642B-4F88-A260-8374000699F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7D9D2E-7E74-485C-9130-72A0E53C4CF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AFF9C5-B0A8-4C45-8CEC-B98C5CBE4F4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DA6E1B-88B2-4440-B24C-811773C4884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F6EEC6-DE95-4B7A-AD82-C39862DF0F3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C897C4-5608-47E5-A77C-A12E661931B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0181DB-B7C8-49DA-806E-96CDC84509A8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B65DEB-6E61-442B-BA1C-5304A1894E1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AA6647-5811-4942-8063-E6AF010D23C8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2DC3B6-F70A-48E0-B2D8-FB7B61FE6EB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216D2C-33DB-42FE-BF85-9AD0375E9A0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0619E8-A59D-48E5-9304-31B91835D47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A717CE-9F1C-4CEA-B09D-C61B48FBA6D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5DA5E6-F7C7-49DA-8342-E5BB000A8BB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3CFEF8-DC13-4324-85F2-26A7A106CE3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A40B72-A007-418F-9816-B34D97089C6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2B2A2C-C041-4971-BEC9-17B03AEA1DA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5E2D04-B15F-4AEE-8132-067164E5CC9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4DE446-01F8-4116-B0E0-7A7CACD34D8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7634F7-5333-4525-9359-DB5D70D00F8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7D5953-E2CE-4EEA-B85B-BE622376D61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DAA016-90D9-46BC-970E-BAAFB4CD15C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15B2AB-67D6-46A0-9573-F82ECDC2C90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3BB206-A17E-4DA7-818F-1960DFDD4038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CB1FBE-E55A-4CFB-A71F-3E50B41E12F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99E5B1-C9B1-439C-A83C-2E34808286E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CFDD42-ACCA-4550-A799-FB50956EE46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8C6750-7719-4F6E-BD0B-D3708B54923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368AB1-FE6D-4287-B9D5-C8E1C8D9EC0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0DE717-556B-4C7B-BCDF-06FB8B7D7DA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52A9BD-310B-48E3-8CC6-92FC7B0E7668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7A8D3B-06D4-40F8-AAD6-E2B0241DC6B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0F2AAE-14DC-4744-B7B3-A7BABAD56A0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004122-734B-48EC-A2F8-50519E3E890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F36605-E6EB-422D-97D2-195899A3163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FC3AA9-9D27-4B79-827C-A95133325B1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15C151-06D9-4CDE-8C76-1BF6DB0FDE4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168939-5C63-4F0A-9E9C-1997179232F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53650E-9E3B-4235-A1A2-1D46688A708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A8860A-ED5F-4E0D-9F1F-DED0489BC6D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E68CA0-CF0D-48E8-B8B4-DE6F446D4D8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5B51AF-C825-4C1A-80B9-FFAE9ED1300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214ADC-4967-4D51-932D-59FDE709AA7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C6EA0E-44E7-42B9-B0A3-788E0B56085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5DB01F-9D6C-4F3D-8F8C-23202BC24E9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B7BD85-6D2F-40E2-A582-6FAA1562514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5A738F-09D6-43D8-B06E-E7FEEFED414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A84AC3-5076-4BC4-90DF-839F83EDBD6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21179A-45EB-41BC-AB76-55AAC8480DF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D84E82-8CCA-413F-B5DC-8F44CC894B5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0907BD-8BEF-4D14-AAAB-5A0203394D5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F4814E-829E-443F-995F-6062D33F95D5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1354EA-39FA-480C-97A7-6132CEF9E81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68FE2D-7284-4770-8925-54669156D80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9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EBE201-9098-4C1B-8A0E-0817F965D3B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9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14492A-BCBC-43B2-9746-9ACD9D2B447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9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CF8CDB-9F14-43BF-B3FB-8A00FE3469E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9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57DFDB-7EB7-44C8-8991-EFBB9BDD0C1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9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878143-2A1A-47B4-969F-DA50EA93021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9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C22B4D-9D75-4F99-B5F6-185A35ACE3C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9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8836EA-E376-4A0C-9CBE-BA217F5FCBA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9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C82A7F-2D2A-46D5-8791-BA7BA9209AC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9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7F7BAC-7273-433D-BD38-BAECB2A9642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9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5A729D-94ED-48EF-92B5-A1BEC618A09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9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756AE6-821C-4D8B-B29E-08C9D01F52F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9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32B6F7-0F08-4DE3-B57B-E28AE46DE66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9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A06F99-79F8-45D3-BE8A-524B608BA82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9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97B028-B746-4AC7-BD06-569F65C792B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9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90DF63-0624-4C65-9F73-AAAB706F5A0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9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12787F-5789-4B94-B8EF-0B3D701BA3F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9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68509C-137F-43A3-9343-2D14921EA10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9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41876A-9D85-4666-84FB-3EC5A747A88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9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2E74A3-2E65-4CD2-8C35-5D09A844618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9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282280-3B8B-420F-96B9-15D628DB5DF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9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D36D4F-8BCA-478B-BE12-7B301970912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9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95FBA2-FA38-4AF9-84CD-BA7DCAAD449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9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7579C6-FBB9-4934-9495-69D200EB496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9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6E43C6-16DD-4489-81A3-75FF54FADF9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9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0613F6-C98F-4B59-A557-425346955D1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9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49E084-32DB-4593-92EC-A6B6FB14654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9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F27F92-331D-4117-B240-AEED391F705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9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061AC1-622D-4C80-8E31-A542B068849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9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4F999F-02FA-4A6E-9EB3-1D1B0EA048B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9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1AA845-1E63-4904-8962-8F367518E58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9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17C940-493C-42D1-B6A6-DFDCC808744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9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D1BCE2-77BD-4264-8825-FB209F90B68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9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BD4BFA-05C8-49BA-886D-B7004107CCF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9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927DC8-68E7-4ABE-B5F0-1F5D5E5D20D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9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F32541-44DD-45A7-9163-36BF3C4FB56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9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1BF4E7-DFAB-4246-AFCF-0AE4C62C25B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9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0EDFD0-0AE2-4D1F-BEB0-357DCFA8321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9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D20771-7264-44EB-9354-4D9554B4D4A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9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4D222D-C83F-444C-8739-83338FA0A5D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9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B161B2-9095-45EB-A5AC-E8AF8306EE1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9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CB1846-AB09-4663-83AF-F667C717EAF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5088DE-F5F8-4746-B146-330481DC91A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8B849E-D78D-432E-938B-0F8479D5B50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51CA7A-0CB2-4041-B4FB-AAB7B27C8F4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9E07C2-2909-4DB1-903F-AADA8154AFE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D56B65-698F-41F9-B365-6AF32DE632F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DBD35A-CE0B-4C63-B6F4-3E49C54B821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974437-96F0-4D91-9578-1B1D8EE2590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30216B-075C-40E1-AF55-D9B44E70F97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619C9F-F7AC-49E5-A937-0F17AA8C399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49E40C-2579-43F9-83E6-73610E457C9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42091D-CFC8-4764-9A6E-6D697EECFC5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D95467-415F-46EB-B7BA-FF02B9F89D7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0B75AF-82F8-4369-A575-57FA4477187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84C008-F8DE-4BF7-B001-5BAF731852D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C8FE56-9DA8-46FA-91A9-1CE3D7A68F6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8B641C-43AB-4FD2-A86A-9E3C2D9BC10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344A90-676E-438B-936D-FA931C90AEC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AEC26A-8E4E-46B0-8E05-EB6CB0157D8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CCB1C8-677E-4D7E-BBCC-BBD340F47B4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62B3EA-A34E-4540-9BD9-6ABEBA03126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FD4387-1D4B-47F4-9AE4-95747C609B4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21A64A-4110-4F94-A2F3-8A6D1C2F279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D98243-019C-4E5B-9120-305352A21C1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5BD95A-4BD8-4F65-8CB2-36E71E8C443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16B1AD-3981-4B9B-AC85-B3FD30A6251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C6CD0D-62B6-455C-A4D7-F1228E5DFF3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B78D74-727B-43B2-9382-302AF3C1EE2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B81793-3826-4C75-888E-89A0A94FB56F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928EF0-3266-46C9-AF4E-B7E275E4AB3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F98811-3F68-4CE5-912C-617B2D34590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3083C3-4329-484D-BE89-B3A56584834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F65DE4-51A0-484F-8F2F-DE35FF5C524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59386A-DC0D-4389-A597-F46E55E49AF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E96E2E-6878-4EC9-9551-EDE33D02DAF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C0EDFB-D689-4963-8F96-032D6AE8F51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9FCD9B-5732-4021-B5EC-0C501749588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C6E81F-1163-484C-A3FC-BE8F13181E59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A2B53D-BED3-4481-B523-11066055CE8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B2F602-3198-4E39-9BFA-FF5F34617C0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901C01-833D-41A9-A796-86A4E15976A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4B5902-E021-47E8-999C-6298DADC201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7A19AA-C384-4FEC-850B-784B5B4722C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0F631A-1D5C-4DCC-86E7-70740715FD9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E8CD55-5E9D-4310-B27C-CC163E55A23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F3AEBE-1E37-4E0C-AB0D-C63BD26002D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EB6D20-D33D-4D55-B8F0-EE0DC1D63FA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E88FD4-64BC-44E3-9186-0DC34FE64FC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987C6F-79BE-4EBD-A668-52954217AAF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6A8AA4-8029-4E03-BC84-85F46E10265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C7AA86-899B-4315-A114-A0CC0F489AD9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DBE609-2E9E-4FC8-A64F-35A7260FEC9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EA647E-8F34-49CF-8ABB-15D05C87F6C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AC6B1E-01F9-4658-B4DB-90E6BC88DCF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22AF46-8695-4CF9-8271-81ACD805CD1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BFC4FA-05AD-46C5-B382-906E6D044D7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D605CB-3A3A-4BA2-8262-130AB01750E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DBF663-1ACB-45F0-BE04-228C802F084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676CDC-0130-4D3E-A829-415FF944633F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4BD9AF-0873-406C-8AF9-E8207B00680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0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3F05ED-20CF-48D0-A690-1FA585716711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0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F5A3AA-449F-4405-B9C1-922A6907C84E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0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5070D4-2A67-4CC9-AEF5-415E45800FFA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0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B3FACC-94C0-4250-AB04-EB64E0D5FFCF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0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45379B-90F3-48EA-857C-CC74500A8FCB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0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B6520C-A3F6-4D8D-84F2-A6F355CF61DF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0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E08B0F-01A5-4685-BD4E-98DAAE372C54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0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D551B5-2A0F-4233-9B93-B76F11D53BB6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0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570BD2-0C63-409C-AAA2-BE5D5AD181FB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0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9DC2C6-C4F4-4679-8713-7A2F8A86901F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0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75D44D-ED09-4815-A932-E5A6935F0F0A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0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8CF29B-4F4C-4C0A-A1EB-C95E3950B2AC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0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8DF876-9D8B-4592-A67A-CC6552876EE1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0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E0AB1C-361A-4426-984D-2EBF8FA21F2A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0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3F008A-6195-4E9A-B8CF-30E02CB53A97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0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B327E9-AE6A-4644-B206-23EE8A4106B4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0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3CB99C-95B1-4A58-9DEA-940937DB04C9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0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1E5BCA-9669-4C07-B6A0-AF58962E411B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0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B39AD9-C40D-4880-A8BE-CD42A6F79466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0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645695-3DB6-48A1-9848-2CC449421715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0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B590F1-2CA8-4D30-9CD5-289A3C267D79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0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9A4EA6-2A09-4B9F-B806-A32DC9DBEC52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0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ACEE21-7B1D-4CFC-BDB5-A502905C5167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0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D03110-9C9D-4AC2-9622-6326C4D26504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0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CE25EA-8E52-4AC5-B411-87AE6D1734C9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0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0A1D50-020D-46D8-8B1A-90F850255103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0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C32E05-CFFA-445E-B63A-BD4034DA371F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0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AA79CC-4211-45AD-A139-CEB49DD702D0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0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4E8FE2-1FD0-4CD3-A1FA-0D85913EA42C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0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B0ECAA-9BB4-4D76-981C-9A90720F3FAC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0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6832A0-6FBD-4070-BD33-99D0EAC1859D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0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1D5D6B-071F-4448-ABAF-332E6D52AFF6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0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A02B4D-DB68-47E2-9E16-CC17FD79679D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0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E7EACC-375D-4414-A223-23B56D7555E1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0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9D2A57-15D7-438D-AC73-ADB827B34B4D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0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5FB2E4-CCA5-4289-95B8-133DD9D92D2C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0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17DC98-069C-4D4E-ADE3-9AA21A20BFC9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0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0A72BB-928C-4688-892B-880C673DA0E5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0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ED3A50-FCA2-404B-9AD3-9C268F079329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0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BAB4F6-85B7-4CA6-8E74-EBD45A8C4B26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0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E627E5-93AC-45EC-BCE5-A15C9CC90245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A4437E-B484-4A4F-8079-E40764D8CCEF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D6839D-F2E3-4312-B3C2-921D003D52DE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783900-996F-426B-B001-1C00CC4603B2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5AFCE5-432B-4795-B408-D8D13738956D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26CC61-7B3F-47A3-96C0-DB99D224C533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120607-689D-43CD-AD78-39FEE77F9680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8CE79D-E49D-4859-AADA-5FC41ABDB998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DD5F40-7500-427F-A3E7-4F123D9F1329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86AC4E-A3B6-44D9-B39D-A875D3BCAEBA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26C402-5379-496E-94E0-6B771E710589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826EFE-7BD1-498B-A4BB-BBB62484A83F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DFFA83-01A0-4B5C-8E49-B8088FC54C24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42E244-6311-4C33-B7C3-9D54FC7771F4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913B7D-6072-40D0-9EC1-313451027621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118514-D094-4543-9883-70F0EB9A6037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4CF29B-C150-4965-A348-01F908A9565D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995D75-9769-41C2-A4E5-CB80578D176D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8F6FB2-3180-4D24-AB8F-A9D2FB508F35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AD4A30-E9BC-4F29-BE45-45ADFB2139B8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1FFF2E-14AF-459D-8122-7BAC8EAE3BCC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289D2A-4CCC-4B5B-9CF2-183838B1DF4F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19C224-7F0F-46FC-A74C-A118213CCFA0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9DEBDD-076F-42BC-9EE9-0AF98BCB870B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F2731E-FFF6-4618-BE02-F87F9EC58C48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528753-5835-4A8B-828F-718C3A63DA5F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B86921-BD44-40E4-9BFC-193D1CBFDFCF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4E50BE-A969-4201-BEE3-E8F24301291B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99248D-9531-4EFF-9182-42F5D789AD1E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BEABF6-10B7-4707-9D5E-2C850B7779D9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6CD6A9-33E1-44A8-8CFE-28FBAD005FEB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4BC7D4-4A80-4930-B601-B4CAD999584A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7FFE42-F545-4B57-B11A-63A0AF4DC088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6A4CF8-6169-4F61-BE30-22DC70DE7C20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2B3702-D097-49F3-8AA0-4442190B4532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42547D-6135-4E89-9575-7F01068BD0D0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D55267-CECF-4504-A0F0-0C45EE55C508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079109-5FEA-496D-9CF6-FA09B0A1A644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39CE04-28E5-457C-8E41-D8F9348444C7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3144A4-3471-4A58-B3AB-A2632FCAD005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A8E838-4DE1-4EC6-82AD-DE16720DBEDE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446FF4-99D8-400B-AE30-651D7DC58BE4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225E42-7A33-4EBF-B70C-7E2D38FCEE49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834E29-739D-4E58-92CE-A8F5DE36BBAE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20366F-7AF5-4AB8-94DB-5065D81E5FF9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36E1B4-84E9-437F-BA6B-6A8E3CA30F6F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36FAC1-812E-4F8E-AE47-09CCE9C11D42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5022B6-69AD-4340-BC54-5BC0D0A1AEEB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B6F7A7-3B9A-46F8-8F02-80CA4E64F3DD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68D9A8-62F5-4B53-B0ED-7C7467131DEF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7ACD86-61DC-4D1F-B114-C7802659AFAF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2EDAC0-059C-4450-AA64-BB335FD4AD49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83D5DB-73AE-4D3E-AE4D-E1F52F9D5254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D9E783-1CA5-4D93-80BE-6B6AC323418C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40E53E-CF47-414B-B283-0B19660824C6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EAB1DC-733D-479D-BB24-EC52B8BF5A0E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CCD559-8A1E-4E34-8317-539F096E0501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97B71B-677D-4456-9BE4-21D89454E2DC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5A9256-81A5-468B-8983-0C3C0C5E1802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CADB65-971E-4004-8C87-887DE43C2196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BB9132-4EB9-4DFE-A65C-D5178B427DC6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D3B94E-6283-420A-B34E-D3F87D88993F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408D80-8443-41CE-A769-2757D4074408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E615B4-66F0-4EA2-8474-C892CCE3023B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9B1237-D32F-4B48-8470-4E18AA9922B1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3232CF-B826-490F-B038-085B1C5F0E17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3814D0-3492-4CBC-9A1C-6A5EC72B23C8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8EAD37-0D8D-46C9-BBBD-650A48DB5ECD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C22FC0-395E-4529-8D2D-D59392BCC0F1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B60F8F-CEF3-4ABD-A586-8E3B13336A62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8EE72D-2A25-4F10-831B-FB368937C3E9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775DBF-BEEB-4034-9FC6-4397CEEE1490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6A3B15-D95E-441C-8B92-7BEA5994A742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9AD720-83BB-490F-8DA9-A4AA1994EE84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974AFD-8CC1-4984-83E5-2CD680247354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A75B89-7B3A-44FB-B1B8-8EC7469BCC84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0BB19D-88D7-40DD-AA1E-1E23532D671F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DCD058-3B0B-4CD9-978A-CAEC9EF878D9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4582AF-3161-4772-9245-00B2C32A1711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5A96D7-F4EE-4AC2-9542-FC7886A965B1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B63F72-7894-4AAF-8D9C-02B19AD4F904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A32955-71E7-4D38-8400-49A2B9B1B081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058D82-7133-4BE8-B4BC-D0CDBFA992DB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3BCCB1-9072-453E-A4E4-E78859E41FF2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1BA466-B88F-4FEC-9543-0B34A2D5FB8D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7B6A9D-70FF-42DC-839D-1D5D2DD6515A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9EA79E-58A8-43EE-97F1-1DB86B6D248A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46A200-022B-43FD-97E8-B72D05E25B87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5D4FD1-4AFF-448D-BFBC-E3927DCFA063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9FF828-D9D1-4418-BA82-D0C45A04BB9D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1C8A66-1391-47C0-AE37-7B785A9DAE81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03DC9E-BB5E-4B23-A033-12A29F16CCC9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0E7F98-3B27-4151-9B6D-EC735E45BCC7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C03A7A-3D4E-4B72-A879-B5F0AD97F318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19</xdr:row>
      <xdr:rowOff>0</xdr:rowOff>
    </xdr:from>
    <xdr:ext cx="304800" cy="304800"/>
    <xdr:sp macro="" textlink="">
      <xdr:nvSpPr>
        <xdr:cNvPr id="11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8D9389-F865-44A7-B403-92E6A8116B14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A39DEB-AE39-4AA0-BDDD-541634692B9E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F3EE40-1E07-4F4E-8B5E-032957277269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978241-68DB-45A0-8F29-5A2960C6B899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C3CA70-083F-40EA-BE01-6374C7DC6890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BCB5F4-88F5-490D-A545-D41EFA35F292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1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A05ED8-EE9A-4B05-8DCD-1D7401D9333E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2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A7F4CB-34D2-481E-A180-82413FD7443B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2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1FBEA8-A1A6-4DAE-90D6-38BDB7A18C31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2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CBB06C-0D46-4109-BBB8-A9D91885A2A4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2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A026B7-5916-419E-872E-79484D64695A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2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FA6FFE-1EDB-43DA-BB6D-DF0BC3DB5908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2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4240F2-F201-45FE-8531-5DDE8ADC0F9B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2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6AC8C7-C9D5-49EA-94E8-9FF3B8682982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2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4BEB42-133F-4158-BBE6-E030300046C4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2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D981ED-4F13-43E0-832B-106B68045E67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2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5B6B72-A546-42C7-A6BA-F1EADEB9BDEA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2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F7C8E7-E9E0-4E5D-BA2B-EEB10E31D66D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2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EE987D-0E11-4839-AEEA-7621ACEFD7FB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2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59C50C-FBA7-4DF5-8A4C-3B8ADD91C48B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2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DE77DB-FD13-4200-A089-616BDC306F17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2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64843A-C069-4AB8-A8CF-4C9591ECB887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2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579748-5669-4834-8FC2-F90A8FAAD46B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2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2BFAE1-C478-4E2B-88DE-5C321BD064E4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2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C8416D-4F74-4AAA-8882-BF841829820C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2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270ADC-3245-4001-BFE1-EFBF95E175B9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2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3A20D8-AE55-477D-AD81-E7BAD3C36EBB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2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76763A-017E-4AFA-AD33-1D768BE18C46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27</xdr:row>
      <xdr:rowOff>0</xdr:rowOff>
    </xdr:from>
    <xdr:ext cx="304800" cy="304800"/>
    <xdr:sp macro="" textlink="">
      <xdr:nvSpPr>
        <xdr:cNvPr id="12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A2AE84-BF62-4DB3-A9F2-B7BC4AB32475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AB38F7-37DE-4764-9D41-89EFFD7A9DB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2C8DF4-0BA5-4F23-86EF-E4D0AAFF2C3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954789-A6A9-4928-94F1-542BE416D32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E43F13-7DBF-489D-8141-33737DCC531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787EBF-9AE9-4548-A65B-563260118EC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DD7674-64F0-4DEA-B2D1-B168C88FA2C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F50211-F579-4A4C-91AE-C0110078B52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549965-4BB1-4AA6-AD06-7FFD274AB94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F60C7D-157B-48B0-9C33-5D145FD26A6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16A028-5581-44A2-BB3F-759B0FDE205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EF04EE-A836-4AEF-A9D8-B7DDEAFC642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C49395-29C9-4EF8-8575-75400355D74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E5108A-A735-4ACC-BAFC-421AB12BBF2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164D5E-A592-4078-9CB0-F6AFD3F59E3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D461BD-45E0-4DAF-804F-4231EFB4245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18F2A8-CC2B-493E-81D1-A0EF82CC106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FABCF3-FF00-4BBB-9202-9290467B7C6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66F321-1C0A-45A4-89A8-81416D6C3A6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E71073-FE82-4F05-BF51-8E9A4896A54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881272-E3DF-4CB2-8416-6FC5210320E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85B72E-185A-4376-B2A2-30812CF9127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1EFB5A-24E2-447F-8C95-23E532FA978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F59351-4FBB-47BE-A951-633AFBB6622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F781A9-0EF0-4CF1-B0CB-866F642CC8E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A98648-1E82-4FD0-8018-20E2A3C0F0C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379738-0548-43D5-B1FD-7DA50AFEFE5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63F781-8176-4F06-B0C1-AC4BBF300C1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A7FCEE-A07B-4577-959B-725CEEBC158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AFDF40-0F8C-4904-BE88-941EB3F659A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DBC085-6D52-4DAE-BC8D-282CC0B8976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C7F2A9-F469-4142-9133-FB44DA47B35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AFD181-0958-49AF-9967-1CD8ED99746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D1A8DF-3002-4276-B9AB-CAD0A1E9E58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2E88A0-7EEF-4602-B93F-B8076E273D7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021669-1DC0-4CB1-A233-61DB86C516A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200C1F-CFA5-4344-A00C-DBC2F41944D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9F552C-007F-46A6-B483-7691133A0E4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275542-E93A-4150-9006-A432FA339FB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5D6AFD-6366-4896-89D0-1F4865BAE48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F80609-555B-4C7B-AAE3-C8581867306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38B1EB-EDCD-4437-9B3B-30211D48679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2D00C4-4AF7-49A1-A37B-217D158AE02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7916D1-7713-4EBA-BBA2-93B7F2FC476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80858D-146A-4679-9E09-54E71562DC0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EC7097-3A0B-4908-B5C2-4BF1FD9D17B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CCDEF1-A790-43AA-995C-B1B12FEABD6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1AC73F-DCB1-42DF-84B4-6413CC76B23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96C9F6-FB41-4D8E-9BDE-D478ACEC6C1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62DC30-BF9B-4494-A26A-245E283CF3D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FF3DC2-32A3-4CE7-8677-FAC27815763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BF958D-8D08-4E81-9CAB-17B3C4675C3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9A8020-27A6-4111-9E98-91181EB3457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D78608-4027-4B92-89A7-3B1CABEAF33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E711A0-34FE-4330-BA24-A68C3C4F839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CCEC43-0021-42F9-8147-037EEA3175A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BF8492-6ACB-41BF-92E9-766033D305D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593223-CBFC-47A6-AF2F-A1E6FB29EBE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F33BF5-D840-42F6-BD26-56D614EAFE2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DF39CD-F223-47E0-BE5B-502D27D570C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B60A1C-B06F-4582-9852-518DE63A6EF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C820C3-3906-4877-B46C-B8FCACE2999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2ECC2F-884C-42AE-9D19-8520F406475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766451-FBBB-43B1-BDDB-4CE544EC35E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88FD7A-8C2F-4325-B2A4-AD0F7479ED0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E9159D-1858-49C9-96F1-253DDBF2FFE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EC14AF-4BF6-4020-A6C0-91FAD78FB48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98CF29-2862-4EE3-8CF9-F11697B413D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AA2CC3-45C0-4604-9FAB-B5CB8160180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08B87F-AD68-4628-A0B2-7B7239F85A3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965AFA-98BE-4885-B71A-70BF6F5837F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DD092D-ED4E-4DF6-9F38-2372771DE79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14A633-08F1-4E9E-92DC-E49C40914C6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CE5398-05CB-4DDB-BBCD-800765A589A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2BFD4B-9643-4996-B04F-23ECC38A7BB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0BEC53-641C-402A-8886-38C69BFE3E8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CFED05-61A3-4501-A6D3-3A6FBE0A6D7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0BBC74-623C-4183-B1EA-CDAF62E885A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2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FAD0FB-0028-425B-95F9-EFA45E8A6E2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2C82A8-F118-4450-A8CE-C37560241BE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D99C6F-468E-4BA6-8AB0-1EA4A3E7F1F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4DB4D2-A2D2-4CEC-B6F3-1F18F9F0D48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6B1BDA-25D5-445F-A34F-D321407E626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E48694-B6D6-4E6B-93C5-C9D9C1A2697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85173A-DA81-4071-ACCA-F8639A3B9A7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EBAAE3-4467-4DCB-A6BF-E6F2C23DC2D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BA7BB7-FF0E-48AD-95B7-B54C2AB56F2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EAFF4B-4DE8-4202-9AB6-C26E9F91807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2FB471-1EB6-4C8D-9F8E-054A18F42F7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F1530F-5BB8-457F-ACF9-28B77010266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B9281A-8461-4FE4-B9C6-420D15D6311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841A7B-79D6-4DD1-ADD2-B68CFD0D43D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AAEAFB-EA7B-4404-8223-7C78611B42E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B2B395-0B23-45C3-8D73-A94A6ADDA3E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B74191-278B-47E9-9ABD-272F743DFE0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030AB4-101B-4E69-B398-F4F81886581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B1E1D1-CF71-4D62-8198-EC4AE77CEC8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7528C0-5D90-41C2-B000-77C8560AD6D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5DE0C8-D41D-4C7F-956E-961D39928B3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A69257-5A5C-4A03-87CB-B0C1D688B03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FC1276-DB28-4EF1-A928-8E944D3400C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329F97-2E80-404E-9CE8-46B3A6C65DE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0885D6-8A04-440A-AFCC-28E1CB2A6C7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C03E50-D75A-47AA-9EA2-0886C8993EB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3DEE83-D789-4544-BC45-B72A154FF56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C0284A-C1C6-40B5-8493-C7F0FAEFE77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ECC80C-F627-4A3A-89EF-8BCA01A4E8F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C0C2A1-9698-429B-80A7-6DCA1EA21E8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17BD7A-8CD6-4369-A437-69DD8DBB8F7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3FF962-B79C-411F-B28C-A734DAA9F19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EDD458-C2A6-4600-9AAB-2FB90E0E7ED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682E73-E5A3-47F2-89BA-A6C77C046B6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19EC6D-ADF9-4C31-928E-C2DC5F31A43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E2E6C9-002E-4669-8CF8-8CB87919D9C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7CB79E-CC3C-413B-A9D1-1AA979269BB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80D5A4-2571-4F8F-B19F-96D9C0A3D5E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6192EF-742B-4ED3-BDC3-6D53258D94E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C4AC15-3888-444B-A2D8-44701C78BAE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731B2D-BE00-4803-B982-0946C0B2307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8E6FC8-E2FC-4D2E-81B9-D2EAF4018CC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CD1FB4-9DFB-429B-BAEB-A3320BC5CBC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9E451F-31B8-4F0B-A272-83016B96433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674817-AF63-4596-9CD8-96BB33F3356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B1BD86-C596-4CDD-AC80-AD8904F23D0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F613C3-6395-4372-BFF7-41A9A1F1533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544E82-46C3-41E6-AD3D-0B51E1FF79C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D7963E-CE2F-41F3-8B4C-F15E03DE0DB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F9B445-4627-47AA-A463-CDC7A14D9E9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59E06C-9C7F-47DE-BB9D-2A11241FCBA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8B9A54-8846-4B2E-AD36-CEA15E67DB3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E9FAFA-DAB6-4B5B-85B5-91CD4CE1A19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E06A36-6E91-4899-8809-6DD5DC83CE6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0671D4-D2E9-455C-8802-360E2952906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02D676-B2D7-4C25-9C48-8F41A91B68A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F433EB-8AFC-451E-ACFA-506897DD5D4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477755-B2A0-4A18-BE4F-33F8664A85E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108B46-5467-429A-BD3D-7BDD3C084FA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25CC5E-CD05-4E0B-A1BB-19280791862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7B8A28-4939-4EA4-8AB3-2B4D6A38C3F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E16428-F101-449B-8214-683DCB47BD2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9686E2-8758-44E6-B0B7-0AD0BC84707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7C9626-3A8A-4DED-93E7-4C0CFCD4368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D7A9DA-2503-4B93-9BF0-20B2F65A62D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DA7824-A6C0-4F7A-9248-20115A8E320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187473-3723-499A-AECB-404867958BC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FF332A-9D63-4851-A5B1-621168212A7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23F043-146D-41BB-B42B-6109FE7CC47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855B44-2378-496F-9CDD-DF86CF13643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00B3C3-BA55-400C-9A0F-AE402B5F3D9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D2A1CF-A31C-46C5-B4DA-CA606AAE933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226196-F2B2-42EF-A5FA-85FAD891A52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7CB657-A7F2-4147-A5C0-2135A5242E1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D0BC28-7EA8-406D-ABD9-04C4A7F4C5E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85BB1B-8FBC-401B-8343-A83B8841BC0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58B925-1283-47AD-88CC-0A75C885187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BB2161-6BB6-4A54-A711-FB78E3436F6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3C582D-1E0D-478D-B90C-F16D2C16431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CBB3E1-B07D-4DE1-AC6A-64E0DAE1E54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2ACA56-1A6E-493B-A172-B9C4E4DC137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3AFD08-8B54-4928-AD0E-25773961E45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E8AD11-7F64-45BF-AA22-BA285642B8C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9076EE-1C93-4576-A2D5-52290DB9B47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B9BFB5-04BA-4E65-B6DF-CFC010AF2CA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834471-D758-4E5F-9788-8BDEB7BA73A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F19A14-5A9E-4929-B2B2-446901967B6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6692AE-E486-44B8-BE13-D7E0014E70B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40B6D9-044F-4513-B522-A901D1A0543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9726F8-85BD-4539-85B0-4C1692D57DF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BDA333-0903-4C5C-A569-F7E8D16064F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6F2D94-A9A8-40B0-AB31-C5656594B4D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06F5A4-AC3A-497C-9185-0A46D2B4A4A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8FE979-DB8D-4121-BF16-88DC6AB4D42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DB0775-933D-453C-ACD4-901A4891880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2A2DF0-DE38-4AAC-9426-F6F72524DDD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AA4E8B-0E60-4C88-A8C8-124BD838B64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32D262-E149-497B-9FDD-CC3B8B9583C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30EBD8-37A0-4A5E-9804-1A17B8B695B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85DECC-0F60-438D-9B79-7B4F63E4287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3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01ED9D-90C7-4598-B8DF-AF3B147F003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44AA5F-6B9C-47C2-866C-BC47A40484E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D80035-6B6C-4215-AC3B-11B08C18604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2F7460-F107-4220-A675-BC10FBC4AFA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2B8D67-767F-416D-A6C5-D74EDE4536F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3D9596-97A3-4AF5-855A-D43FE83E8E4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1F3941-F4DA-4317-98B7-D62311B064B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92E3EA-5EA6-4ED6-B5C8-215BD95F724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2EB346-D531-4DE7-BB4C-A6C84FF9166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BD1184-27CE-4E43-9663-09D9DF4DB74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D89AE1-A42F-4DAE-A74E-8E2AB6B9CFB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61BC52-AA65-48F8-930A-60E061FD1BE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DECE04-E84F-45E5-B812-6B6585D8A5E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468DF3-3AF5-4B13-9196-C710A2F88ED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C74B6D-51A4-47E8-89A1-EF042406B2D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ED2A78-5463-42DA-A5C4-89EAA0B1534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6C68C0-15FA-47C6-8C3D-1E72A77504F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E35FC7-BF0A-44D6-89E9-B1F8EE3D638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E12582-95B6-42B7-8B29-AF000D71FB4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2AD2C1-2854-495E-A4E2-8CB392709A4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879589-01C8-4234-9243-798CFAA89D1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9F31D2-E463-4EB7-A374-44EA696FF30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5F18A7-BDF1-488B-A80C-8306D13D79F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3C99C6-0538-476F-AB7B-C27B15B077E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7B200E-8610-4D10-BC39-000AFA0D7CE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E70F7A-1FEC-4A51-BC03-8FB7C6F9B21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E711DA-B92E-49D8-9B5F-E345D23A5B1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A0C6DA-1702-46C8-B682-FEBC28C07B6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9EEFA6-1C96-4B86-8EF0-32421A0EF95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41649B-6E96-43E5-9DCE-31C3BD8210B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E69811-C446-4E20-9F65-B7690FB3F60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92E0D2-B35D-4F2A-B00C-B57E88E08F7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D10082-91A1-435C-9DF6-7A0A4E25119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DD506A-18C5-4783-8165-5C00F400805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D822AC-5F47-4CDF-8FAE-E9BB29FAB7D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69EB31-7F06-41A8-AEBC-E3125BFCB30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5E9012-D33F-401F-97C6-9B5104E5706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4AA2FA-66C8-4C42-AEF3-3B445445AAA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EEB598-C5D5-48ED-AF16-15E6F0E154E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D5C15D-2408-40D7-920F-E4D52C7485C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C85D9D-E15D-4A58-9554-93F421A5570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57A0DB-0F68-49FF-87B7-1AA24A09C32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0D97EB-8435-409A-B506-874A2D75FC5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62317C-C8FE-4E71-A778-28B0966A7A5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9243B8-7365-48F7-8728-65F0A75275D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383F4A-F1F5-4BB8-90FA-D8CEE505FEA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7E8B61-7EA7-46DC-87AC-888776AD0F6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60FE58-5440-433F-AD3D-B22548E6EE2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47A784-2464-488A-934D-508B884EE09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AB1FC1-9216-41BB-BF49-3D35BB4FB37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7FF9F6-5975-4C48-B333-5312805AEF4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7B3C63-D198-4C55-9E32-BAEC8A2F570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2233CB-10E0-43FF-8F7F-DBCABEECB73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ABDD36-5145-45E8-ACDE-BA8183AAF7B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3987AF-3ABD-4183-96AF-54152518042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327CCE-CA1B-4937-8333-E6E0A44BABE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35C982-AE49-4645-9B04-2541EE3E4F0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5FCB6C-17CA-40F5-9ED9-2D8F471D4BF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BF742A-A5EC-495F-B692-A58245594C5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36B281-C2AB-49D2-BD31-4292D214FF4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4E9385-5FF6-43D2-AD07-5D00001F83F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1EBF35-3912-49A1-B0AF-45B346FDDDB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AEE948-1946-405A-9A3A-EB19A50E044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6B9968-1B27-48C5-901D-BC01FA0566D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1F0847-47F4-44C3-99C4-FBC9B04331E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447468-B860-4447-8E17-A7795880BDD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D3F9E7-81D2-4D0A-9188-AF7B6070A96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E40502-F21F-416F-BB36-D40D7CFEC10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58C703-0201-4C0C-A8BC-E3468F48498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94C752-122F-4610-944E-DDC8BDFB99A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422011-3516-4FD2-8788-5499F650BB2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E75E35-16AC-43F4-B3B2-20C3CE1B311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932EBC-E1CC-4D66-8EB2-6D57B0E6401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0EF915-C8F2-49D7-9C66-21F41F2DC6A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BC1B79-EE08-44E5-9437-37D4A7731BE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824506-C68B-42EA-9BC0-60F11E6026B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07B90D-C9E8-4535-BE31-ED858BB5EC6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1DFFF4-A452-4156-B9E3-AD009474B73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6EEA12-F839-4FEA-862D-901BBF1172A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2187D8-D6B7-41DA-B1E9-9C716B0A5C2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F99056-4A9F-4E1E-B513-0ADFFAE0359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B3B231-65E0-4082-A6A0-FC63E735D9F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8390BE-31E2-4C09-AD38-0C23E355DCD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A5A5AF-FAE4-40E9-944B-0B46AC54820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DC9552-CCC4-44A3-BE51-22F8B7CDB69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137087-ADA6-4CD1-BDE9-4ACF36310A8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5AA863-A289-452B-A6D9-9F754B5ED6C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6D03CD-7387-46E2-8941-1F87195C3FA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4612DF-3340-404B-B668-C40EB78830B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D83D7C-3076-4A41-9E22-A86A6777AA2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AFE9C9-FF86-455C-B5C2-33EE46A60F4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6B4D77-2129-47D0-80EC-E78BC1D99D5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0D1571-6443-4E8A-A394-412D6254BE6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B0DDD7-879D-438F-B7C3-BD37783F2FD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26515B-074A-4644-BE10-EF2FA93B1BB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711755-9665-43D3-970C-D6365C7B847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DBECE4-9E76-458B-86C9-ED361CCB8AD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A1FAC3-9F73-4ADF-9038-CC301923DF2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D9346B-FBEA-4E66-9E7A-8956290CBFC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059F97-51E5-408E-8AF6-91FE4EA0635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4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DA20C8-7904-4F65-90C0-CA3DFA6BCE9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5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1F3614-F535-419A-BF39-CC7740C9CBB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5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456FCD-EDAC-4AC0-BA45-17A9692BCFA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5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DEC048-B37C-480E-9EEE-D05E4C2E42A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5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14C00C-618F-452A-9694-66634353C54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5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6883BF-D353-44C8-861E-C4879245677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5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3BD473-F4F4-4CE4-ABE5-87371229472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5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334706-75AA-4744-984A-5D7089C3D5A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5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AE2D03-9C69-48C0-A7A4-44421B75CFE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5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B1CD20-6C03-4E84-A63A-90D587EA285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5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0C924D-929E-426A-B362-7868C06A6D5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5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8D2317-2292-4399-B5C3-0D3F1D35822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5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CB253D-EB3E-470E-8FC8-6111ABDFA87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5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087A0A-D99F-429B-A60D-25804BEBF59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5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D64F2A-B302-4E2B-B276-0AC2622079B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5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71A78C-C12C-42F4-A1FA-CEA75F4FF98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104</xdr:row>
      <xdr:rowOff>0</xdr:rowOff>
    </xdr:from>
    <xdr:ext cx="304800" cy="304800"/>
    <xdr:sp macro="" textlink="">
      <xdr:nvSpPr>
        <xdr:cNvPr id="15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04D557-F787-4290-A844-8D6848CDBBD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4D7200-B648-4C26-9E4D-64435E6D84E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065E92-4F70-4177-8791-12031718888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B5971F-64EC-4C4F-95F9-DB2D4C4EF00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67D8DA-EB7F-4DFD-90B4-F34CB69C1B6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E36698-A502-4FB9-8ED9-5075C61B001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37FAB8-ED54-466D-8AE6-C931CEEDA2D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9A4E0C-8193-48AD-B033-D6AD32383ED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B7083F-2435-458F-84C7-416F308D0E6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48F096-FE0F-492D-A63B-973143C51D2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EC4010-C2D6-4C43-9185-95398C88C9E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BAA723-8DD8-465B-BD87-9FC47B7B83E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8ABE00-D940-4D90-8A88-DE286D537DB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F2813B-AB57-48E8-B95C-AC6E305D5B0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CC5004-4388-492F-9CBF-0680FAB5D29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04488C-EB79-4803-91FD-B08D4897763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044115-CDC3-4DC7-8A20-F1D223E0DE3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E2911F-43E0-44E7-9D38-2A74746E4B9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508AD1-C1B5-423D-A871-3058C7F407A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D54F42-B970-48FA-BBA8-4B9C740F2C9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FDAEC4-7E0A-442C-8403-731F9FB461B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62F8C1-13B4-45D9-8E45-7E528AB0A50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249340-DB40-462C-B56A-82D91A56335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498DCA-5527-422A-BA15-8EF6C5FB51D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FEED00-4B9A-46B9-9AC1-F5194F6CD36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8A1AA7-FAF1-40AD-B527-1A6FEA0D43C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6A3539-0141-495D-9DE8-9DF2EFBD30A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1C6FBB-4E12-4CEF-87FC-EDECFFF167E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1ACA60-3CEB-4F8F-9EAA-00B788D15F9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2DE6AD-E250-469F-BD73-7FA9EF1E9FE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5491CD-E214-4C3C-A4A6-4D2B922CF0C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EF925D-F522-4691-A791-72598F1B88C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EA2A6C-81CD-4F4E-99F8-B5C90EC6FC5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CC55DC-8DC6-49E3-A256-375B00DD114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2351CB-AB3D-497A-ADFA-29DADE10819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EFABA5-9A8B-4432-B9B0-4478964756E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96DED3-6BD2-432C-AEBD-F989023AFEB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19997E-8A94-465C-A06E-B426A62ED17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3CF0B2-359C-4553-B676-D3606FFA272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31007D-171C-4BB6-9598-74DA0A6BC37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860AF4-9FD8-4A83-A9D1-A195815ABDA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DF0220-883E-4012-8B06-357FFFCAA7C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DEB397-0DB6-4A65-AC92-06F016FC1B2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C40962-E749-4985-A8C1-C54D5F5B0D1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B967BF-1A0F-4D62-A7BC-2FC19D1063D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3A008F-B20C-4DEA-B399-C5143E6AB0E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CF0D3B-3930-4C2F-BEB6-EFD2C0AADF6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81422A-2583-4888-B3E0-2972B4BEA64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1927FA-99DC-4C3D-BA88-7F7AEEB21CE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4F1B2F-2449-4EC7-A94E-7D5CA59254D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42F9BB-68DD-4D35-8C53-04D1F1B5189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3BFD3C-92CB-4686-B738-0E20C6402C8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840F29-12B6-4667-8A5A-210AFA05CC9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000A40-1B1E-479C-B8EB-476EA9AB88E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EDA598-171D-495D-BEED-70726C8973A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6A5494-0F10-4A08-872E-C15D4DCA9F7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BDB848-630F-44C1-B8A3-AC7C486208F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2099EE-CD1D-479E-A239-2D6A4531830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3586F2-3CBD-41A5-9614-C5A6D64DAF6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B51751-5840-414E-B837-31766588B51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B22689-38AD-43E2-B666-EA773F768CD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2BB6BC-33C2-441D-94D0-287C6736650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FC5021-32D2-4671-B02E-FDAA40339B9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B26D41-3818-498D-90D4-38BC62B0A51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E9BCEC-FC73-4678-B19B-1A59DAA4F80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C928FD-84BE-4C8B-9024-0C9BAFD778F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043D05-6515-45D8-94E3-DE37F888CAC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DC0471-4156-40EB-9BD8-4E94298173C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CBBB5A-85BD-4245-B684-C1D5AEA9598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2AF855-01F9-47C9-8A3D-4FC9F5A4095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AC2467-D66A-42AE-9137-634BB7C08CB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BCC9D2-910F-4168-94A8-C2C53721929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132088-C865-4184-A3FA-DE691D2FC3C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06C540-9631-437A-8B27-A0D46908D5D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3A52D0-BDC2-4445-BC7F-7D4EDF8FF36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6160C7-A29F-429B-885A-24A6D7EFE5D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DE5AE6-63C8-43A0-9589-C8582145D9B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A018E7-F989-4F3E-A4A8-6D1AFCD3849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79B834-4109-4D35-BF29-2AC27690DFE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CE8E42-0C1A-45F5-8211-02300C56BE1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F07368-7EE5-4935-ACE0-807083E4FC6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69A89B-8E6B-47CE-AFA1-A013EC2ADE9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062DB5-9599-4785-A486-7F91CAAF579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49FCCC-69B3-4852-94E4-90070632672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5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EC9A68-ED64-4C43-995C-0320D83B662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F64A26-506A-4807-86CA-906F5CCA119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FBEBD1-5402-4A6C-A90C-41D846EDB65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67F8CD-7870-4F05-9749-BDA082CA25D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7269B1-408C-47A7-AA14-1E6DC56B87A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71C200-8B04-4415-BF22-CC0E8E967AF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419DF9-6075-4BE2-841E-EF6E0F64298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90232F-54B9-4DC2-A655-CF268EE7215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DE3637-10B4-4FB3-BC51-3B7129C038B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3016D7-33C4-4E81-AB56-D7B05F83FBF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F00337-F50B-41D6-B85F-D3A3357AE56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33717B-BCAD-491F-9899-B819ABA8CFD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E7913C-32C1-4E68-B2BD-6A01F6F1AE4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CA58A7-8F11-4D91-A1F0-CA732F3F88E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9E6481-645E-48BB-8E5D-49469B242F7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B14B9F-0957-441D-A0E1-5A509A92922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5B9809-4D4E-49F6-8F20-6BFA3DB5F66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3DB061-ACB8-45F4-961F-16EF9E4FE8C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FEA15E-B8A1-4652-BF67-F8E484921F1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530273-09E8-4F40-95DE-FFB35FC992F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C77F6C-CE1F-4308-A912-1BBB47ED864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B744B0-55CF-4DBE-88AD-307F60B1B94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5E7BA3-D40D-4C7F-9024-C85B540D571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016216-5EED-4657-8022-DC63E70F097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94A36D-52DB-4114-8A2F-9CF0AA905CF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425606-BD83-49CD-907D-7A1167C7346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A12D27-D82F-4F84-B694-BAF113C6197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4B8430-E8F5-476C-999E-A672BB8139B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CE8365-76EC-4971-AE19-670B8A715FF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5D7EA8-8918-4EA3-870F-987F60AA69D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E65DAD-09D1-4108-B5F1-3942BF77F30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2F7CA8-7EA0-4928-8623-E50514DE631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39F1D0-FDA1-44AF-9993-6D02E1F7882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F5D9EC-A54C-44CF-AC63-353CD03EE0A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FA1BB7-DF78-49A0-B243-38687DB300A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40BA4B-170C-401F-9A9F-037320C0881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84C8B0-3E3A-4141-8858-12BDC9F1975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4708DF-371D-440D-9483-84C10E13409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F96563-D494-438F-9105-5FA62E4136B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619E8A-49CA-4C0A-AD87-AF47C5CC892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8B8E1C-0228-4D32-903E-3A9BCD9E1F2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4F9BD6-FC3D-45DD-AFA3-5FF9A074D21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0FFE3C-46E9-44D2-886D-119A29E2533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EAD98C-D714-4514-81E1-EC22303E1E9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59E419-53AD-4848-8324-E8E84F6E802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0A0457-57AC-434A-851C-F6E25E4D37A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1D1EA2-DE7B-4C45-A14B-76766FC61FB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FDF646-5362-4F04-980D-58BEEE552DF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0B652E-F49D-4063-B095-74349D0D1E3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83D294-A43F-456B-8977-365DFE786CA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95C67B-5646-4424-ADAA-5E70F75BFEA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7E5D75-3BA6-4163-B52B-B82F95C71A7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F084FD-DF3D-4BFB-90FA-01FEF2B95A1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2DA4A4-6EF8-4C9E-8A72-E791E8BCBAB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147987-82A4-4FB2-A29B-C5ABCF214A8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2658AD-1750-44C9-9CA0-902E0701A5E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4BAE90-3E5A-4ED0-B2CF-C076F68714E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74A50A-D0BE-48A3-ACDA-03D2AD31379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97B986-BEAB-40C0-B28D-64F0FB52F4C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6441D6-582C-440E-96AF-008B3A878BD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B67D8B-11E0-4127-8561-40637048316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2AB77E-0C19-4F30-94F2-F701CC35EA2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2BC67D-0E76-4C84-9D45-E75D815249E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EECA0E-5C4E-442E-9B9D-53C64789B94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30F79E-D156-4CF5-9318-AADCD0CEB0E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66ADB2-D832-4B11-8746-35CA3B29CB9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085EFF-7DB5-4160-A278-CB2D775D7A9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9B03CB-F73F-476D-9C38-C31A57F0FB2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1D57BD-7B4F-4060-93FE-1CAE6342C44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FD4B23-0A7C-45BF-AF3D-435593E13EE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DEC5FD-8A0A-43E6-BD2F-BBE15F8FF28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377743-8D5A-4D55-8A8A-3E49EE99252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B3CDEE-D809-4D47-96BA-313CB4F6FF2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B4468E-4358-4129-8E8F-B5BA982AD9E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7D4941-6564-47B5-8517-7DC9D0E4DA9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27974C-A6AC-4D74-9168-1DB50C49D79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CFCCF7-2376-45C0-AF3A-3F40D4FA11C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D0B6C6-EB87-440C-B0FC-2464F16476E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7BFC87-44A6-4A8C-A45E-212990906CA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A49A3E-28F5-4A8F-9A4C-C34D1E18330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466D45-A630-41A5-B912-892E494BF95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E6917A-A4B2-4912-931D-7ED86FFC019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B6B7FB-6BFF-43AE-9BA3-CF36F83AFF8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CAC133-9208-4B73-85D6-9324DE09AE1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EE59B5-16EA-4DAE-BBC0-AF418425223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AE96D6-C325-468E-974E-6ABF5F95482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124559-1645-4471-BB97-F5E83B0AAAB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36B276-2508-406F-A19D-8D59A1D3EAB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1FA225-B033-4DF3-8089-022827CA2AE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4B40A6-2136-4B63-9361-52116DDE880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CDCE47-04C3-43A1-901D-9707FE74390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A5BBF4-87A4-4827-AB1A-65668A042B5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0870A2-00D9-4E7C-8F46-351A0C5B859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DE0684-63E8-4D42-8125-B8673424618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B0392C-3F98-4183-A93A-11E08531819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70EA9C-DF22-49A1-A199-C3BA43B3B4D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90221B-9BF4-4BC0-B4B5-320A56B33C9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7F8ED7-67C2-4037-BB28-8723C13ADD2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C0231C-84D9-464D-B089-7403169D9DE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C7C2C2-1F79-4D96-8C50-A5A3AF190AC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6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E8B9B8-8E6F-482E-B131-0DFC4E689E8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2C8396-9E76-4EC3-99DD-23CF8392053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F8C8C2-41B7-4344-A8C1-BDC805167BB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530926-8674-4BF2-B55A-F0A9348F6AF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BF2DE5-D61C-42FD-B5F4-7ABD7DFF0E2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C446A9-6E1C-4061-B2D9-606CFF9AB3D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09DAF8-397D-467E-A828-496E3A72030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8281D0-92C0-4A04-A897-E4EA4A1C1B2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CCE11C-30EC-4658-AA64-CF795590AA6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E41B37-620F-4031-AABE-48DCA952D37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0EC768-A8B8-4E8D-9507-A180C0F66E4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860B7F-469B-4CD7-91C5-5ADAA31AEEE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6145B8-0A87-4E56-8BC6-038A4E5E19D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082950-AAEC-4AC2-B4C2-9B8954DECC8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82C7E2-B1DB-43A7-A66F-4F0063D5674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3C0C1C-794F-4497-A898-FBA10CF3888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2E1505-52D5-43FE-926C-47D5458A766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A544D7-B5A7-4082-997C-7D9DC10EB37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017592-E602-4DEE-8309-7C03DBB2334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40AF28-E3CC-4373-B10B-623073943EB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CC855E-8A3E-4F9A-AF74-EBE0A3BA8BD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A56C13-10C0-4AEA-9EF1-7FE2C54D3CA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B34C3B-35D0-4606-BDD9-0575B9F8156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D1D28C-6879-4F93-884E-B6E2043DF5E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5B8849-C8AB-4CC6-AA77-65F750E6A18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24F6ED-FC81-4F09-B7FB-B746D660E10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B58E1C-051F-48C4-96BE-CEF8CF58A0B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AF6846-E95B-4451-8A25-D4D3E611263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2947A8-EEBF-4DFC-AA71-BDF95ED1760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15790B-03DA-4E47-A5B8-8C4953435D3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C31875-AAD2-473B-82A7-3EE6BD0B256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DA3E4B-CD3A-47C0-85CE-0C68A4ACC17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9F7995-49D9-4629-ACB2-BA052CFBFD7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BE681B-350E-4171-B83C-DD1F624DCA7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BEB01C-21D5-4CAB-A573-5E3A294347A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856AF4-27A5-40D8-A90D-EE751C06A2B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10EDE3-B819-4785-8733-E14126BA9DC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1C19EE-26E2-4E72-B15C-CD527565EC7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7B8226-B769-47AD-831C-D031C452E1F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4925ED-A987-493C-BA03-8693E0DCFC7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66E50E-53F8-4DC8-BDD6-893D7847ACF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6A92A2-B791-45A3-B039-E40B4DF2C66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242946-F027-4C98-A488-98817FC5F35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DAC7ED-AE66-47C9-B0BB-CCE3952AD3B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0565B7-6FB5-44AA-9544-14D44658029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B74D69-5478-4D7E-9F47-BDF1373D46E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7BCF22-65A1-4D44-B4A4-34F1DDF2BD2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4732DE-245D-431C-B4E4-735ED536484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F5FE1F-57DC-45AC-A2A6-8C4BED605C3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870BA8-F94F-49F0-A16B-DC97F84F602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47DD84-1C7C-4C96-B9BA-DEC8287B98F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3E7DE6-ED96-42C1-A058-1B35FECAAF1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7E1282-82E7-4A51-BC6C-01C43A38E18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32BA01-F1F5-4DD4-BBF5-C590947FF78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CD52EE-0C1C-413A-B243-6D886A20CAB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1BC056-D26A-4268-B3E8-1868B6117B5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687CA2-5068-40C8-AA57-F612BD50C81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1E4436-0DA0-408B-B5ED-AEB25C6145F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A1FE38-929F-43BE-A196-06991BE2000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128C1A-58D9-404C-9C48-93676663724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2376E4-1610-42DD-85CB-82659B7993F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A6FB83-C153-425A-9380-B846BA220A4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853268-93C9-414A-8BC0-C9D0750A08B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2BABD9-AF85-4CD2-A045-DC3D30BF40D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830148-BF74-4858-98CC-055F9E993B7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4D79E6-6CEE-424E-8E01-1713EBAD4C8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F5F1C7-277D-4279-A828-95DC6A0D49C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98CBFA-365F-4FA2-A90B-D077DDF5440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25A15D-8055-4785-AEBF-0ACCB2FA084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6E9E01-FCF1-4725-B7F1-DBCFDB0DFBB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53AF93-80DC-4334-A1CB-DA2186504F7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53ADF6-7826-42FA-AADF-5C164711B7C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B64D3C-6D0E-4923-AC41-80E82115D6A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E07DA4-BB9C-4F45-9F99-2D364401283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A421A2-473D-4D52-AD07-E97B7EAFEA2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18908A-D660-46DB-B142-49BB2175AE6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0119B0-7231-4689-AE59-3BEDC7B31F1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57DE75-6FFC-4D1B-B6AC-3F9FC2F2D39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85F22F-1804-41D4-A539-83CB09D6AFA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953A7D-80D2-4A7A-9758-66B7490348E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6BEE9C-E2DC-4E55-B388-27EC4578E21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9E3AA3-3478-497F-A63D-276DF2FB86A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0DE510-6E0D-49BB-B698-53DB1B09F37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983C0E-D538-479B-8040-2CEF9B3ECB4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851BA9-B3A1-4B9E-8511-1ECBF47DEEF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B4F13C-BE5F-49C9-9B03-EF8771E0D05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65940E-633E-4382-9C2F-34BADF4F1CF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E2E14A-9EB0-41CB-BF30-1F437F89DE6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CA2612-7093-479B-8394-7B95B71C749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348913-F500-4929-8618-DE06404CED7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A1CD21-21BE-4E25-98E2-CDAA286FF4C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A2C4BF-0C17-49AB-9E05-8A15C392489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8FD237-CF84-4136-A12B-EA7434B6D52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561D8D-7B0B-409F-863A-3BDB7135839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06DFE6-57EB-47F3-99EC-49F5A3C6D27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990FB2-EBB2-4B74-B442-D8E2FE91E65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188714-D09D-47ED-B234-8CE052C5666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567DC7-B086-4593-9F30-10E6E4B427E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E5BFB0-2C91-4258-AC7A-4969A86F7FC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D856D6-6A70-4F44-8E9D-E06133394F8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7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15199B-264E-4799-B21B-652622A459D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5D003A-D3A1-4933-BA4B-7997EDC1C6C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240428-2185-46EA-8209-8863F1BBADA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840CD6-5C1D-4D01-ACF9-EECC1E56A79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2EE6E2-0B62-428B-A8F6-74FF045D1E6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675DDC-83AD-4979-BDC1-2DBC4FEA525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784CC8-7DC7-4C79-A1FF-2CA447033B7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5420C4-8B5E-489B-9E8C-745BC77FB49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DA7656-183A-48E5-9158-F7B0038D1B6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89550F-A336-4D0D-8FF7-D25393E6327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B67C20-9A6E-40F4-96A0-E7C3E169655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6BA9B2-2D18-40AC-B0A1-D804C793B58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717190-51FB-47B9-804E-8F365E46B23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AEBF00-0A57-4F8E-8D69-C64E738963D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2837E1-E8E6-4EF5-B964-6198CFB412A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3B3B6C-54B3-4959-AED5-FF5BEB932AC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97B02D-FB1D-4EDE-978C-EAE9BF1B3BB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89CEC6-5A5E-482C-A507-55E65532975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36D9BA-EF0D-46BA-A98A-AA5A4330B8A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B85324-55B1-4534-9460-91378FDBB33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1A60E7-D725-4110-97BE-DF2ED575E4E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A7C036-C359-4CB9-A3D8-0239276685C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127BEE-72E9-4301-8F99-FCA2FC387AF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286C79-612D-4509-8F8F-4BA1ACEBD81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880421-D9ED-4FBB-87B5-A3A72D4CBFB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587887-6166-4B38-970C-1BFE98FE93A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0DE1D2-A624-42A9-990E-F27E62DE3C2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652D5A-6127-41B3-9CB8-5B42A1F0E7C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7787A9-BE24-4109-A11E-ED6E12DABF0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BE2860-B88A-49D9-9BAC-C05361C9B1A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C224D6-5BF6-4A9B-BCCD-4908EF3FB15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DECB5E-0116-4228-8E31-8AA6C9DA861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4D63FC-ECDF-4DAE-8878-355EDDD1971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E41320-82C5-4BA8-846C-EF116CDE56F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EB6B05-BD98-4263-9258-82277874CCE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B87279-7F80-4AEF-9C30-5704A94402F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042601-8ABC-4111-83B4-63CD2F4073E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EB0814-FE46-46DE-987C-089B29B0132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20E920-937D-48BC-8F20-C4DAA5F3BCA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9A5379-0E77-4DEF-AEB2-2E1C0B9492D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74973F-E547-4CE2-8AD8-9EB284ACCB3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4E3783-5C1D-49E7-B3AA-08ECD6F8032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17EFEE-6BAB-4C21-B5A4-8620F6A6D58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0FA75D-8228-4CAE-9781-1955C1B1B42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78BCAC-E43A-428E-AD9D-F95867A6F3F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767819-7BEE-4B09-B335-BC81E564C37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3146A0-CBEC-4976-9251-F9E380BFC13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1AAAD6-A52B-4EB1-8E6A-64B4C4D6310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44A013-3E65-4297-9A7E-3F346DFB9C8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6FF70A-2D3E-4D02-960B-5C34A1CED8B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638885-6078-4FE9-B730-A591F839F20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060FE2-6BAF-4782-AE9B-6A8B6BA377E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51BCD6-71DB-45C7-9606-FF62500B9C9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16F6EA-C638-4D7E-85AA-066723EA4DF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82C2F1-7336-4676-B088-2E8973EE05E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BD7057-FE83-42CA-BE4D-2EF2F2B590B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28FE58-D122-46B5-AFBB-7E43DB3E435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EBC445-793B-4DD0-8824-0A31114C838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9EDB5B-B28E-4B6E-98C4-95626CFBBDA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0A0812-E43F-4A34-BD8F-1D03623EFE7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F75887-8DC3-4626-9010-6E57F14C17D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2E529B-29EC-4706-9C33-CACB918D2D8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BD10FF-B89D-404A-AA85-84359F76001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6649C1-6EA9-407D-A837-AF23D443E07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DCEDA9-4DCB-47A5-B0AD-3CA1F2C767E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D72769-AE83-4BDD-92E0-C0FCE0CEB39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C7B905-CF8D-4DAF-822D-0C06F127959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85D680-4EC6-4F73-ADF0-279F2CA8858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BA6933-D097-4FE0-BD99-26499EC5187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B412D6-29EF-4D22-AEF0-33F429D2593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21C80E-0C85-43FF-B432-85D70192A25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4C9863-33DA-402F-95FC-1E998779AC3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BF5C3B-40DE-4F37-A5CB-0547747EA2D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5E41F3-1818-42E2-910E-07E029B1034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5336FC-D59E-41D2-9CB7-F6DFCD55046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039614-4351-43CE-808E-B62F183BAB0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26D223-B4A5-431E-B22C-45AF680DB39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77FBE2-E176-42FF-90A4-BB87C0F62B2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903FC0-9441-46F9-A1C2-19997A7AD84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77C5EB-87CC-44D0-A32D-A667E76A306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B3B6DA-9F9D-4B4E-9569-5C5DD8A9019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DB3FCF-D25A-41D9-B832-9AE39A98CC3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3D3349-7C18-4C28-8B3F-CF40F16BAE5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0825B1-172F-4027-9207-4D39089A3C7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611B88-E279-4F48-B80B-E44E57988B4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330ECF-8620-4F03-AF95-804827E4A81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0C9865-DD9C-46C4-B59A-86226487566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3D1353-73C4-4486-8F63-2D2E5571E65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6FDA0F-4787-444A-80CB-38F5C3111DA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B5B69B-A5F0-4D70-8BB2-181CAD806DB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C65C95-557C-4B4C-9A37-EB32AA0D409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D2518D-F6F8-4F91-8476-A660BB7F1F0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273903-7867-4281-A0CD-4FFF2E0F04C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0D19EC-6123-4108-83B6-BD7F78BF149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623992-B87D-4400-9F22-290A485BEA0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BDFE17-6F1D-44DE-8707-781224C767D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D7617A-5B2E-478E-85D2-A333F38A553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8344BF-E331-4E73-B57C-08A56D607E7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2887C1-A1E8-494F-A094-6436CA6F94E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E2C26F-ED74-41A3-A549-F1F6CB684FD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8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920F40-5182-447A-ABC4-15FD8CC96D3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981450-3487-4C85-BDAC-181B3F259C9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E7EF42-9C53-4A0C-B349-2DFF4ED9869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FF05F6-8805-4C69-901B-1A54F996A86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F2F53A-90B1-4E07-87C5-DA70DBEF1D2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064DB8-4805-4673-BB6A-89B5BECA57E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27E8B9-705D-4582-88C1-047FAB65D8C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F85A4C-F5EF-4116-B4DF-0DE7B009BD2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4AF332-19B0-4CFC-A293-3BFC153F2CC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B9FFA4-295E-4329-9920-FEF4F393A11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AF1FE0-DD79-45E0-9E8F-07A93C795A8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262215-C3C5-427A-A4B6-5BD2001F177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48593D-E2A7-42E5-86C2-C73EDF0DDC8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70E928-34BF-49D9-AB9C-308775CEDFC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7EDFF3-B248-4C45-AAF3-BF2FA202887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505D34-39BA-43F6-8A41-9E2D9CE9731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801B19-3899-4143-99E4-60AD72769B8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27F4C4-877B-4800-94AF-71224FA656E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9297AA-7DA2-4088-A345-5B6D05D3858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1E82EA-7737-4077-B1C8-4931C6F56A8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65F027-1E54-4410-9355-20633BC2A21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BBDEDB-0453-440D-B9BF-4856C3B3245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6AEF0E-68CA-4F88-BC89-007ADC428F7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A30782-B905-4803-88C5-937B43508D8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510DFE-FCE2-47D5-AC6B-40066C3F7DB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78AF98-F811-488F-852C-7BC7BF9F722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8582D3-3A7D-4741-89BC-029EAD7EE53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5DBE6B-A36F-4C11-A522-5223678B7AF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15E1F7-7506-4139-9F31-1FB00FB857B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CBBB88-06B1-429E-9022-2D898C30B93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D1F0FF-BDB7-4940-90AA-24B76AAEFCA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79C435-A2C9-468C-91AA-5AA04F2B6E6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4F95C9-389D-4B45-A157-E87F00335A9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CE0D4C-D295-4C52-9D32-563938C2826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7950C9-E68E-46C5-B3F5-9B27B735B56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0A6629-EFAE-491A-BB0A-763A379B20F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8F27DC-E293-4504-BFBA-FF8BEBE2171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9943A7-28DB-464F-8EB5-08557C92DC4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392413-AB52-42FE-B971-DA0D51AF890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2DF0EE-0AD8-46AF-8D8B-E470B053A6C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0E2A36-AF95-4DDE-B122-802130CB990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CC5D62-3D71-40DA-BDC3-BD43A58D6A5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4F4639-5890-4AD0-938A-86DCE346AAA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233145-9868-4BD4-BE6A-C63A15D0039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2943D5-0861-4CCC-8178-C1A4CF7E709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577AF4-7EC3-4075-B2AE-D2F8269A54D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9481D2-E4BE-45E9-8A83-267EF02346E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9B2C0C-7518-4ADE-84AC-C241EBEFBEC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4A3C4B-0674-4092-8F2C-07DCD0C9F1C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840226-4186-46B1-A01A-95F39E2FC36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ED8741-56D0-44B4-994A-924EE78FC3B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E7C368-C2E9-43FF-A56D-9CA9A729689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ECEC46-4291-4E4B-8B0F-2F17F42D830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086B17-08EE-4B2D-98A0-30B4B2E9011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7D14AE-46B4-479E-8D48-8A84844C7E2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6D1E3D-5E81-43D6-89DC-53D9EDDD705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339049-09A8-498E-ACBB-D72D0BD39A0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01C0EF-B4F8-45B4-89BC-340F544B0F8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28DABA-E337-41BD-8B89-9B8C04EC455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2383F5-91D6-485F-BA54-719B157886C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85FD48-5E8F-461B-A43D-DD4E3390FCB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AE8CBA-3FDE-4FC8-9640-45D6775D609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26D70E-9A5C-46F6-8491-0EDF4D85ECE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252AC9-0B6B-441F-A1C7-AE9FB445CB5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B52995-79DF-40D4-B0E3-30E6B87B7BA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31ACEE-A1B9-4B9B-9039-1448617AC63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34CD39-447E-4A67-AECF-6357C453218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EF77C6-89DA-4625-8341-122AE1EBBBD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618E2F-46EF-4B64-89C6-5420F1E0467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309AFB-9E1E-4FB1-89DB-90333491BDD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C531B2-326B-4E39-9968-884D03E549A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B7268C-CB56-4F02-A006-2886312025B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829A8A-4030-48F6-BDE0-E5E250D842C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246D5F-E017-43DA-BD1C-803793506FE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000EC2-BCA3-485A-9DD8-4E09583510B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CF10E8-CB5A-4615-B661-C2C7DE693DC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FFEDD7-4710-470E-BA4B-323B0A28911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C74AB9-B1EF-42EC-BF3A-80ACA008C76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E60EA4-AE71-4323-93C1-09700C57D54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3EF16B-5803-44F9-9C3D-7B52B1572AA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5076C3-DE43-4ED2-8840-18D8504B98F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0A1674-21DA-41FA-941D-F2D2B9EBBAE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4A7AC2-EC67-4C00-86C5-36479B23CB3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8AF510-C744-4876-9D3A-F4DCDAC202D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CC85D3-0B8E-47BF-B6BA-E18E2A6DA87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D3E63F-DC2A-4CCC-B302-8D29C678072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E4C21D-C5DD-4573-BA5E-EEA2C78E350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4C478A-9654-4A6C-A3C4-809646C022D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739C1E-1B5B-464C-AC9A-946F7EB2919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1899DB-0D55-4F70-B52C-F6DE951F5C8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C1D568-485E-4259-A722-6725B44CC6F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ABF96F-B834-4CB0-97D7-A2CC6A45848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957E7F-CAF7-4C46-A074-6658F0CF157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4754DF-BB00-4566-A294-7ACD6854E1F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C03CA5-47C8-4938-807C-5113FC8EE0C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B33A88-1348-43E9-A1DA-B82E0A7374D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42E024-4890-498B-8AB4-9E2BC88D944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92AC3B-088D-4784-9C22-C48ED56FA41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849B73-BFE6-4BB0-A6A2-54B5E19851C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E5D99B-ECE3-4D23-849B-A368AB6BDDE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19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2CDC2A-BEFB-48EF-9AD3-5D356F202B3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006D87-04A8-4BAB-88AE-02121249463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AAC0AB-BBB3-411C-9868-388E86B1678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BCFB27-BE80-4E86-8EF5-8E235C1C826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AC26B9-5441-4C4A-93FD-3BEB649E8FD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201A54-A479-41BC-BB8C-0203D7E0889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A87EB1-5585-4FB1-9FF3-1995B6C2631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E9A9B3-7673-4935-BDC9-7341A8D6A67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2DD113-4096-4367-B27C-073DB4A5A15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28E54A-E061-4D6F-9AB3-08190B27590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6BC86C-A952-4A4B-A5EB-7A94370BF9A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580669-3805-4840-9443-AA5B7799FB9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9135D7-A5B3-4CBF-835E-728D8B0B31D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59792F-6D50-4E37-A50D-6FDCDDFA80F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7F0FA3-FBD8-4FBF-9FC5-CBC95E5154E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AA50F8-3673-4780-8A7F-40B704E13BF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596FBA-B2B8-4827-A475-DAC073CE9F5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B44B22-1543-456A-B1A0-B6926206D11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1582EC-0AE9-4977-8B8F-396AAC96365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F32D3F-EB8B-4BB6-B86D-A7239E579A3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922A53-BE56-4C35-956B-1F4322700F2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247E7B-B594-4B97-A9A5-B15C596DA26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69E8F1-B8C3-49C0-9263-7938410CC1C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C2C7DE-611C-4F2A-863E-34A0BBB0C8A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7D91E5-5E75-403A-AC8F-1A2E69137BF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B0041A-C2DE-49D7-B129-F25A2B05C13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EC30E6-CC5E-4B59-8BCD-FCE7E6463B5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12EDDF-B652-4FBD-806A-5920F8E1B59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814FB2-EDF6-4A0C-A174-B95D1F24DC6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118F22-57E6-4C0F-AAE8-D6B0FF20701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6ED56C-1D57-444B-B77E-AAAB8A3B6C9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C62133-E6F4-42E7-BEE6-6965A8473E2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273C0E-93B5-4631-8AD1-3B3746540F3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4E085C-7DB0-4021-A36F-619755FB464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23877F-FD6E-4EBE-A477-50EAC7B0854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529E6F-9B4B-4E71-9E20-436BA1A9042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42ACC6-977F-4B1F-944F-15A0F2EE731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2074D3-1AC4-4D18-AF76-0378113BEF3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F55FAE-3A72-4E1A-A2A5-8B2537699E8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F63FFD-2A55-4993-B5D0-5F1AC5DC4D1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6AFCD9-E409-4FE5-9B6B-349F914961F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243AF1-3F7B-40E5-B5D0-7C199E5FA74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3089C6-C54B-4A00-A1A0-A5BD1B8F524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B364A5-63F8-46AB-A3C8-F22813E8F2F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0C78D5-FDF8-4ABC-89E5-2B32036C3D8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C274E6-A29A-4D51-B35F-8DB038FDF53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18BEAB-BF45-4C3E-8C5A-FD9A847C34E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60999D-64BE-42AC-B9E0-C193BC984F3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CF927F-C6B9-4A92-A193-E4284CC3152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47A1F7-36CF-4235-AECF-61AF24F531D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7139E9-F7E8-4191-AFAC-1DD33878807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F9884C-43BF-4A66-9983-723DB935673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DE0E8A-6506-49FC-A2B5-1BD036C14B8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39F4C3-0FD5-429E-B800-5C308032F29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E3AA1F-D752-40E5-AC5D-5C5C90F0FB8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003393-2BDE-478D-ADBE-FFAEE361269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32623B-838E-4FCF-8105-7151B1F656D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625543-E2FC-49B2-B0C3-29DEDB76057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B08974-4167-4566-9763-A17D7CA5524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CC884B-DBDF-41BD-A54A-664142D12E6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336327-9306-4B4B-9401-32CBFC956D9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B5BA17-0D77-4FB2-840D-588FA950ABC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B96BEF-D9DB-4B53-8595-1BAAE6D0A30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2D8ACC-629A-4A6B-953C-222EF729ADF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D66C59-E587-49D1-B569-220054C8604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DDF8A3-B3FC-4209-8E6F-C2279FA6CAC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CD7183-3AA3-4275-A54C-EA3091D749F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3F53D6-E21F-451E-BE7A-40A3CF21D2D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CEC64E-854C-4051-B330-5A3705F021D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A81FFC-B8CC-4AC9-A656-71B77EC159B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236464-74A1-4DEB-874C-B6CB5630A99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76B317-4436-4C63-A8E5-6353FE9957C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84E924-0702-4884-A156-32A0C953145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E73EFF-4EDD-4D2E-998E-CE63020625A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669914-4CD2-4419-A088-0EC7A841904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9C66E6-DEDE-4BD0-B1C8-3F102212B9F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7D9221-020D-48DD-95A5-8A55B2ACE2B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8F2A89-75B4-4F8B-A197-CB36FE62ED4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11957B-7AB3-4CBA-A463-0B7C7C11C0D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D402B6-57A5-42DD-9B49-B30B42C76C9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C186A3-9D11-4F99-AEF0-11655614AC3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F464A0-0564-49EA-B2F6-2E55B88805C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D59868-47C3-40A9-859A-F8672825FBE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085E07-8C47-423C-9949-92B0AA957B1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528ACC-33C5-4F27-807F-2FC785570DA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CCC2BC-AD88-4D57-BE2E-C23A75DC65E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C1A861-4F0C-46B0-B7C0-951B8DBE430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E1F341-575D-4436-A4A4-B294E22E8CC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29ADBA-9653-47CF-93E4-B0930F8CFBD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0AA56C-B973-4573-8C1C-01D78F52E43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6DCE43-5003-4E10-90C9-306D7CD6DAE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926070-102F-4B14-A854-E0005872ED6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B5C7BD-CC1F-4345-B439-5822B5D404F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5F1A63-CD78-4585-86E3-1EA83C3B4F2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B7B85A-6B00-443D-A2E6-A17D66F2847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DA8051-F905-4F16-87E0-A0261D1667F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1D3E9B-F43F-4CE6-8505-502AC3F1846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9EA35F-D21A-44A0-B26C-DC1C983F80E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EE74E5-B755-4C02-9D60-09503DD7B26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BE249F-84E6-41E5-AE0E-36D6F14742C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0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300AA0-7CF3-470C-9711-9D551A5029A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AE0393-F9C5-4593-ADDD-2CD798AACAD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25336A-8810-4CCA-985D-2A76FFE2E2B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6CAE19-BD54-4335-8D37-C6ED07AF7A0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6C31DD-D93A-4402-B00C-D36F3CBD192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B5F6C5-532B-4588-B274-FA370DEC929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3B0A66-E264-43BB-AA45-8A486BA0A03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02AD66-A984-4F57-ACCD-2ADF7BCF544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05ED26-9A7B-44EF-A386-9FDE3C8F73C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7E87CB-C717-4E89-A3EB-FEF92F7B4EA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B8009E-19A6-44F4-BB2A-7F90235D126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CBCE09-EBE4-47AD-A6E7-5996E7D4B54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B4F5DB-B72F-4943-A888-BB0FBF623D5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8BDE9F-C516-4860-B03F-C98D38EEC35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B1C25B-C839-48BE-B9A1-DC76F525B15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7A2E5D-1CFC-450A-B582-83ECC419DC0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24F93E-8360-4706-8130-056077060B9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68A015-4B9B-4985-A939-CB95DAC95EE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1CE9CC-D74C-470C-8B91-092E22FEBD4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7A223D-685D-48BD-8C55-E0F72D7674D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DC34F4-F99A-44CB-9A12-FAE4A028D7B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636637-8B2E-4770-960C-53B387C4945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15F2DF-C958-4028-BBBA-AB445767A8A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016EFE-47F4-43DE-9FD9-2A82B7597CC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D0197E-232E-41D1-A300-A09479470E8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0BBC87-470F-4EE8-8F47-D666107327C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6DE9ED-B531-43F5-8376-FBD972FF36E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D7CB70-41F5-4178-9BA4-45FAE94C750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416FCF-DA33-4B14-BC0F-FF044E0043A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4DB983-EC6D-484D-A589-C7163D219D7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F01E8E-B072-43BE-8C9C-BDE84B64965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6A23F2-CA9B-40B0-893B-C3309AB9AEB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BA0DD9-ED8B-4D63-8D32-50A813D9180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E33FA6-09B6-4C07-9B4F-60B4AC7C238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5BBAB8-DFED-487B-8767-1F5E480AA7A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9F0007-F09D-423A-A87B-DB62D6317AC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17F410-C802-4DD3-870D-E5B63D2B1C7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7CAF9A-B07B-4093-AF90-0FAA4E770D2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31B1B7-A8BC-4874-B5D9-1C422DD8DCF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ED9A71-B7B0-4EF4-9A46-8EC161C0C38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F2E15C-A1BF-4F2F-87D5-97ACAC5F8F4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76BD12-317C-44D0-A4A6-5484AC1B9AC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8A35F5-838A-4393-8A76-55365AB75F1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26646B-8ECB-42DF-B140-FE22BFB04D9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93530A-2749-4DA0-A684-648E18A77BF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9FDD7B-A222-4082-A591-580053B08DF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34BE0E-E50C-4A04-8CC1-DCF96F3A921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7487EE-70A1-439F-9ED1-A2AF2B94964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D6BB47-7C6A-4660-B664-6842315D112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918802-750E-4A2F-A86C-6F8C5320027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86080D-DCE6-42A5-8049-3D0354D95B1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EC6D4C-2A8E-4C28-982F-119353F4A3E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0921E8-586A-4261-9BC3-F2DA327668F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690955-8DB2-4F0B-A1B0-1E5F5BE848B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AC05A7-5DC6-4520-AFB1-68247509F6E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A07F00-D6D3-426E-A5F0-E5B4CBBCB84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226944-3748-48AC-A821-62502312544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CEA35B-BB45-4A60-9C3C-DDAB042F22B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78FC8C-C008-4CE3-A2CE-7F5FDD3FFEA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6541D9-8963-46FC-AC21-B7765FE50B0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64BECD-D79A-4A56-B76F-08062F9D24B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4A0CEA-895F-4663-93F2-A63F67D4C01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5956AA-FC1C-4AE5-BD5A-9BFC6A50BF9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44E9C3-CB47-4FF4-8AB4-5100F69E349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862843-A8BD-49D2-BE65-138FD8A919A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7D2F93-CDE2-4060-B228-846476E798C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C18F36-D2E9-457D-A22B-178C1B1338E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1C0275-156F-4BFC-BD0A-F91EA9873F9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B29333-49DB-4D69-964A-7B59642B0AA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15DFC4-783D-4963-980E-1F060CF06B8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F996D0-4573-4488-88DC-6AAE33C6916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0A7135-D6D6-42E4-8995-A4A9874D0FE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8C6C1E-6780-45DF-81BA-DDCC656D006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81CC40-80B9-4072-9D7E-0C41743F213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450838-F03D-4973-9420-5EAA20EEE04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E238A6-6730-42BB-AD2F-4E9E9F2EA29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3833DD-240D-45BF-A7C8-59815130893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D20D18-47D8-41D4-B785-AC46F754C2A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A4B1A3-6637-4A12-90FD-86BBD04958E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991ECA-64D4-43BE-90C3-3B86C33FD13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FEC6D6-DCC5-4D41-AE74-E9996ABFAAC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103D00-D192-4E6E-84D6-703CFE52965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98569C-8946-4584-8D36-5553EFD1609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CF02B8-B927-41EC-9497-46FCFE79276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8D2F5D-EAEF-405A-A9D2-68613F354D6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F5D9AC-5341-4C17-9351-A8F93A6236F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66EF4D-6687-4B3C-9AB8-B6BEDDFD7F3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672E29-5CE0-4AA5-A29C-F6BF2D58B01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1A5853-4940-485E-84A2-1AAF0C9E15E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07AADD-E3AF-4080-B15A-C108057F781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DB426E-D615-454A-B711-041B5B19992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1834EE-1FF1-4CC7-BE4B-D4620FC3413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B0854C-F222-4378-8156-42601F4EACC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779B0F-7837-4DEE-A512-743CCB3774E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70A067-2522-4BD8-9417-C895AF5FFE3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6C8A6E-63BB-4867-AB18-FEC9026269A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A39B9D-F18A-4C47-91DE-A945ED00E55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D89036-CBE6-4561-B799-4AA3C0D61AB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3D3D28-A364-469B-B4C4-AA229CF4120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903A49-6418-4040-AAF7-8FE450D8207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1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EB4546-7091-4F3F-AD3B-CF1D5AE995A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E81A58-3365-4857-9244-63061009B7E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2C6C77-BC89-414F-8FF7-1B90960CBCB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C3AD89-DE12-4DFC-BCF5-B6E1BFB26BE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4E65F8-291B-4DE1-82F8-6F5FF73CA37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02855F-7CE0-439C-A3AA-3E0ED7532F6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2B4FFA-584C-467C-AC73-E87418E86D4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5214F8-50B4-4922-93BC-4BFF75663DC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60947C-4069-41B9-8B8A-7E0F46B9279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9B90EA-C067-4B09-95C5-E0DB0841E90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D5F9B2-7AD2-46DB-A6BD-41D30B96615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91D119-25E4-44B3-B786-BEC40B18510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7A704B-E54E-4567-BC74-3A35C5F51D8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6E6BF9-5DCF-42AA-B05C-9546C0AA560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F79652-49DB-46D3-A752-5EFC590EC9F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A9B65A-23E7-4FA3-9412-E8F6B0B18FB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B9F4D8-61DE-4506-8F94-2782FA260A9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449F6D-CFF4-47DD-B551-B4C596B050A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90FB59-1781-43FD-9172-BCF7D3CFF04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61F868-2824-4A55-8DFB-E7A50151C7E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ACDDAA-36B7-4CFF-B70E-EA869F2A0F0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F42176-AD67-4A3B-B232-A4F29989876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9F3FF6-06B6-4EEF-A87A-A83B03CD8E8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F4E6DB-579F-46F4-BEC9-A9D593E3323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5F3B02-53EF-42BC-B871-A213AE8E19F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12DB23-968F-4036-ACA0-16489D825C5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FB07C0-A378-4204-9833-11D2B900512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D06DD2-06CA-4868-AF3D-7C9A962CC2E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CBABFD-DB60-4EE0-9553-F15813D0A0D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0187B5-F6C9-4FA6-9116-32963CB8C23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34CD70-DD21-480B-8E20-0E125D27A16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73404B-1064-4093-A17D-1ECC3932D63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53BA8E-137A-4AD5-A5E4-6C46F922E6F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C9D666-8FE7-4CCD-8E3C-A58074D86AF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1FF9BD-4491-4052-9B9B-8E5AD5B71F6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F6DB73-A156-475F-9E6A-7E34AAF0616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55E8A9-FB4E-4F55-A712-1357AE77ACA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FEB746-53C8-40F3-B7E0-B23B9143A08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5BE130-1769-44EC-9D81-07EC28D08F5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1237FA-9A9C-459B-AF57-FF5F549022D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CB135D-B8B7-404E-8AAD-6C63D84C113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014EBC-EC5A-41E9-BB67-69499B622E5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5751FA-46EA-4A49-AAA2-5D7CE791E08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105E6C-1A08-4F40-A788-D35868758E5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E2EACE-795E-4869-9D7C-558CAEB95C5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2DD9BA-10F8-40A2-982D-CF2EB389717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AB67BD-5D56-4D13-8C10-0E5DFCE838C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945C3D-C617-4653-A656-BB9BE54D4BC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B748CB-C240-4D73-A613-70B90197467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B759C1-74F9-4036-A693-AF486C94813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650DDE-B1ED-4BE0-9279-08252DEA892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B6CB28-FEB0-4B2D-A6AE-F4995DF4D6D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4E0853-179C-4F07-8D1D-DC2681468ED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FE6CC5-BE73-46CB-9504-93FB42D578B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0E49EF-9B64-41C8-A62F-863E2185FA9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47F012-4E36-4CB2-B6C4-1106E809885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7F278E-C599-4281-840D-8F10FD5B22D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E1CE03-031C-47DD-B5DC-FB9E9B7731F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246F1C-A03E-43AA-93EF-EC347139767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B74922-CF10-4164-A97B-8E44A4EE9B0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F19166-A309-4BAE-8ACA-192A834FDC9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E6B73B-5661-47C5-BE0D-5D93827B06D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D38860-CACB-4788-8DED-BFA8EFF155A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0FB27E-3753-4B28-8B3D-71AA5FC1725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4338F8-0726-4F94-9941-48C4673D1CB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1BF8BF-CA92-4D19-AA8F-97C22E4EE14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324007-BC8E-476E-9556-994E9858EED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EDA229-429A-4FD0-A22F-70E17D1BCF3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E4980E-33D0-43C4-96EC-F6A8F123223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214024-4962-4DAE-B583-2C1634B7FB2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BE4764-FC3B-40BA-875B-67E0CDA888A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10A5AA-61EE-4CFD-BC78-01A39ADFFC6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C6200E-A08E-4AA8-9F69-752797C1148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34D042-E3D9-4CD0-AB46-AC5CC3EDA25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3C4B30-F748-46A4-8482-72D98EC54F4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F844D4-7EB1-47EF-937A-A8D4B6659F9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D819D6-39B6-4687-B05F-87425973CB6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02AB36-FEA6-4B66-9BB0-EC45459EDF8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63985D-C483-47B1-9AA3-9B42C69D64E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4E7DA6-B64F-4308-9219-462FC401C01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707F9F-FF84-4FEC-8AD3-E5D1D95499E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527B39-86EB-4C4C-AEAD-375338A5999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E48F0C-367F-4DA4-9AE2-FAA7BA7A0A9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516ACD-92C4-4893-BC44-DDF6803F107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9A6B9C-9D7D-4768-A0B1-D058D56EEB3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AE4697-24C4-48CE-B84F-FF2F3DA5016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EE3517-5BF9-4D41-86C6-B85AE9815F3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EE54BE-611C-475B-80B5-484F0C9103F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C6A1D6-A756-46EC-833F-1E0759AC33D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F08669-3DD0-487F-AADA-B5C776ABE16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AD17D7-EA62-4025-B67D-AED07A1E115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3468FB-E023-4439-9B61-65ED9C4A54A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E96D59-2BC4-4718-8C46-A55A0EFA077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12F644-55C0-43DE-A5CB-86B0C2CACDF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210D39-4E01-4AC3-BB13-0920F53124F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E1647B-2E34-48D0-B48B-4A4EE30CC41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25149A-33E9-475A-B8AE-54BDD1E8BB0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84559E-6F99-4D2A-8A7F-7AF3AD7AEB9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94379A-A71D-48BD-B649-948933F26B8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8C113D-2FAA-448F-BF6F-4E5D23B0160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2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60021A-B254-4046-A2B0-0CAE89758EA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2A5B8F-ACDB-4694-9F7D-A3F9A1569F7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66EF3E-0972-40D9-9F2D-A887556ED41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40886B-5DD4-4206-AE50-29D55CB9884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7A81BE-C2C0-4A2F-BCE4-C2BBF9B14FD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2C3FC9-C40E-453C-9F3A-FAC34891EDE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B16F21-0169-45EE-AC84-23883EA71D5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BBB038-B9A8-4E79-8EA4-3FEAC162E4F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3CFB28-1FEB-48C2-B50D-CC424EA2DB6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EF9482-233D-4EEB-B123-EAEFAD9DB32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C4E688-CEE7-419E-97D6-2929D0265FB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D1A510-4940-44A1-8477-398B94E2A4E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0238F4-4CF7-49AE-8F4A-D2268F3F257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F18D1C-3C39-4CF9-B2AD-11E3CD0C837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DA53B8-C823-4042-B7F3-87B36790002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043840-51D2-417C-A21C-25532093A1D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BDB01F-43E8-41EB-977B-B6A47BA160A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FD8D51-8AE5-404F-83FB-8735F815B9A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D0E9E5-AA33-45CB-94BB-1DBDE738831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94392E-286C-4CA6-B427-A1BFBD02F55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651116-63E2-4F51-AAE8-A1C707C65B0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F3B6EB-E61F-40DD-A71C-BA63ACD2784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1FC349-E8BB-418E-B299-E8261F80D6B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26E6C0-9A88-40E8-A064-9B6A3CBCA6E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D00DC5-D52E-4B9A-ACE5-5F8FA3D9CA9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1306F5-7BC7-428E-BA33-83DD6998F75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391984-D55F-4723-817F-82D38B9E967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5402A6-34BE-42D0-AA28-3047612B77D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96307B-5542-4DB9-9586-A90ED59FE53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DFCC79-7FD9-4578-8314-AC318E5094F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B57EB1-8102-4785-BB9E-62653E16F88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B5091D-190D-436F-A22E-AED1471029F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EF1161-3C33-44C0-A3D9-93A9A230BB9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701095-FFA5-422F-AAB0-195B1D7FBF2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20D604-F509-4DE6-B8F8-555B70C4C01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F59A9B-2A70-49D4-A776-9573B32F934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F6A07A-07BE-4927-A1F8-24D3D9AD92F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C63ADA-E9F6-4047-A20D-6A2A4FF501A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74B117-7898-4973-9E72-8248264DFCC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350051-D359-47D1-BBCF-E6DC070E74D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A89D50-A9F3-445D-85AC-7F8258A7A89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272C5E-01EF-43C5-B9D6-AE5386CD514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8D95B3-012B-4573-87CC-20D8D526889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DDB8EF-2076-4562-A9AB-17F88D95195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7ED40A-D40A-4599-9726-8078EB3603E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637924-9E1E-4975-92C4-5AC7FED5F82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B42528-75AD-45F0-B0EB-7D06E095E97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3B18F2-6C1A-4B63-BF64-D8B2F4667B5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38E811-179C-45E7-8359-CF96BDF3BC5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536888-8737-4AD3-A715-F71F3BE4FBC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B6130B-6CA4-44C9-AE92-7D1C8EF35C7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56C86C-EA59-451F-8FC2-C0047714AD9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F76490-281A-4A6D-9AE7-969231EEE18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95BA7D-2234-4852-A9C4-9BB6D23EEA5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A27B78-A718-4A6D-A066-25E81BFEFE3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E1CA06-A2A8-4897-817E-2E6886A9CF5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DC0CD7-12E8-426F-8A20-6CDD64FE422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9B983C-AEB1-4224-8A60-715027533A3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2CE3BA-7555-480A-94AF-291E4B7017E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419E3A-5A63-466F-AEE6-97EB81F3378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C6ABCC-3B05-414A-A557-AC7218083AC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FE3B3D-280D-4644-94A0-50211D3C632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A32052-2885-4545-A01A-BD4742DC4E0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623154-65ED-4C7D-89A5-9F7FD47A48D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B86E7F-A139-4C65-A77F-70AADBEC383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440B45-8809-44BF-B498-E6B6A7577A5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701534-DC82-4165-8773-6BD79C1ADFC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C6BEA3-8096-49E1-8F93-D5AE0AC7766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A4FF49-2E65-44B2-99F2-FC4BB1189A6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945AE2-5D88-44BC-8C7E-4D7DE371BA7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8AA251-59BF-41E7-A784-5C65A6CB71C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BA1BFA-5D0F-4985-AF0E-7E24136D338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93371A-4AB8-4A6F-9FC4-71D65F00AD7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748D15-6F99-4C3A-B115-B0906276D2B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C42C13-93E7-4AB1-85C5-70AF8E7BD98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42AA4B-3273-4510-A5A6-9792059EAE2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338D7D-25A6-4994-AC9F-B8F8E134A57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664766-BC52-454C-ADB1-C08163F0EF1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4F2371-E181-414E-BCBA-A9A918EC5EE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E135B4-5A65-4AB5-81A8-BB945DE9646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9131D0-1EF4-40BC-B62F-47E0FF5FFDE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FCB8E4-DD93-4EC6-A70E-206F6E51D54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5D7E80-D27F-407A-83D4-3E5E4C11BC3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DF1E4E-FC0D-43CE-9E47-EDEC3F19596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4B53C6-4AE0-4AB5-ABFB-9C1701275B1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C1D3C0-33DB-427C-AAA2-0A09BCC631B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A48731-2A65-4481-A2F2-8FC7E2131A0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5076AD-B050-4D37-B14F-480BBFA716F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01CEF7-CAD3-4B7E-A0D2-3C96AFE95CA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8A2381-773E-48B2-BE6C-7B314FB8244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B9939B-DF2A-459A-8A49-3D024424E4C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183CE2-3369-442E-9483-230D3E772E2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C5A6D6-C677-4C94-B367-CF41D6BEAEA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FDB93A-25B8-477A-839B-FA32C6C00E8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578325-41FA-43A8-A5D6-F37F14DF9F7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CD0BC5-3387-4C42-98B4-B7DDD3CF082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8F3C7F-B017-4EEF-96B2-151B60365F7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9B6E17-29CD-45D3-BC3C-5828C32412A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ECA683-10EC-4FC3-A26E-D6F2897D6B6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7E7EBB-71FD-48B7-AEA2-6DC1EB44967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3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3A4D65-5282-4AB6-BDEF-1A8760C6F93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D5A62D-9D5F-4C68-8719-C3CD3E4B59E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BEAB4A-F6F2-4E9F-AF75-6BCCF763425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686FD4-7410-42D9-9B54-4E4405F594C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A08AA0-9026-48D4-A9F6-A8FD3E4BD6F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A7B3D0-C744-405C-B187-B27CE228484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5A9F9E-52CC-405A-9A7F-154047C09D1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56A9C0-1B85-4657-AF6E-672352FFA72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F88A59-A60E-4060-AA3D-BD03AC718C3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D0BC42-4F68-4CF8-BF02-2D1918F7C94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9295EB-A6E2-4E10-9D1F-E44A7DDBF34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B88D1B-212F-4D62-8F15-71FC84F3B00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EA2558-7874-4992-BDC2-1B3A819C219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C21C2C-4C4C-4AF0-9BB0-64D57DA915A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95B634-382B-486E-A69D-8DC80E530B6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66FC31-A2BF-4BB8-953C-C218E249583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B1A515-3391-4B9F-A048-6309715246D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4F080F-B9BC-4524-88F1-47407CDA22B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0F7DB8-C933-4247-BD63-57DC0FDC251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3945A1-6A22-459E-A68B-3317DA419B5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210B5D-E0C0-4580-BB3B-FD39AEFCD39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ECE630-1BCD-46C1-875F-2B0D2583D3B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7B288B-E867-4528-BE3C-5C168660180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087242-8136-42C7-84D1-EB0A14E8BE6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D8F988-0054-4666-8840-3483C0AA811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AF31FC-7010-4564-93F6-59906A8F302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0239A6-AAFB-4B68-A9A2-9CCF169A0F6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F303D3-6206-482F-B211-64073A4A249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DB2A9D-F9A7-40D0-B4A0-C90FBA8A520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DA1634-914C-429F-A124-04F2D3E1BB5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2F5809-A96D-4BF9-B20C-E11AC2D7088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3FEC74-A9FB-4338-ACD5-281F0D8A86C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729E3C-1FF1-4D6A-BAFF-D5E3DA1DF98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31FA39-811C-4688-A83A-DAFC96841DF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5ADFB5-82CA-409F-A66E-C39CCEE4FA9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611D6A-A0FD-4AEC-9E59-31FB79D4BFA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0F5D13-C71E-4D10-8E46-5C3C9864F02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F58C0D-E84E-4FC8-B106-E87250906FE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1EDA5A-296E-4358-956E-0C31E74D6F7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E11A3F-8B9E-44A4-8C87-3AF12885C92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329BC3-CDEB-4AB7-A8CD-A60903D4A1F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3D49E7-E88F-4C53-8897-D9BD9A22D0D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3EE14A-D0A2-4DFD-B79C-B03351F96D6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B5B619-0F9D-430C-9F8B-EBC0D6B337F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A5DFB0-8214-4597-A406-1058547CD42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300A1C-D49A-4FBC-A2F1-3B818F844DD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937AF0-50DA-4FAE-BF92-143CA923F1D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7B1C62-DD6C-4D47-898E-C37C61EE414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8C7730-7359-495A-8BB2-8165D390DCC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65FEAB-81A3-4031-BF55-1773348E65B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65D706-13A1-4E04-91AC-54F76FBB693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F2198E-C392-464F-9F71-517D64B6CF4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40F88D-0798-443C-9EB0-D0AF865D0F5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E8047C-3343-4819-B82D-395628EA1F1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961FFE-8BFD-4A01-8EEA-70FE0041B5D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AEF524-70A9-416A-BF8A-C5342FC5037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36F0AC-680B-42D9-8EA5-0F54510CF7B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CCE9F0-776C-42E2-8EFB-EB14973B31E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D55FD6-ABD1-418F-A43B-F5325D6A0A4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4F333B-DD44-42CF-A5F4-061926502C9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0C82AE-8069-4F44-B4DD-92159C4D252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0DED84-B1C6-4459-A157-A53B36F7B9B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07AF67-24C2-4430-8680-8CA333C9583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02CBBC-8C54-40CE-ADF5-D2C6AC06FCE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F37C6D-2BB5-46C4-BB92-F23428EE41C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595019-5B20-40C4-ABDF-8D574B7E671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6465CB-6D25-468E-BB62-17A80209624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A21387-D79B-42CF-B786-E9196606C6F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3286CB-36B8-4D24-9676-6FD008CDAAF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2DB916-5F73-4B8E-868A-C5B7C9B333C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539AA5-7D45-4512-BBD2-A2CD09B2006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EEB59A-E99C-4934-BEB2-8DCB6775B26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3C586D-E79E-4385-B890-0C822667099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756720-DC96-4D74-90A8-9204B62BA41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E8A1F7-9137-4E0F-ACCE-130293CA781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35F2DA-72C9-4BE9-88A3-745F6CD3549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2F409D-F4A2-4B67-A902-AA7EDA720B4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A7C976-A8FF-4C3A-B1D4-EADC1FACEB5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CC5A7F-9CFA-42BB-BF34-93AF84BA68B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206D3A-ADD8-4352-93BF-65FE228583F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15124F-5F32-4DAF-AC1F-3EAE4E2E461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BF1AB6-F3C8-4F26-9EFF-A840979927C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1BE407-CADC-4AD2-8584-FA8967978E6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015393-3C68-4614-AFCA-AE967725C15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C4D3C5-E5B5-4F01-9A88-AC77017A5B5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98848E-77F2-481E-A31E-6BFBBBF1F67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3AAD8E-65B3-4DAB-AB21-C904E965229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4B309A-7D86-4673-9BE7-0F042BBEE42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52D404-7E36-4C16-9879-4530B68A3A2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B4B5AD-D089-4FEA-AF58-F4A194ABCF9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24E4B8-9E1D-4AF1-9546-51BDE18B087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245EB6-E44B-42F1-BFBC-E13FD26AD63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AD15A1-8146-4C62-B2D3-2F4CB0247B0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CB97E4-9721-4842-AFD7-437A57CC905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276608-43BD-456D-B9C7-D4C0F7F38E9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3143FB-68F6-496D-8171-1CEDBF7B65C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5E2EAF-0861-4CC7-95C1-0BD3864133A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727BBB-4C6F-4CF4-B84A-0D4FE97F2DC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098F40-3C72-45ED-BBA2-015A9B6E40D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DB4A84-7179-43E8-B2F9-D5DA281D74B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4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583F64-AC8A-4B47-9436-0AD8CD51C05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F363E1-3EB5-4A7E-831F-E3CFDE648FC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FA9D0A-154D-4423-9792-A9D4B3DFCFA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1F3DE0-6E24-43DA-95A4-1E65DEDEFFB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1C72AB-0525-42CE-A835-AD20C5BA97C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083193-5424-4299-884E-83EE66DBE31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CAB14E-0E34-4BA0-B8A2-070C6F104D9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0E75FF-9049-441A-BB99-91142142396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08CF36-BD59-4CB8-909B-6B2E1E041F6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C93191-5E13-405A-B972-6D4D9CDC1F7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13550E-620F-4690-979B-4AD291AB294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D5958F-2384-4CE4-AD44-A5CC8D1F941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CD4B42-AFF7-4C48-A7AB-45F9B273CE9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020C8E-7293-4C55-A9B0-737FB97A395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BB8BAC-4FDF-4264-BAB5-5F72931E906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EAD464-DE47-4B67-8D12-98D3ABADB5D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EB919A-C471-47DC-A332-922FA3F5FD5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5D550C-6011-46EA-9C6E-A07FB299D56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0443DD-448F-4065-B981-7D886D87D61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D92792-9AB7-4E8B-9971-6C0E17C88D6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0750A6-7F42-4DE1-9FF4-72753A5EC1B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C4509D-D0C6-45ED-8CED-C9E5224CAD0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CFAE2D-0EC5-4D7F-AFB1-EF3C26157A5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0D4DE0-19D0-492C-84F3-7752E733D94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0E1228-BEA7-40CF-BA36-E26BF98B131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ABD332-3F52-4797-BD58-A04335C8E8F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EBE50F-EB6D-4754-8ADB-A354413C665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A72508-FD10-46DA-A06B-862BC535B5D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3A0D66-B506-4FDC-8781-807E021C85E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3F8345-7E96-4E94-96D7-991B4D59FE7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207202-09F9-4C08-99F9-D528442FCDC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55EB37-2EA9-45F3-9D14-3752A5E9A10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A48196-BA0E-4CA6-9E41-F899A9CD814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906ABC-4586-4737-B228-A4327C377C6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5A97C9-2793-4D1F-BFFA-01A5C4014C7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7BBA0C-31DA-43C4-A2BF-9620EE39D03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D7AE56-1EBB-4569-B738-ACD1CE3C23E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6CCDB7-6F44-4EAF-9CCC-41C1BCDC689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A5A272-37C2-4108-B6CE-CA966D49D1F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67217D-2958-4E3E-8FBD-3F9709EE09A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320F5E-0663-428C-955E-07260C9E1FE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3918AC-E1FC-4C60-81CB-E096A48A8FB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E634DF-0054-4B29-A833-ABFC20791F3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A01D73-7C40-4E3F-94DF-945F3217ED2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836C64-68FF-4D54-B9E0-AE0354568A5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739FDE-43D7-443D-9645-BC38B2BC86B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C2B758-FC93-4113-9BA9-8D1F9C51197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51C6C0-419B-4DC2-828F-D5FB6BD734E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24D25E-0564-4B9E-834E-7E44C44C58A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E7B4D1-28DF-43CF-8708-AF6ED43F995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F46CE9-490E-4E0F-85AD-E709D05803D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E64FC9-9D90-4772-ACA9-55B6DBD7A40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7C9793-D911-43DA-B769-8E85EA26D6E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952095-6BF3-47B7-A6D1-85FB9984A08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4D2438-F80C-4F55-91A9-B3B09D5B468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7DA680-83B8-4061-A458-CCD1DEE70FA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616F85-82AB-4F1D-B67E-1B1136645A9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947617-CCAF-4F94-A97B-4C24BD29D40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293E31-D721-4E4B-9235-EFBC73E5197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A58EE5-5460-4305-BD28-85EB246D181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E6331A-3A4F-437B-A68C-F3F4B73903D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47C5E5-A371-4F0B-916A-46FEC61F340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A870C0-96AD-467A-953D-9FD1F23315B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49D4CC-659D-4ECB-A243-240A6BF3AC9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5E232B-4DAE-4E72-9EE9-4318DD5454C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305E19-DACC-4C67-B3F6-EE0CD677B26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72B34B-AB97-4C23-A286-F940F4F9B43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6D517B-1228-4C64-BB52-0B9122E41AD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8B6C31-B35D-4C21-A7ED-7B1DA7FAE77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C42557-EADC-40DB-9A73-2136EFF6C36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689E80-59AE-44B3-9777-E6E19F1D094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250208-64A7-4DA2-A81A-B4F7AEE109A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EF2696-AD37-48C1-98D8-4A89EDA517F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B68C84-7D58-4CCA-B6B6-E8BEE1C84DA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1D9223-EC6B-4A45-8AE0-377E7521CC0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32742C-1D5F-4D7C-8332-813039292C1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FF268D-330B-4156-B115-2C820DAAED6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9E0C8B-2655-4998-B689-BAB991B3477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6E819F-BF25-4F95-B925-BF30138C7D7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E9EB4A-693F-4B11-B7C6-36CDB19008D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14CDE5-51EE-4AAC-923D-70F3E78A120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4ED864-4C6D-4E62-8910-369EE91E13C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E66F8B-33FF-4558-9F7D-4B4AECEBA0E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893143-FC4E-4013-882E-669C9A12C10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F2EFFA-7C93-40D8-AF8B-160B6EDE20E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B64DB4-24FD-4F14-9C90-8079932AC07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78EF4C-09A6-4F28-92E7-5F436914A58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8F0ABE-C312-4266-92D8-2EC5B77C30B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702C18-7B49-41DE-99B8-9AAD0B76DB5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4A4C54-E648-47EF-9F15-2B07D9AC1C1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537E15-7DAF-41F3-B884-1E69A24CF7A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3240B4-4F50-4C97-9A54-EB9B458ED86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0546F3-1D2C-4048-A33F-D3F1BC22F72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0140D2-4F0E-47CE-8DDA-A0BFA5E59F1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362A2F-7D65-484B-BEA4-16DF92115C1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B8ECE7-5917-410F-B26B-B817E7C0055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85D6BB-AE6C-4E33-AAB7-3E1108D239A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FFA19F-F399-441D-B866-774127C3F9C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E13B15-FF34-437C-9AB8-0C17EDE86A5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FB269D-6B21-4979-A007-E808F316295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5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506753-3658-43F3-AE6E-D450987D5E6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81177D-AB84-43E9-B73E-446A511E245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8BA883-59EB-42EF-997B-6234D33812C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FBA6E8-56AF-414E-A009-12D802322C4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92F617-5CEC-4DFB-A5E0-49A3F6B8379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519EDA-B9A7-4DA0-82CD-B25AD47A6CA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4D0C31-85B0-42AD-8D46-88E377CEF41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362C45-04C1-4E07-AE46-0EF42C350CE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53C1BD-9F53-42DD-B05C-779C9D83E48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B3D3CF-7847-41A2-99A5-9B20804AFAB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FB3EAB-2B45-43F9-A4A0-61B170C48E9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C54145-2600-487F-818F-077FC08C74A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358F44-3ED1-4ED2-BDBF-D7A157126CB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62A376-C65E-45B3-A314-EB54900024C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69B89C-605F-4AF5-9C7B-16AE9DDC0FA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F3FD84-4D67-42B3-9328-1FB5EFB1AC6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BF2938-BF94-4DF0-AA9D-6B46D7982E6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A2B173-9F8A-47BE-9279-023F99ABBBF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42D212-C308-4CAD-9A22-2A7F867D671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CAF2D3-D086-4277-896E-116E7798AE6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4C2642-5A8A-4CDD-ADC0-6D4F9F38137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394C3A-4379-44DE-A193-61B7F7D1D36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C2948F-DE78-4A66-92FD-DFAB3601034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81C612-7F97-42DC-8EED-085AE396F3D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542492-BF71-4819-8E74-E93E957E139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C4453C-31C9-4ED1-AB51-B5D6B826C26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73E16E-E60E-44FE-895D-E6B8D572700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4585DC-79F2-4F62-8D99-286A8FE984D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6B12D5-65F4-481F-97E1-2E6F84F5DBE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CFAC1C-F0ED-4DED-B73D-091383EA47C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6E9A85-8401-465A-8365-BC1CD0E3D0C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69D808-28CB-4253-97F8-02BC93C006B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DAE70C-7774-4518-8B22-414ED7B1BA8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05A0CA-CDEE-47C7-A084-5B788BDC518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89BA0E-8FD3-4127-8605-83DE9DFCDAD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8C0C93-21B3-40A1-9ED4-4052CD21BDA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CE1629-290E-43E9-A60C-8A55D5F66EA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C31D43-F2C4-4DB0-91F9-035B4CB9E7E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12F80B-CC40-4886-BE6F-F55F3521949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3C2106-159A-4A6E-B555-1C7F3DE6892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9B8301-5853-4A2C-8480-E973C10AA60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E9C05C-773A-4622-8C9A-6531EC8C35D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7B8D4C-5BAB-43B4-88FB-D9D96A2A308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1236B2-79C2-4647-AE96-D5F2FE9205B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EDFDB9-065E-4FFC-9345-29F10E790CA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830395-EDD2-4FC8-8563-76318AAC2F7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35F7D4-3779-45D9-BA03-04541764E22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0A4631-4D48-431F-B0E4-66ECB54AB43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101BB9-7EBA-44D1-AEA9-2C14D5D3730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F9BB47-73E6-4C61-AF35-C6D4E16DEB5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8441D3-5574-46D5-9A92-603B4EFAAC8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DCF525-6CE4-4EDB-8631-32009FEB074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C2C9AA-28C4-4488-9567-9C36562F014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CD76D3-912B-4C91-866F-CDADAC40869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92A5D1-F5D0-442D-ACCA-491073EFFD4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1228DA-C0DD-46D8-8AA6-184700AA866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6C3ACC-51BF-4EC0-AFAC-326E3C186FE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184277-02C7-4F11-B646-BB11254E063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13F77D-8D96-4DBF-A0A5-1F6834BEACE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DCA205-DFF3-4838-AF89-B91DD0A35E0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026BC7-0020-4B9D-B206-D3F006C16AE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6BFDA1-0B6D-4E65-B448-3812D30DC18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4B2B5E-8148-44B6-9CC3-A0D6A1C8F15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439C24-8FCF-450F-8B34-F7713571320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65520B-2A2D-43E7-B0AC-EAE633C5954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B3899C-F01F-498F-B4CF-5A448D5E574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19B018-B9F9-4955-A93D-3ACAE4D7B2D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D0572D-7891-4E56-8769-AFE109C54ED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2C6892-8197-460A-92EE-050C36C2A7A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38665E-38DE-4009-B39D-9A7F6FD995D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9D20FA-7891-4FFF-B8D5-DD9ACFB4345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14ABA1-D525-4566-8B88-FBB117740CC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E18920-7E8D-4B12-9617-C857F4A4DA2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889E1F-C09C-417D-9BED-F13F05EDDFC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A5D407-26A0-43EB-8160-C0FCED983AC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290F4F-8F1C-49B3-9C7E-CE38673E1A4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668CF3-4036-4652-8562-443EA602AB0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E50AF8-1FFC-4A8E-ACCF-469E3E8F4E1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768ABD-7D0C-456A-86C0-66799803304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2EC882-8055-4EDD-82E7-DFCEABF40C3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773E3A-E0BA-4C47-B5BF-76CA2ED46B3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4C4DF7-18B8-4B3E-B07C-5953A5B4B66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AFCE71-92F4-4433-A048-757DB178889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7D909C-574F-41C1-A9E9-A8F164F5627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381747-72F7-4174-8154-948325F0225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A8047A-F2D5-42FD-89CF-5AA70068668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074D98-9439-4475-A53C-722B4BF2BE7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04B760-AE95-4CD8-9B0F-F63A3C80E7E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BB3179-C9CA-4AB1-B08D-6C76E7517BE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500751-C1C6-43D0-AC27-FA863251E77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517FAE-604F-4134-8414-900EC325677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32EF68-1106-4651-8937-B1EBCCB4898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0DFFCD-20ED-4BC0-B114-FC182FD861F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F8E0AD-3485-46E1-91B5-49F655FDB11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6CE187-5715-4E4C-8E88-B0F0D531031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3D99E0-5D9C-4C12-97AC-D3223997BE1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46AC7A-DB3A-4241-87F7-3FA896D5925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EDE413-2110-4613-BFA9-B02E3012357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E418CA-39FE-482A-A59F-68583E2F2CB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24FD1C-9614-4A7F-BA77-71F7A4927AF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6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79E60B-308D-4ED3-909B-B60243B21B7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8C554C-85BC-4F0B-8EE0-F99E917BCCF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F4F0DF-6FD4-47AA-B2FC-A06CDEC1AD7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A398DE-61D3-473F-9377-17BC6A2585A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F98B7F-5087-44AC-96B8-2E1FF2D1A96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FD688C-419C-4FB2-A0F4-F3D9420951C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E80CDF-3564-4CBB-B00F-F3288627857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B27A9F-2AAE-445F-8E50-EEBE75BA557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EE3B95-29A3-4844-9264-A6C34B562B4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0B126D-86F9-4B71-A95C-E608C604748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D7EFEC-9B8C-4987-BAEC-D75FF70DEE0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2FDE4A-70C6-416A-B858-D40207C26F5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FCC515-1F7B-4AA2-8B37-D2F3273DA2C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FC776D-C195-4834-A4C3-02E1BF26DAA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462CAB-7BB3-44F1-B629-DFC7095450C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AA98D3-EEED-4CD2-A88B-4976E475C30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69937B-C277-4711-9526-91A71E4D302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9C80B5-9543-4895-BBC2-206411E2069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8135BC-4136-4482-B9D9-E85AF4E70B5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3FF59D-D7EC-4E4A-85FA-E315F5C0178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B2D39A-8B4A-4CC7-9B67-0EC6C6FC330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9179C4-962C-4107-A472-B7D53DF23E4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9707A6-CE4A-48A4-8C7E-B87D4E4D68E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20F30C-2C78-404D-A9DE-9A96B5BB43E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ECF46A-8FE5-4CBF-9877-09AF0BACFD0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A99F84-1540-4CB7-B3CF-1FD094AAED6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3B303A-2A49-47F7-895A-7137DF3089A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7CAA22-3E0F-4B03-9501-CE4DFCE02BE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604396-16D8-4344-8E4F-5DBFEB48092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3185C0-219A-46FE-AA23-7938C03DCE4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3F348E-54D7-4E6D-A206-56431018C5D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CFA9D1-DF2F-4E57-89B4-F250488343D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E61A33-23A4-463F-BFAB-163555336ED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000280-A76A-41CC-9FC2-F959AE47817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03C86B-84B8-4E91-AB38-84A25FA86C2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FCE4E5-96EE-4B7D-BF43-8A77F7AEB1E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670308-D03E-40DE-A8C9-3261601A324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B99F6D-A396-4A27-B149-402563298EE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D6E675-2FA3-40C5-B0D4-8FA604336D6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5C72D9-90F2-45B0-9EE2-BB39BBD2AB6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C47A8E-A96E-4B28-B6FE-5CE70DF0953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3CD419-0E07-45B3-9C56-06E13D2FA51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C02DE9-D286-4E50-B4F7-F8909815542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6CC4D5-4A40-4354-B263-2A6B45C5075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5690E0-B739-400B-8903-1A1FD2812A0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847BE4-CD67-4F2D-828B-CBFB27F73C2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03540F-C97F-4D83-80F8-4A017B80EFF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E11E21-584D-4023-985E-B3CC148DF81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120AEC-0B3F-4631-94B1-3982B56DCEE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52B746-51E1-4CD3-B8C7-8631753DA22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0DDC20-C68C-4289-992F-761E7D67CCC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70FFC7-74A0-4B6A-8B52-084C257DE0B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1F2DAC-F699-4F29-95D8-272E670E311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C3FC96-18F5-45F1-98CF-0319D3CAFEC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B20E2A-1449-43AB-9418-4C8485E0268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AAC837-71F1-4375-87CF-2E97EBB3183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4DA9C7-1BCB-464D-BE94-3627E8B5EBD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3598D8-5117-499A-845A-0BC6D5BCF3A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88A9AA-9AC0-485B-8B6E-1B0EA9D91AA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072453-8951-4B6F-8000-D9616149083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1668A6-AFFF-4747-8C5F-228F4C2E004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ACF224-CF9B-49FD-A53B-FBC8478ADD1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6A37BC-6BA4-4D6D-AE37-3424F9F0E05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A24D12-CAFA-4D99-9E9F-CCDCE5ED1D7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74833F-54B1-4557-BC93-04149508987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2A69FA-02E6-4D11-A073-9774AAF41BF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1CA242-2AD1-4651-9574-3F283B36AF9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CDC89D-A8FB-4D45-AE7A-A0E4E4C0994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0A4146-2089-4EB3-A029-06436569694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CCCDEB-E023-464B-92F8-E00BA89FC5F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A37EF4-0AB5-46F7-881F-320D715B23F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5F1835-915A-4A2E-AB8F-E1EF408C703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FC7FE0-FC5A-4ACA-AEAF-77D78445879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A79331-E403-47A1-8D29-FDA8E875875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F046DF-ABF7-43C3-BF5F-3D3933B29E3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A5020E-C87E-440A-A3B4-67D9C002E92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8AF704-37FE-4651-BE8B-BC3493FDEC9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2A871F-8EEE-40C4-96EB-18E074CD48A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DF3B83-44BD-4B08-8AF8-FB757052948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32EFE7-FF7E-4076-9B25-E1C408AFAC9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AB8730-F333-4A2C-8121-E0558EDC67A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AF89F4-E789-4E77-AAAF-E8425924D87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02744B-A233-443C-BEAE-07F42A53172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4900E5-7262-4B72-9A9C-9AAC2FEE3E1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229973-2479-496A-A0CC-FFF44FFBEDE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01A334-EF71-4FA3-9CAA-EC07DEB1B6B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309761-BC11-40E4-B41F-14C97501C27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F424AF-CD12-4C57-B3CA-11922668CA5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68217E-F200-41ED-95AB-57193148242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94AE45-B815-4E7A-880E-CFCCAFC1ABF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A90918-D5D2-490A-885D-C856A7C44D3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F584E6-8D2D-4A04-AB6E-DE04F04DB01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D1ECF5-C1A0-455C-B5E2-7F1F806E67F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777003-C6DA-474A-8CFB-2C120CF2D16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51C3CC-86DF-4232-B9C7-552CFBC3DC2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9A9214-1008-40DF-B761-652E7ACC5F0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6DD185-EF87-46A4-872B-92CC44926AE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482618-65B5-44A2-969B-193411EBEDF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A6BE01-10C9-4FA1-831C-54E1EFD7766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909B14-ADC1-4CA0-BF65-1327B735D70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7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A41178-C183-4BD2-BCEA-F49DDA514BE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76FB93-7036-4181-8C10-9B07706F1E2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713C90-4AAB-4D37-8966-4B2B5E1A307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9802EA-6E3C-4FC5-9D42-19C80529B1D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1A5486-453D-442F-A461-63168C0EEFF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583F57-608A-4AA0-8A5D-A9F264B1E07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7F90E9-97ED-4204-9228-7D7158A4462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9524B9-A4D6-40C4-8E1B-AE5B5C233D0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E43F7D-39F7-49E5-914E-5EF97E3B64F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1DE565-D9D7-4AFE-8378-74C836CF3BB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A2FA9E-48D1-4BD7-9FE8-07E82836353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372148-93F4-4E25-9A43-8463E5CC73B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9CA45E-0276-4AD8-8EED-0B5DEAC9702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771065-F002-4A05-9016-8CB3B3530FA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336F8B-E508-4755-B044-F4F7C8A5F8F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DBDDCA-B775-486A-8A58-EC82671BB5C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AB24A6-78FE-401F-AFB1-4B635F88896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F940BA-5CC9-4ED8-9CD2-DCCF951BB8D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A13C9C-957C-4B75-88A9-E7ECB464CF4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F74007-934F-495B-B845-BBE0243EDA2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C47C09-7D63-4BFC-B722-53F73FB9083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1A707A-C4C6-469F-B9DF-634D706302B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9B2834-AB83-429D-A71A-C9A660C4058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56CCC8-2652-4579-9945-925A45CEBE5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7B2B31-D996-4B94-B357-8C38D5F2749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FDF23E-9351-451F-8CED-54972C66234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3AC74D-9542-4489-8BE9-6864B7F2657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AFA4BC-6FB8-4CFF-9427-B2513501B2B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709FA5-8B9A-4628-87C2-6D27A444457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F285E1-F825-4812-BB3A-575B1ADD73C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DFA505-F736-4FD7-8CD0-A446A710A9E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6AFDB7-B13F-4C80-B15A-EA362746FFA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B914B5-5F7E-4235-B321-53DC5551596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561BCB-1118-466B-9ED0-D4709334D38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7E2104-7463-41C1-A601-70AA1D084AD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BB7875-D729-4B27-B94E-DB0711848B6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96A073-32F0-4B3B-BEBC-C8D664FEEEC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EA58E6-326D-410A-AA4C-77F1E6FAA65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EB1503-7958-42C1-9264-F54E7633995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019EE8-9B9E-44AC-8D54-76EB7F038A2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99DE3F-9044-4E14-B8A6-209213B927A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EE895E-FA74-46C3-9408-76C7E2809F9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E233B9-DBC4-4468-9B28-A56611E09A7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B1FC16-61A6-4225-8F99-185C56BE430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0BB201-FF01-4F07-9C38-970312A939D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89834E-DD33-4F56-AF04-1AB10E51B25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262910-CD12-46EA-86E8-B4888511D3A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2B8B80-712E-4B40-81C3-E6B524A535D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8F4386-6C00-472D-8D1A-9E63B97FD8A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08B879-37BE-40BB-A0E8-0909F7029D2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448FD5-8BED-4E92-AF09-25D715068A8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0FC438-1B94-457F-A9FC-324D39089AB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C9594E-98AE-4F98-909E-8C621472C39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E45DDF-9705-41B7-9ECC-7A8A9A144D7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916B7C-23B6-487D-991E-9A0A5E4E983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939114-B2C9-4411-8D92-C6343BEE2A3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FC04F3-EC77-4754-91B1-86829A3C69A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E68427-7603-40A4-8698-820D456C9B0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4A1A8A-13A0-40CB-8325-0E4D98B8422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A0B2F6-4E2C-4A75-90FB-04FBDC3A13F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3549EE-4C8C-491F-AF6F-39D0BCA7F17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552D23-55A3-4932-98CC-00057AD3923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C7F69E-1980-4D0F-92AB-D1AD862F862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5822DA-3287-4AD8-80EA-14BEB548EF7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342FFC-81E7-476D-BD0D-805D0AAB0F2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C84E90-4686-45EF-B39E-042B4E54F9F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1624F0-546A-4E21-B28F-E632A1A755C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27EE5D-2269-4902-801D-648AB979606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3300BF-7874-4820-99A9-B1DB3C84296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BBB05A-8783-4BDD-9C3A-4532FF27587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168266-5DCB-4111-A2FB-EA150ADE8DC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D877A1-023E-4B1B-92C0-AA210F88564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7C5860-4731-4B5F-82D9-82922540428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A109BE-3DBD-422F-949A-8E26CF2ACD6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C8DCAF-9451-4C06-BAE3-2D2676A70C6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FBDC81-351B-430B-8E0C-3532371142C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D0691B-ADBF-4387-A036-57B4604FAD7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E6FD06-79C1-4495-B90A-E362ADF5559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25258B-CB12-404A-B74C-C713BF6054E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17103B-C6A8-410F-A56C-D4CD93D6225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8A3CB7-EBA1-44A1-841D-F6BB815295A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9EF0EE-3FCA-4E18-8B79-AF21D975ECB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0E0BB6-94CF-4224-8BBE-8F319976CF4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8FA1E0-662C-4763-93DB-00873020C73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62DF62-D10A-4FDB-A41D-3922B032067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41B754-FECF-484B-A5E1-117081D1340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4A7276-8457-458F-A57E-77117CFCAA7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55A782-DD1D-45F0-A879-08A43CE591C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213CBE-E633-475F-88DA-9EC131D79BE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4F6A5D-9992-496C-AE77-BB510A7D68E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84B6A0-1442-4D31-9018-2EEBB5C189E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0DF858-E647-438A-A1B5-EAAE9CC6E7F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9FA8EE-CD20-40AB-B5F6-AC7FCA08C2F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64A26F-8123-4E0C-8568-88F0762F9F4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FF37EE-2CFE-4AFE-A5AA-BA1B7EE6512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CA93B8-9074-4F68-A959-E75C313EF5B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F1C8AA-1F56-4AB6-B9E2-DE3922FE10E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4F9490-F36F-4AF2-B432-A4871E59DED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023626-6E68-4E41-874E-3B87AA1C5F9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5EAA03-76E9-4868-92B7-12B869BAD7B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8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7CC918-8C34-4F04-8025-E8F71DF9E09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A82173-4174-474A-B0F9-E1AC93D3460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CD11A6-FCC0-4264-8293-0C04D60EF77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E5D4CD-ABEF-4D98-9BE7-25D2B049052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FA41C8-538D-499A-8AD8-15AEC8AEDBF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C7C369-3BAA-430E-BA94-10984655786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847130-5D0F-4F52-AFD9-8F75FA2B987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00A002-596E-433B-B78D-BE099A7AF0C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FEF8A9-7E64-45ED-899B-807C5083B1A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62ED9D-716A-400D-ABE1-662B4E53398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6942C8-2E59-48E2-B465-C92D7AE58CA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BD9657-A43A-4F5B-A07E-9CFFC0CE2E0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CD8750-32BC-4E83-A87C-AA1C6B87D07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936A1D-7909-4EF6-9930-1A609BEBE7B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4BB60A-F248-43A7-B70E-5513ED09622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D82D9B-7A85-42AD-B160-8B7093774EA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B81004-5822-4E76-80F9-C6414B3E5A9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35A68D-5A3C-47F1-A906-477C9939914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36AD7B-444F-42AF-B3F9-B2275105D33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7D5A90-14EA-4364-BD93-2C9063DF798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7F5972-24ED-4BF4-9B7A-68B4C813347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80F430-5C23-4A8B-A29E-FF5D7FCF407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6AD2F8-4850-4688-B8C5-1DAF05535B5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5C2FD6-880C-4B86-92E8-7BF3DFFC280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33936F-9F96-4305-976A-29495647383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EE612D-B875-4BAD-8D85-98BE3E76FAB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4B6F39-0B58-42DE-8F0F-323AB29EC12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F847C4-CB20-474C-A847-70A42F6508D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EC13DB-5D44-4250-835D-D7FAD1E4CFB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44F08C-4095-4578-9292-70A37B22865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6F12AA-3E9E-483D-BEDC-35BEBFF30F6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0A0457-12CA-4F41-8642-BD12F1D6500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946D07-0F2E-4CBC-8D76-E13BAD5E421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4B46AF-9724-4EC5-8692-5741037898F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1D9C83-8077-4BD7-8B64-9FA20CF93F2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B00FA4-0127-402B-ADF6-C6DA6262B8E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069DE8-EEDF-4AAC-BC8E-94C368617BD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064A64-8397-4146-8922-DBD717944C8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92DCED-2C17-47EE-949F-556356EC9BD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9E738F-7193-4FC7-8216-D3AEFFBFFA5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2D2F6D-6BBA-49FB-A5F0-D36E5E2E8F1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CF6E46-C972-4E90-B4D2-44CCAA2880F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7EC017-1E94-472A-A9D2-492F3B4919F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F0763F-EBBC-48D7-99A2-A3016618495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5624EE-F730-4360-9719-D3285DC1511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4DE34D-77C8-45D3-845B-CF7B97AB87D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E18D33-32CC-425C-AE97-D614FA08169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5CB37E-4FE7-4BC3-93B7-712FCDD7238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063DA6-9C14-45B5-9B5E-6AC9D423CBC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38457B-7688-4E3A-BB6E-53A138B3470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8F46E0-5D27-45F4-89E7-1B57DD87D11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5D3070-8CF7-409C-8097-EA330FA9460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820CA4-9530-4ED5-ABF6-DA57D9D9867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AD2E67-6B6E-433E-A305-EEB56C53841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93B273-C07E-45DE-8B25-0497AE9B3A8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D7F75B-F5B2-4D04-A85F-1FA05E69909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55D05A-F256-4CDA-B5AD-285F30F2FBE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FDB1CA-807E-4A52-A19B-C272E2D33FD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EFEF91-A75A-415C-8BE1-30D2603C2B4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7CC9D6-A4A4-4D76-BE77-4CE49BDF60F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2B5F0D-7CC7-460A-8628-8E8E94FE761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41E338-F373-4802-8820-6781A0C87B9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C69EBB-3481-4892-9E0E-352E18EEFF8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BE103E-BD61-4EC4-9546-C2A79F06F10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2BDE2A-B035-4332-81AD-B11D18F195E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9B610C-7EC4-4263-84AF-E6F1B814FC3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EFAF9E-BB70-48F9-A758-E5613A43849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FAFCA0-C5F0-458B-AB02-1342B136EC5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3594ED-593A-4900-B0B5-938B0CBC37E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B845EF-96B8-4B31-8C8E-4FC37A5CC64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4F7036-D2BA-456C-98F7-D2A7471FE20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94EAD5-696B-46CC-A46C-827F46C7312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8D1100-92D3-419F-B441-AB0C49CF64A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BAE1F5-83F5-42FB-BA12-C7ADA3DDE38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BA6101-96AA-41CE-BBF8-E4FCD927B4A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AC4424-A664-49DF-B4EE-11FEE83C52D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FC3F64-26DF-467C-8BBA-545668E48EC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F6F071-8DCC-4996-8FE4-F5397A67678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69DAEB-863B-4EAD-AE4E-0C5B02CF7F5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925437-936A-4F05-9221-FD4F14183C3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3EEC6D-A4D8-4EF8-903D-5A21CEEBA94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EB88A7-17CF-4A85-8362-9E76AF86040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850B2F-3FCC-4084-AFCE-6FB9DA865C0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AB521A-FB39-40C3-9B61-06548D02107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E85CD9-2881-442B-A84C-7415DB4B38B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106</xdr:row>
      <xdr:rowOff>0</xdr:rowOff>
    </xdr:from>
    <xdr:ext cx="304800" cy="304800"/>
    <xdr:sp macro="" textlink="">
      <xdr:nvSpPr>
        <xdr:cNvPr id="29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EB985C-F2F6-417B-9A6A-6A5C28C69DF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29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AF7569-FA17-4DE3-9B05-CC02540E681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29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FF9353-BF01-4B12-A5E2-312F4726033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29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8A9031-4CBB-48EE-B376-F96A52C8687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29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55E6AD-D9A6-4CA4-BFDD-4D5C32B85AE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29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B03E2B-D7EE-4F21-B35C-CE3747109CA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29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546B37-4B12-4D9D-BFB9-657B0FA9CBA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29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C76D0A-D4D6-4C57-BEA0-D1BEB302A24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29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6C3E22-D467-4190-92BE-AC34FBC4A92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29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27DF4E-A712-43F3-A00F-63F02D156E2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29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731B2B-057B-40E9-86F7-C710E45968E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29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02ABDE-9A72-48D1-8ADE-0C1D7B481CE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29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4441E2-904B-4CB1-87E0-BA9CD4219FD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29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C3D4EA-BCA6-4496-9537-460F1A8C343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29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60B230-7036-4AB5-B3EA-040619064BA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29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952D54-09E6-4D91-8BF3-1A2F4EC9436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252874-1E58-4C9E-9732-911F400140A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FE4E74-DCEB-4F1A-B8AC-9BF54647E65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8710FC-22BC-42C4-A0DF-DF77A80A74F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47F262-828B-4254-ADCB-EFADD88C606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8BBA6B-99DB-49F6-83B5-4CC65474374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172FD0-5C48-4832-A5F7-072D4B26E9A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270C2F-AB07-40F9-B37D-BB7BDCA31FB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A90F26-978E-482E-A6F3-2AEBA735415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C27712-E45C-4EB5-B60C-1109DBEC757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6660F9-A877-4B37-AFF9-C77FDBD2F84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E472E6-9515-4987-93F3-0ED86841948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C28878-2922-4BD0-89C7-4F9E86983C7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7C2B22-FB4B-499C-805E-C7959E7AE9A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5AC676-1D0C-4D84-A011-C4B58E93423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8F9D33-049C-4179-9069-5E134E07631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7530BE-FD4E-466C-9F90-E51A05713A8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A402BC-4DAC-41F3-9AF1-346C7D5E2AE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8E0614-D026-4FD2-AF2B-B8296293D24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09E372-3293-4253-9A4C-FD438F3CDB5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6E799E-39A0-4C20-B9AE-3B28BBACFF6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CC6B0F-AE1D-4729-8EBE-0357A2CC829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0A448E-56FB-4FC5-BCFE-54B7E72A1EA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DDA076-AFF2-404C-9559-BB1828E49F2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D03636-2BD1-432B-B552-2D0F14A564B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B2B5E1-4C1A-461C-8A6A-025D679A181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FD5B6C-C859-4B0B-A827-920183C93A8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9A45D4-0631-4467-9A3A-391624C2693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DCA16E-3881-4DF7-A0FC-F478D85362C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45E525-0186-46FD-8E19-F8C9A2B7EB0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989A75-1B33-443A-B05E-5195307CD6A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EBB9C6-3B45-471C-BE16-FC47D0A447A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0FCF34-0F65-4384-A506-0B6D2C227E8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2BAF08-14B8-468D-A3AF-0B7DC35CAEC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7AFC85-0E3A-4A8E-91CE-F9F34CCCDB9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27B898-892C-47E8-9DBE-2A5311FCE36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8C4222-A8CB-4315-BB8E-5799AE75D33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F47290-B174-4A06-A56C-433F81FF816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E3CFD3-33FB-426B-90D7-DABB8D75094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933B94-9403-4B1F-9B75-AAA70592FFA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E0DA0E-63EF-41EC-85EF-C5A24E25CAF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F26537-FA5F-4DEC-BFAB-EDC36F8EA45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184D74-7411-407F-A64F-2EAE2657A2F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3E2EC2-6D83-4B1E-A91B-9189458A1C5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1E398A-F3A1-4B0F-AB35-25D4FE6D41F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740367-0F77-4449-8526-D5CCF88E272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4A2BFB-6E76-41F2-B16E-9E015880D23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815079-1F97-4BE5-9B80-BFC1FD0C49D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DF1890-B5DF-41DA-ABD2-78D80CC0B82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F04EF7-E7C7-429A-BC85-0553BA4A7D5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8038FD-D9B2-41C6-A94D-9CBA3DA0D58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CC56C8-CDAF-439B-AFD8-E7D4FE8B0B1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F65D20-B2D6-48C4-9DC4-8E9AC4C514C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1FD984-8D37-4256-9D35-AFCB971D127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BCC11A-53E5-4944-8625-6E501DD37EF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B89B2C-7B5B-4396-A942-4A43CE36020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349007-6A30-4323-81F9-91868DFAE6A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520015-000D-499A-AEE1-46EFB56DE0B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616F50-7723-43D7-9536-29EAA4946BC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21B82C-F9C0-4817-AC1C-F60DB348A68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40D2FB-A1D0-4B77-9405-1257085D2CF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89A750-55D5-477C-9AEB-10278426E57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873C9F-D7A4-497B-95D7-07834321946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975426-93CE-40AA-A566-A81EADD1024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4F0162-9299-49E1-A53F-26B6D9FE493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9</xdr:row>
      <xdr:rowOff>0</xdr:rowOff>
    </xdr:from>
    <xdr:ext cx="304800" cy="304800"/>
    <xdr:sp macro="" textlink="">
      <xdr:nvSpPr>
        <xdr:cNvPr id="30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A87AD4-44BE-48F4-AFD4-B7B32682D6C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0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FDD3DD-489F-44DD-9C33-FEBCFE1A4A5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0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6B272E-8D56-41A2-9EF0-8F8B6B5CEBF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0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F3D7D9-4A78-4116-8BD0-2996CC8DB23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0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9C016A-D6A1-468B-B592-890D6F9E6976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0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93B01E-1730-4F6C-AD3C-9429E4B2EE5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0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33184E-1BD4-40AF-BDEB-534BDF7C06D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0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621A7F-8A86-4ED0-9998-330B00C78AB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0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B07B66-502D-46FB-9B41-682BA7A4060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714375" cy="304800"/>
    <xdr:sp macro="" textlink="">
      <xdr:nvSpPr>
        <xdr:cNvPr id="30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A1DA8E-A205-475C-BD62-5810D1E394FB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0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BA477D-4BA0-46A5-B279-5352EC706ECD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0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29B61F-6506-43DB-8E72-F016EDD61220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0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7B9E77-E962-4444-A844-161DC5EDC1A9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0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E1A26D-7F7E-4B28-AD50-C6302E65EFB9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0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871042-A685-44E7-AA74-C1E29FD2AB99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714375" cy="304800"/>
    <xdr:sp macro="" textlink="">
      <xdr:nvSpPr>
        <xdr:cNvPr id="30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65A777-017B-43F3-B589-679E24143FE3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0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801956-B866-43BF-9A27-7B4341E21141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0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517778-9843-489D-A2A7-A6FAAD49727F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0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45587D-BEE0-4AD6-91EA-1DE2DA5A93E5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0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14CE7A-1ED4-409A-ACB6-484462E23E8B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0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27DD5D-B64E-4C97-9390-59DC742C286D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0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A6B4D5-DE3A-4C78-A4B1-156D1F0AC9E1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0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A434B3-86D4-4163-B13E-FC388487D90C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0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A0DDD4-65EA-44FE-80C9-61F16BB08193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0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738AE1-7171-44E3-8233-C8EAA9C56F80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0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2A2694-EDCE-46E0-B1DD-F4410A679ACC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0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693BFD-84B4-4032-A452-047ED29E68CA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0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EB79D4-E63F-4BFA-B32B-9141C9825744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0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A93D99-0713-4978-8CAF-1ECB50C874A8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0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B58135-96DA-498B-83DD-3BD725D8E593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0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DFFE55-C45A-40B6-A317-6195E7290A6E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0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B536C4-6550-4AD1-B881-13CF5747E3EE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0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9CEF1F-9781-43B0-A67F-F25EDBEE2EFD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0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516001-4F43-4B23-8451-34605017BE07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0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70388D-4EBC-459E-A16A-46B4787E3A10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0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266131-2732-4BD0-B24A-329566EF5BCE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714375" cy="304800"/>
    <xdr:sp macro="" textlink="">
      <xdr:nvSpPr>
        <xdr:cNvPr id="31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C0303F-A82C-40B4-84CD-B1178AA71CC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5E1347-DAB3-4A70-9BE4-E870DE19472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E04B19-6006-41F7-90BA-79F583D6230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9A1EC1-3176-4B92-AD43-C622EEE335E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248F9B-C70B-4644-928D-011F2A743D1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567303-B560-459F-955A-E9117E81C82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714375" cy="304800"/>
    <xdr:sp macro="" textlink="">
      <xdr:nvSpPr>
        <xdr:cNvPr id="31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4E22F9-E51F-4DDE-A010-FD9F4E91DB7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B74408-0451-4CD2-BC57-1D76F6303CA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78E4D9-34F7-4D57-9919-681F078EF9E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81CD02-CE72-41BF-B01C-7BB290288FE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862254-36A2-4DFA-9C6A-F463162A9B7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45B62B-B063-4D36-9226-7208E9DBC37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9E5977-139B-4799-9FFF-9EAC46C1231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D8E63C-D828-4DD8-ADFA-E359ED37EE5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D083E9-A77B-40A5-A964-62ABD7765BF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A7D342-40A5-40ED-AA28-81A21E22C8A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8A1A58-6D6A-45AA-8BF0-61144297E3A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714375" cy="304800"/>
    <xdr:sp macro="" textlink="">
      <xdr:nvSpPr>
        <xdr:cNvPr id="31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A66049-FD9F-45EE-9B3E-C656A7EDAB6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2C2873-EBED-4AC3-A75C-F1619FDEFB5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383FFB-C03B-4ECA-B4A6-C75B4EA2707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694DA2-5E92-4D3C-8818-2783477729D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63A4DC-C9C1-4AB6-AEC2-16E163405206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E6761E-6120-4B36-8A43-77F53CC5FF5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69FFCB-B3D8-4E03-9368-3A054C868E8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68EC38-4E5A-4C50-A1D5-AC4BD86F6E3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71E729-BEC3-4E0B-9609-6A66F34A2CD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BA21EC-AD2E-4C78-BBFF-E4514BD617D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32B620-E7CB-4822-B93F-22CC91AFC5E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B4340B-F447-49C7-9888-92D2DBC967D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2F5382-B3D6-404A-9F45-66C2923C6E9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4802B5-107C-445C-8FA9-1B967D81E80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C188BC-51A0-416A-9856-F7F037A2563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6F5E4D-8BFE-418A-A90E-6496695F3B7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80157F-8CD3-4E3C-BA06-5609E4967A5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392C36-E9A9-4105-A230-BB28D270A75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62D3A5-1E44-46D5-893D-6C196C195E9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714375" cy="304800"/>
    <xdr:sp macro="" textlink="">
      <xdr:nvSpPr>
        <xdr:cNvPr id="31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A1478A-676D-427A-81D9-2B5B710BF14D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1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214C07-F968-4935-81D4-9A6B4C50855E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1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15EC9D-B520-4699-83A8-6B1396462CB4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1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4752F9-A1D0-40BB-AEAA-BBC43A30AD8B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1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D9BD46-25A7-4022-A06F-D32D28E434BC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1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0A9729-B5D2-4545-905B-91673017F68A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714375" cy="304800"/>
    <xdr:sp macro="" textlink="">
      <xdr:nvSpPr>
        <xdr:cNvPr id="31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27D6F1-0DB6-48C7-AF4F-7599E58E8461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1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355915-E0D8-4601-80D5-82A5B10F0C38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1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6D4100-F728-442D-83BA-6F6DD59E3C11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1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8D33C6-79F2-467A-9898-8BD854018974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1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2B1BB5-60B9-438E-A672-43726DD91E86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1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C7D841-B08E-4364-B13F-88D9E072A0F5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1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0453D2-F97D-4E2B-9435-1601FDCB3FEF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1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D3D193-234E-4714-AF23-9FA52CA14168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1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BE877E-870C-42F9-92F9-23BBF7C07824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1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EEDAA5-72A5-42D4-9A19-307D42BB3756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1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F79E06-B6A9-4770-90C6-9D1660DC7628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1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66A35B-8880-4044-92C8-CEE4033CBE83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1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0CD3FB-13F7-4B03-9C13-859C6411AA21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1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60E8CF-28C4-4EC3-BCA0-2BC9CE3B573D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1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D65549-BDE9-47FD-9276-A665CC080F7F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1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3C870B-3899-4616-84FC-79CDA4D9B93C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1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D6D292-0422-4719-B139-525B156CCEBE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1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6D67B1-5C71-4200-B91D-872D3A4F64A7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1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98BB58-2C45-483E-ACC0-7FBA1747F1EE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</xdr:row>
      <xdr:rowOff>0</xdr:rowOff>
    </xdr:from>
    <xdr:ext cx="304800" cy="304800"/>
    <xdr:sp macro="" textlink="">
      <xdr:nvSpPr>
        <xdr:cNvPr id="31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5654AD-9C99-4F4C-B867-BAC1C187749E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714375" cy="304800"/>
    <xdr:sp macro="" textlink="">
      <xdr:nvSpPr>
        <xdr:cNvPr id="31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4EB3E6-B863-4FCF-8AC6-EF74F473D3C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5BE87F-CC0B-4FEC-A9CA-20145F58B29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76E894-3B72-41F4-AB5D-C163CAD1B58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3322C6-782A-44BA-AF8A-93391143496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86A9EE-3427-4487-9470-3AAD85F1935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4AFE59-6A54-4BF3-91B3-B756B4EFF80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714375" cy="304800"/>
    <xdr:sp macro="" textlink="">
      <xdr:nvSpPr>
        <xdr:cNvPr id="31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770356-D9AD-4DB1-986C-0B6F2AADFBA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33901A-1554-4FEB-84EA-A353BBD77AD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2886D4-A9C8-40A6-8D93-3CBDFCB4276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8A5C14-AF44-477E-80F8-7326D3BFF7F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27841F-E416-459E-AE9F-DA4C8A4A84F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34311D-84DA-48E7-8B9B-190BABFD5D6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481CDF-0E0B-42C6-A930-EF2609F1C03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22FFCB-3E4B-4122-A904-58A79199820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572F64-FA75-4D1B-8097-4C3CBB8123A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5609EC-9664-4C80-A1A4-4035C271BEA6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DA3B24-C579-43FC-A94B-BACE927BDFC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714375" cy="304800"/>
    <xdr:sp macro="" textlink="">
      <xdr:nvSpPr>
        <xdr:cNvPr id="31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481602-9CE8-4E7B-B672-59331EBA74F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403D03-0A5B-40B5-A452-5BF251BDCD3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95BF2B-18E3-4537-B418-798ADBCF35C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041C10-837C-4E8C-B349-21F5A10C717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B9AEDF-03F9-40F5-8E75-807563B052D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CCED9C-3B6E-4E7D-8A6D-83047A4FEB4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13679C-E011-4E0C-A5D4-818DF0A7A36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978EE1-523E-4A40-99F4-3FADC1B1F1A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A02155-959B-4359-911F-1603F681598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20C469-B5C6-4334-B3DF-65D78A132E2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8F3502-7C7C-4273-ACC9-FE8DE801E77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CD7B2C-FE44-4E57-838A-E1B1B49D5E3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519117-8762-4EAB-847C-C384C631F1B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D18DF7-6A60-488D-A22A-2A3625720A5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A8E8A3-E424-4F7D-88C7-A2B39B31AFD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0B897A-D57B-4557-81A8-DEA2D1D3E5A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C40D48-9BCE-486A-ABDC-77E927FF00E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D6AA6C-875A-4720-9C8A-BC28302FB2D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6FA559-D154-477A-8AB5-DFEAF837891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85FEDC-56B4-4F6A-93DA-4B013C93E51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1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365A94-9C5A-46FF-B519-4701F6A2AD1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497B7E-E300-484A-A8CF-5B0B008CD75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51D732-78C4-4094-8EE5-68DD7F1F931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1D07CA-ADA1-45D1-8464-4968C12E1D1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3799A4-BAC0-4926-906A-B0AA7A6BC1A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BDD0BE-32CE-473A-93EC-4EAFEAAE3E2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9CBB0A-2D5C-4A18-8039-0A72C6A1997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5A18CA-3DE9-4ADA-8C15-FA469E61AAC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B035EC-943A-4F8D-AAA7-8CAD0018908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D61BDB-E38F-42D4-AF25-0BB511D58E06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7E3E4F-2073-48F4-B0C4-B2358FFE720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DC3065-0BE8-48D0-85F2-2D97C52A2E5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A412FA-6CDD-4545-96AE-51BB560502A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FBF748-9FCF-41A0-9951-D50228D99FE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90776F-10BC-4898-96F2-77EEF8E1E45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54B124-4353-4B49-A40E-91E80DB6805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8CB92E-8859-40A3-B81B-74D2854E26B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3D2C0B-AE39-4899-96FD-21B572FEE2D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A42DB9-2C14-442B-9D48-A6444F2B47C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14E01F-BFB6-4F96-B3E8-318F40502A7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E1E2F2-650E-486F-93B3-350EB65D86E6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293414-B848-42A7-B5C8-0F2E7A4B7F9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A9AD94-92DD-4E77-B276-705DA4B60AD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56C4BB-8907-4957-9B61-60B628D1032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5FD0CD-8744-4546-9FF1-797A1EFBFB3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FA2BDE-6B8F-4FD1-BF0E-F941C29143D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9628E2-8DD8-4347-B2A4-D188ED8AE16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92AA73-740C-40E1-A52B-C64B868EBC0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875A20-42C6-4DD2-B116-125670BFC2B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9193E6-D4BB-4E42-A48B-66E848BB446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8001EA-3B22-4F60-B73D-0125A90F7B5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DFCEDD-8D38-4987-9FF1-B6D006A9031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86BE80-4361-4ED3-BF5A-16E680A1EA1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E2D425-27BD-4C29-BC85-FA7F035CCBE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3E2553-5023-42BC-AAA4-485F9AF2BE6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3E607C-98FA-4510-B1F3-7F8B063521E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94BB3E-2A15-4A10-885E-EF6EC649BC4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60A45B-945B-4B34-B290-54488A295E3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385EF2-DBED-4DEA-912C-67F87B8FC3B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1154A0-44ED-431B-927E-3D97BB0ACA2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670B2B-3A47-42C5-9912-984BB2CA3AE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DFA499-D0A6-4C5B-939D-908A502CB496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5603A7-59DF-490E-A290-72C0B60084C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70A23C-6930-4FC2-A5DB-7DA42BFBEDD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F127B6-EF30-4824-8D6A-F1E4CF85F5A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72ACCE-C236-4474-8C95-979F620CC01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E025A8-6964-4C8F-80D5-F6D9A49E5BF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EC8632-5404-4673-83AB-448B859C6AB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85FE4C-44F0-4A38-A8EA-C488E4AA4F9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CE530C-882F-4F07-8BE8-E1E0858C750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FBC1C2-3953-479B-9785-72F3D8D2DC4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AB1DDF-7F24-4338-A059-A25EDB4148F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8AFDE1-7F60-4AEB-99EA-36764AE22EE6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FAFD0F-26A4-4889-897D-84C075D265E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8587D9-0610-4A66-8112-724C525EB01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FF1D07-0022-4195-8D0A-6ACFFB4EC77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9B03C9-8A15-4731-B7A8-F70010014DB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90BAFD-47CA-4A73-A4F0-9D645B208E3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D967C5-0D5E-4351-815A-27E8B650ECC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94074F-44A3-402F-BDA8-14D56285D0A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069D5F-B4F2-43CB-8EC7-10AFFFB7227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603496-9A0C-42F0-A6E9-68ECB00C51A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B278BB-A61D-454F-931B-21D43DC5AD16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BE5800-7132-4F74-A4E9-C0A71F3AD4B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5576FD-5817-4494-8CDF-318B87477C5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856F14-3ED9-4161-B55F-72B373FCB6B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4091E5-59CD-4B5C-810D-B189F6A4E9C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708D62-7170-4303-8172-8E2DE5A2AC1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4C360B-1922-45FA-B2CE-9A98EABE130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A2978E-B969-476F-8DAE-E7F3CB37682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536122-A908-424E-9197-6A534165C22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CEE324-BA1E-4138-B36D-14CE89180AC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BBA862-E783-4F39-855D-E26874CA7D3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6</xdr:row>
      <xdr:rowOff>0</xdr:rowOff>
    </xdr:from>
    <xdr:ext cx="304800" cy="304800"/>
    <xdr:sp macro="" textlink="">
      <xdr:nvSpPr>
        <xdr:cNvPr id="32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4A9D37-C300-4CE8-92F1-4819DBA2F6F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2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CC6FC7-2DFF-4C66-9849-8D19B464266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2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D21E7A-F635-4999-8D20-A3DD8DFE56B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2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67C253-3FB2-4A01-944B-8FBA64236EB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2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FEC643-1CFE-465A-A150-9A8617AEE64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2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5E4991-2C98-41AF-B7FD-19DA15F9496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2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FA3324-5B10-427E-BBF1-DC2A12AA100A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2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556EC0-9710-47F1-A112-088BBA990C4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2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73A82A-0F7D-4746-AC62-8777606554B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714375" cy="304800"/>
    <xdr:sp macro="" textlink="">
      <xdr:nvSpPr>
        <xdr:cNvPr id="32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E7AE2F-B604-4513-AA9C-271AF7C9A00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2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CAFB01-45C5-4353-88EA-CDE87FA271D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2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7B6395-F802-4A02-9A9F-CAA2A635875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2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22DF4F-F79C-4DA7-94DA-C2A75AACB5A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2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DA593F-D289-461B-85D4-1BF67091435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2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BB66F0-1426-4A54-B191-16CE73A303C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714375" cy="304800"/>
    <xdr:sp macro="" textlink="">
      <xdr:nvSpPr>
        <xdr:cNvPr id="32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F7F125-D2D3-4F95-AC01-DEAF5EFF16E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2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2DDC8C-478B-436D-B1DD-A4E74905C74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2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D6CADA-AFB2-410C-9C9B-D5D03145C34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2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5FCC67-6938-4C98-99DD-FC321E0844B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2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FDFF62-6C54-4161-9A7C-1D5253C1EC1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2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EE6D2A-DA26-4E2F-A91C-47E910607A2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2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9195D8-FE37-40F4-95C6-EECBEC892E0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2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1C14F2-798B-4E9D-B8FD-CC0DD857726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2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0AECDD-7F3D-4892-9A24-0D19CE937FB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2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DF7659-B8A1-4FB5-A313-506627F527A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2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6B69ED-BC0E-4007-97A6-C1896A64963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714375" cy="304800"/>
    <xdr:sp macro="" textlink="">
      <xdr:nvSpPr>
        <xdr:cNvPr id="32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53EDEC-C222-4B5A-A9F1-BBF5345311D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2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33DE0F-6B45-456A-94A8-55B6DD6D1EB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2F26C2-896F-45C6-8F79-1D2F245EE72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BD2BE3-5344-4CDF-A9F5-E7175C523CB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942028-014C-4FE1-BD16-948706E0862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83F4DB-C285-44C4-AD5B-E86F07EC0CB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F72708-7499-43F3-A717-36B6754CD50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8D7243-6B0F-488C-A6E4-D11E1445F37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E66E4E-55C4-4EDB-BC15-CD72D0DD3C4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B81125-1843-4383-9170-B08903C6644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B8DA29-7C67-480A-BB9D-5B63341CAB4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D899E0-309D-45F5-8CE7-EC3E4A968BE6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A5E3F6-FDE4-4AA9-B4B7-34747EB6800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F4AD9E-C22B-4990-9623-929091FCD07A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F2CEA7-E01D-45DF-A069-3F82ECE2B1A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0E3FD3-63F3-4FA6-8911-4B46E728741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87C3D8-CC31-4D92-BB7D-4665E59CDA5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D9C23A-3F4B-4693-B696-F47EBAB5A1C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BC8BAD-7226-436A-A166-AAD8ACADC1D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714375" cy="304800"/>
    <xdr:sp macro="" textlink="">
      <xdr:nvSpPr>
        <xdr:cNvPr id="33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8E054E-06CD-4B7B-8C41-A38B086FC2C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5C3691-D710-4000-9099-B4A57700F19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B8CE93-9DE6-4687-A61D-A64B41433DC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347526-3C93-4A72-AC93-1845900AFFF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BB585F-0E54-4EB0-AE64-F1B5EFA28FB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B1F9B6-BF72-44D0-9BE8-6E70B81AF93A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714375" cy="304800"/>
    <xdr:sp macro="" textlink="">
      <xdr:nvSpPr>
        <xdr:cNvPr id="33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C14AAF-6798-489A-A834-A1F7F063F4C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B0BF32-CC28-4359-A4E1-9CFEB241638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D6C25E-53B0-40EE-AD3C-2FDC32B552FA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243736-25D3-4862-9F8B-681766991D9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6A9D90-01F4-49B3-872B-95F4D4EF125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F63C93-1D1D-43E7-8226-E9B1274B780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F4D9EA-0019-4432-9596-62E19B859F7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6B9423-865C-48AF-935B-F07044210DB6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C4E306-67E1-4E43-ABC7-BA0FC4E37F1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BD2E56-731A-453F-BB12-274AFFF4146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51128F-941E-4CF4-8E1F-59AB5F9F4DC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714375" cy="304800"/>
    <xdr:sp macro="" textlink="">
      <xdr:nvSpPr>
        <xdr:cNvPr id="33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C5A5D3-F372-45B6-9E31-C4B966BFEC8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DF48A8-F589-40DC-A3F4-CB5691D5388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B56F90-8C77-427F-8C5B-CD9D6D707E1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0C1615-F65D-4BE8-8C56-108276CA4AE6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530D9B-DB6B-4B26-AECE-9C415BD391A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E474DE-CEF6-4A1F-A4A3-B23F3F01E31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96DA45-8A2A-4A12-B729-6389E033916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5FAD66-A5EE-4512-91D7-1469758DEDD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87288D-3C98-4B39-B667-93EA1247FAA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190BF1-0493-4FC8-85BA-36E41B12D6C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59223F-8CE2-4A3D-88AA-B4047562486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80F641-524D-487E-8E67-31B4C7F2336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1AE6A0-193E-47CF-B176-064BD711B81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440496-AC8B-4AB4-ABEC-34F8D82CD9A6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884C8A-794E-488C-9757-C8D1B37EECE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FE8B5A-D1D5-4D45-8E46-C6BAE3D49B2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75A9E7-09EF-494C-AE1D-B2F04860EBE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9723AB-D6EE-4CFA-927C-401906326F0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8D4513-66C3-43F9-9712-133B9011BD7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350F40-5860-4A81-A50D-F0B998405A8A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E50152-33EB-4590-B354-B90EC12BAD06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BB70AB-514F-4E7D-B573-A2D66DEA7ED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53D64B-099F-4F56-8D1C-CD8961D3FE1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A8FC5B-53AD-45A4-B496-7F086FC6E3A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77063C-A431-45A7-BB24-E9FEB95965E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B657A5-9E71-45BD-80CE-77B532B615E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61D6E4-C65B-4969-A27C-277B9E4E5F2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679883-DE6E-4337-B5B7-D7F5E5F6D6D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5A4C43-A1AB-4A26-81D2-CDD2E0BE0D0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336306-D388-4930-B482-A9762953BCB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DD7AB0-17E7-4AFB-BA3C-1FB5672AC42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41FD7B-E496-4966-A765-6EFFE862BAA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6F30EB-8189-4DB3-8C85-9E156260428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C77BB5-ECDD-4B81-9C39-AA74AA4F096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14FDCC-187C-4A02-8087-2A89A860A8F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EBD58F-CE51-4C8A-BC22-8FC8FF0EBD3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A603F2-5B3F-46B5-A7F5-955DCEAF9BFA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624065-767A-41A3-8800-4C7F100BA01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97A17C-7574-481D-9927-5B22BDEF7FD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6FCAB6-7FB8-471D-8EDB-A483C0AB7DA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DB4634-B894-4141-A53C-EB5DE839EA1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80B860-7D17-493A-9E18-7AAE927E1CD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6BA74E-29C0-413F-8086-50978954E88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007488-93C0-4C72-99CB-5E6D3D7AAA8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1BEE7E-FF54-48B1-AB81-27A07D9BA04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9AC84A-FCE3-4392-8D5D-F4D11A5C929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ECB6F0-88BA-4D10-8C51-3C1F4B409B8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DDE039-8524-4C8A-A38C-4C8CC0614D4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587834-5429-4731-A1A4-FC1AD7B8503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F4711A-17A2-4CD2-8965-85CC33C1BD5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DC740E-8CA6-4E30-A335-3085BD669B2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C649BD-927F-4A7E-AD7C-1F3BD0300C6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AF05C5-0C5F-4B1E-BD9E-1CF9FC198FB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2CC9D1-7B47-43EE-9415-9B8A8F3085D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9DD71B-928E-45F1-BD4C-27951BD6C78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D41AC8-A04D-48AA-852F-EFB69508DC9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28FFFB-24D4-415F-AF17-1FFBB641581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F8054D-4C18-4491-BDA4-FF812B35FEA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7FA807-333B-42EF-B2D4-E1CA90BFCF1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B3E367-0BD2-40B8-94B7-172B88B029C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8DD247-0AF6-4C5D-BD42-C01F2269E26A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20AEC3-E4C9-4597-A266-3A96C6C0321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36ECEA-F1A4-406F-8C03-D302016A982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33239C-5780-4F1E-B954-8327B87C14F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15341C-8B4C-42C1-881D-4EC927A4EDE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3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AF5CB1-616B-4D32-A424-25C52D7E3D3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4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D05A8B-8FFD-4E88-AE52-7EFA39B3674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4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7E773A-5BA7-4402-B531-234F4AF3708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4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28B93C-4065-4EA7-8C85-946C28A08B0A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4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69CF09-DBF6-4644-B543-569DB7DE5DAA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4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ADEAC3-51E1-4FEC-B035-1151B6AE139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4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26AD3B-EA61-4443-90A2-CB0BBC31F7D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4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C2FC33-1ACD-4853-8E8F-87C7B50E459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4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88C149-0C98-4199-9756-8FA9A34ECB4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4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B642FE-D91C-4554-B413-62E1DFF4AA7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4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B12481-D066-423A-A047-CDE5EBF680F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4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F173AD-E08A-487B-A523-84C0853A790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4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8CDC50-BDE2-45F0-B371-E97EA79E514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4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4DD1ED-554A-44BD-A7A1-5E8EC642548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4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696A49-4FEE-4555-AC6B-015301E4E32A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4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2F7E84-0341-474C-8DBD-3FA2BAC8812A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4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B33824-B437-4858-8E20-5E3C197DD0B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4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CCF4C9-7EE4-43A1-BAC4-92D3F6D1B46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4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FEB4B8-5AFB-42AC-96A2-115DA016D26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4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F25045-4A52-4CEF-A1B7-4063308E503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4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00EF89-C614-4F7D-B607-CDFFE2A6694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4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417906-7C46-4A19-8BF1-C0E5B17668EA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4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EBD3A4-B175-4C37-BE9F-8FEBDBB1431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4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12793F-0ED2-4076-AC9A-0A61A1291CF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4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F3DDC2-275B-46B2-B496-216FEBB83386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4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836472-8921-4149-9E4B-8BFF351790E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4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3ED50C-EEC4-4E5D-B6E8-40B4B6BC591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4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1397B9-657C-48F0-A8BA-F627F798AA9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34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3E64A3-A163-4732-B4C2-175BEC15A83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6A8440-1E75-4AB2-B6D3-A582905D2D0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9FE5FF-C47C-4CAE-9137-666F692CAA5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356182-618E-4A16-B07A-20D7F686FCC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055689-9A67-4EF0-A2E2-4BDACA6FA79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88B492-7C82-41EC-8892-87653A589B1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056FF7-F263-467F-9CB4-1948BE9AB9F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3062A6-E228-4B93-AA82-F4DC88AA7BF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0686B0-AE88-43A8-9905-C63FBF46A1A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714375" cy="304800"/>
    <xdr:sp macro="" textlink="">
      <xdr:nvSpPr>
        <xdr:cNvPr id="34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16FC37-56A0-4A31-A07B-063D07A5C57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EB2AD7-6A20-4C66-B80B-6E723AD7155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A71D24-A072-4634-9484-9A6F1D36C5C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4E652F-520F-43B6-B2B9-AEB4FEFDBEE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38F189-19CF-4573-AB97-BC044AC17CA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5DCC98-8837-4338-9D86-CE244F9CC44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714375" cy="304800"/>
    <xdr:sp macro="" textlink="">
      <xdr:nvSpPr>
        <xdr:cNvPr id="34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899B38-71CC-422E-AC70-54E8235F695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FEB086-7ED5-40B8-8E7C-7F4C1578B91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56DB2C-155D-4079-A9F5-BDE11996D7B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D907CB-632C-420E-B9CF-D30098B595F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573672-F819-44F7-A7E5-3CFA9D93472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3C0F6E-8080-4E87-9F50-2A9E7826416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D9073D-BC05-4377-805D-90922AB943B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E553F6-3729-4C55-A9FA-D4AFBA6001C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699513-8FCE-40E2-90E7-B410C9099CA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5FF697-D252-4C90-81F3-43CD56414C7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B4C983-6BE4-4CAB-A0DB-2C961FF7C05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714375" cy="304800"/>
    <xdr:sp macro="" textlink="">
      <xdr:nvSpPr>
        <xdr:cNvPr id="34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5C8DD1-8831-4A47-83F6-3A5C5C57411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6A9113-E8F3-4AE8-A2F4-E48D5626BE8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E3C346-C1D0-4857-85F7-2B5A5F7BB46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197B44-A0C2-48C8-9DA1-58E6866F5C0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0DDA26-2547-443F-8CF2-AC38949E9E2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DCB57A-943B-4CDD-98DF-6B5A1D16C45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EA3FB6-6305-4C96-803D-93C0F3FC868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E146E2-7DB8-493B-A04E-88770D04271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D32EC2-4996-44D3-9C8D-1062C52779A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0FAE0B-AC5A-4F77-9497-B51850A749A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6AA4FE-957E-43B7-BDCD-1296B88B07D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F981E6-B0A5-4EAE-BBDC-1598B154821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862D7B-A000-4544-BB48-A8FCD9D43D0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AD4AB3-17E6-4666-A03B-4DE8BCDCDAD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67A7A8-1BFC-4DC8-9BD4-EBE9F832333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73C9D3-442C-465E-A46C-523AA79797C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669462-EC04-4681-86BD-BB435C11F96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52B883-786E-4466-A33E-080966C03CB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425B2A-1787-4780-9C73-5308FA528B0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714375" cy="304800"/>
    <xdr:sp macro="" textlink="">
      <xdr:nvSpPr>
        <xdr:cNvPr id="34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0E18A9-6115-49E2-BB34-758ABB95B7E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C10FC2-30B2-4531-976F-CAFE4A627F6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AB51B6-0AB9-47C1-84ED-EE9D83EC484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71A281-D798-4456-B99D-94E1C4CC931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C2F5EB-3A46-4E9F-A79C-D9C06F0A3B2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34C8FB-3F30-44BD-940D-F49351B5456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714375" cy="304800"/>
    <xdr:sp macro="" textlink="">
      <xdr:nvSpPr>
        <xdr:cNvPr id="34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B9AA10-CEC7-42AA-A083-7FCEA3FC57C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39ACF0-0D55-4BCE-8C28-8C167BEF966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DFE9B3-09CB-4C7F-9BA4-A5FB62A1B23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A4C8DA-2080-4B43-994C-B4B83916E17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1DBA0D-29AA-4382-AF33-5016EE068F3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BF52A3-4C33-41FB-9F1F-D05AA84C7A2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58D27B-1450-452C-BC33-FA76BC77173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421889-9F46-4A35-8E6D-DB492703DA1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D2B4C3-2696-4AB7-A0BB-61DF633ABF4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79EA46-0805-4D70-80FD-ED2A2AA05D1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0469D9-2443-4334-B9B0-C45E413F19F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714375" cy="304800"/>
    <xdr:sp macro="" textlink="">
      <xdr:nvSpPr>
        <xdr:cNvPr id="34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52A703-C0DC-4983-8430-8111EF9B0E5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5AC0DD-8B33-4619-9D2E-0D70989DC86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2A9601-4BF3-4E5F-A1E7-A9A230AE391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B82673-00CA-4B74-BBEA-170E0AAB370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D8EA5E-7B00-45CF-A427-26FD2C210B2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421D95-C304-455E-ACB3-5FC8A7A5E44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0FEB8D-3DFA-4E7E-B5B7-BD03258769B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F1A62F-AFB7-4D13-B03E-FBE10E13EEC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A4FCE1-7DE0-4163-9D44-9F9B377E8F6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1D21BF-00C0-49D7-8C2E-FE6864BB8E2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4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3BEAC8-F767-4332-A1FB-428F8F332BB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F2911E-B369-408A-9E52-DA164A0E651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66BB07-95DD-4D92-9699-5A51E073732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C09767-707A-4260-89EA-09F7E638ED5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0CC53B-0594-4815-9AED-6D948D14C20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476831-2136-4641-9C8E-A0112D16A1A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C52777-94A5-4A1E-B3EA-8B522370397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96585B-BD71-4DF5-B1D1-B7E37E2C13B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FE6605-6439-43F3-86BA-D70E5C9E705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CC0950-DF09-4ED5-94B9-25FF37505C6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177AA9-2098-49E2-8592-85DFD2441D6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D72362-07A3-483B-92D2-FFA3F332B5F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30FF0F-3397-4FA8-9F6E-1B448689701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539F1C-AB30-4144-8AD8-80508E4BC12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3E9E73-B6B7-460F-BE2D-FA955B7B2AD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4AE93E-3D12-441B-BCE0-19D52FE34A3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AD9551-5E85-4D71-A2D0-C90B755B326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32841F-D67B-4ADE-9FBE-A686C75F8A3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719081-A885-4341-A913-B42D3CF26F5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8B0532-A5B0-442B-B46F-2287B3FBFBB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007425-45C9-4FC3-A9EF-8219A8DFB7C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5190CE-FB96-4BBC-8924-3C17299D3BD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9151F7-37D1-47E0-822C-4385C62FFA8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2CD159-29AA-4663-BBA5-47477E1E201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58DC26-3D20-412C-BAA8-C82C32A06FA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3AC270-F0E0-4B62-8C9D-D40C5683596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0DEDA6-7CC9-445C-A0CF-6BC96E9EC54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29999F-2715-41D5-8492-63C7B42336A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4AEB24-183E-44C1-A166-3FEDF7CBBEB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E47EBE-F570-4CD2-955F-6E31B88C252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312BFF-A692-446B-8B66-CE88C022551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EA9DA0-3B8B-4F1D-BC59-69EED9D966E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418FA5-182B-4387-9DBA-29A449D21B4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07977A-E789-4036-A994-5A8770CDDE1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188474-B310-4034-A7D2-DB79665E329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2DC15A-02C8-4786-840B-A2FF8FE95B0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D5A46B-DF5C-47B1-8E8E-5E77B4C4A86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A00338-58FE-4CC3-A564-D0777987434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4DD7B3-9FB9-439A-8C73-196B2A7BEEB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F7BBFE-F348-42E1-AAEB-FC2E7D2F8F8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B8A10F-1D52-4E4D-80D8-9942D7764DF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B00FD6-EC32-421E-9A35-3D74A0E3570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87C759-28CD-4C4B-B55D-D9569217999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A46D5F-C93D-4EA7-A668-390BAE193F8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40D690-1BFD-4EC8-8F24-8DB758F9003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C0BF8A-74AE-4059-B122-E6015872D0D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1464F7-9D11-4C21-863A-E4AB7BDC1A4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E36F80-6B61-488F-AC49-EF4DE7E8A96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EA33CC-1EDD-42FB-9F27-598F62D21DE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F677DB-6DA2-472A-8DA7-ED0BB8C3298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F2DFE1-48B4-492B-B7BA-35FEA75F7E5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93839E-2DE7-475F-9C0B-4BDD7C80B4D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FF739A-F3CE-49A1-AA01-CBD0CDFFCFB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0C1862-226B-4B84-8EE1-CF50F66CF69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7332BF-5942-45B8-BDCA-F0B0951D7E1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EEB30D-C647-4573-8F3A-9612D3C23F4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40B8EA-AFFC-401A-B642-967699F55E7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C17CCE-0EB8-4D3B-AE2B-B2E0B0A5014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B0AF68-888F-489E-B62E-F5134F27FBF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071FD8-9831-4116-AD7C-E20651E3E28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794AC5-1604-4632-B82F-07FD9AE96D7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8CDE06-71C3-4390-A3E5-76CD9CFCEF8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EDFF6B-C59D-46EA-B688-44CE78DE251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BB9C7E-E058-4367-BA22-F951A7A9879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198301-E4A6-4A0A-A74B-86AD0CE2273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460C86-E3F5-4AD5-ABE9-CF88CF1E2FE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D7EC1A-10A4-440A-9F18-CDC3F5BE4DF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6366BE-8CED-43C6-8136-7E3E7FF9F3D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41C1F4-2592-48D5-8729-AE48C4311D1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688490-9768-4684-8E50-E6BFF7C0CF2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BF034D-FF25-4DCD-A564-55D53802B0F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285A7E-76B3-404A-83F2-98B1B4CFA8E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DA3617-EBEE-45EE-8EC8-544C14B756A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C5D663-FC68-476D-9968-C933B3FE4D1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45D239-63B8-4EDD-865D-52A21E5F62B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771206-52B3-41C8-8B0D-5447A9A2107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63470F-34DB-4F77-867E-424D170B5F8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B3F3A9-A51F-4729-A18C-B009D4622A5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F9BF6B-1BBA-43DB-9CAA-74052868B54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DB6B04-4417-44CB-A73C-5F97C5AD806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FFFDCA-EB90-48E5-AB92-2E5D4A4E865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8AFB3F-A31E-4206-BFE8-6AF2ADCCE9E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440FB1-B696-472E-9D41-1B0DA3D4E09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0</xdr:rowOff>
    </xdr:from>
    <xdr:ext cx="304800" cy="304800"/>
    <xdr:sp macro="" textlink="">
      <xdr:nvSpPr>
        <xdr:cNvPr id="35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47473F-A0F3-464E-BDBA-51507DD8A09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5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17FBC8-0663-4315-84F9-FF41047C24E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5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2DC4E4-FE84-402D-AE75-921ECBAC2FD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5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27FE91-5B96-4E4B-8449-C04F3493C90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5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56F4A3-95A4-4E1D-954E-20BD98268DF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5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8E7DC5-D0EF-42A3-A4D1-8D60C3FAB30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5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3FA582-DB1B-45A5-A56B-6D4069A974B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5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DF1573-91ED-4FE0-BF97-DFA30A56DE8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5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92BDC5-4CD5-4160-B036-6DBD0D9F73A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5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7A0D79-13A6-40C8-AF2B-1DA8D48F432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5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D61CB8-3706-49D9-870C-68C1DDAB460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5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56F672-BEF1-48F5-A163-CB31E28B712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5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31AD70-6E69-4FDB-A526-CD94DFB36FC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5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7181FE-5EEB-41A8-B465-AD57AA71285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5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7ADE6A-3C1D-4F56-BD74-6E91F9DF91B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5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222127-995F-4CAD-9141-EB692AB656D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5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E738D2-A411-4A85-AF10-57112E7C82A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5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61447C-9556-4F84-A60D-F5FDABA15A9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EF6560-FFD9-49B8-9486-C60CE257E94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6EA3F7-9121-42AA-BF84-05F8CE0B3A9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F2F259-3D4D-4738-B570-87B57DCD4C4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BC5276-5B39-461F-8358-394DCDCB25D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D1EA67-2EB9-4D37-9F90-08758364D32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208FCA-B637-4FA2-993B-1EC01283E66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66FF65-E4E1-4BE7-B298-751D22B1F48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180B4E-1BC9-4446-8161-C8ADF3075A6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3F06BD-ACC5-44C1-AB5B-E488B83C2D9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7A0AB0-ADCC-46F3-8EA6-078A3D77138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30003B-8B49-478C-876C-58EDC4F7190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83C438-4868-4B2E-A6E9-421CC1E414C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8AD9AF-3A61-48F2-9783-9522999E276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844D0F-016D-4CC8-905D-361A3320EA2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DDC54C-0F57-4C3D-AC11-7C5A07C8106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A2016F-1906-439B-9C58-6976D5DA0A6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9F59F3-3B3C-44C4-82C3-9F9109EA0AE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54308F-AF85-4E8F-87D3-98BAA6E89D2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A835F7-765A-4860-9F50-BFBF0FBDE32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5DD22E-6173-4361-BA15-1BA47DEAC85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B1FEAB-00D0-4427-B73A-C656CEBCB75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1E8BF3-9835-4451-9C40-C3795BEF16D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DD395C-0020-47E0-AD76-8EF29DADC42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3B3D0B-57F8-48AF-8A3A-2427430A3B5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B1B214-DDD3-4E0E-9432-91CE34BA78C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267C96-872D-4209-83CC-AEB48168B8B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A7F6B1-FDDB-49AC-928D-E6FF6358AB9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0524F9-B9F3-43D3-BDB0-11591FD5AEC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F56694-D019-46A6-BE72-6C3FEEE71EF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E8CA3D-9EBB-442C-8315-56BF4DAAA86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57661B-9E4E-4DFA-9AB2-B926F2C9A84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8DD0C0-0D2B-4952-AAE0-0C80E6F0862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E89B1C-69DF-4C92-A369-BDD5F031AF1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630877-8281-4D81-AAAD-75C00FA87BF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E4CFF0-5C9A-4E74-B06B-92A65164EC6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42F721-971E-4228-A750-8B0F8BE907F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D27B36-FC0D-4B7F-B31B-A35B7987343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E07E38-9AEA-4305-A84A-02B5B6B6051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B003F3-8FE5-42EB-A734-7824F46D21A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9F09D0-CBA0-405A-BA35-CBF639AE0AB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7568C2-7A14-4F14-B7D0-219935D8EE0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EC8A37-F89A-46D7-9435-B1606E7A5D1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8F7E25-5F8A-4E1F-9D55-61614DBBCCB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D8F004-16CC-450D-9B22-F5FA01C0254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09EE6C-FFE8-402A-BA64-A51D3DE9BAB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54FB98-2691-46E2-B879-FBDEBCB7406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24AD19-C058-4C2C-95A2-CCAFF6F28DD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69AA33-72C7-4736-B43D-80BB0310262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F7DD3E-D63F-4EDB-B9C5-95B80AD9C78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0DAF37-5566-49A0-8839-BE0A126C525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9BCDC8-D5E4-4C30-8CAC-ADE02C712A9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64494C-0FDF-4808-85F3-67B0D727BBE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164756-0E57-4597-81F4-99C6533B2B2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2A3701-01F4-42B8-964F-6E91A0E260D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70E868-DED3-4F6D-A2EF-E18BAB55CB8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13F0EC-B7D8-44CA-9223-8B1B924A28E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334C9D-508C-4492-A1C9-3305D620460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7FC49C-1842-42EA-A2A9-58431DA92FB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812E81-7254-452A-A736-AF9D6E8C926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71AE1A-CF8D-4F1A-9A12-245F55B9CF0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AAF799-2DE8-483E-A412-50D16F0B1A7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0C39A8-BC04-4494-A7EF-B46749F5959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E7E7FE-79D6-44AE-81E7-8816D5705CB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CC2DFA-2DA3-40DC-B661-E0ABDC8B8F8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E603D5-8591-4E08-AC86-1D548B217D6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2DE8A7-97E0-47CE-BDE8-A0D70B2A77B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0E9D6C-6C81-4D65-8C71-BBDC78D7655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7D1AE2-552F-4E6F-9414-1B351B9E018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371009-978D-450E-869B-1CFB1AB9CB6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E9C40F-90FB-4657-8E9F-9A5BE84E77A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761F11-1B2E-4EAE-B858-BA5770D1455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C4D27D-6477-4736-AFC8-9BF40525F29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7C1375-DC6A-4AB1-9843-2A535E2616D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736270-644D-4B36-A32F-D7FD5F91DC7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F817EC-7059-4AD5-B072-1740BC70699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0F09B2-E6D4-4056-8F2D-DD25353A5F2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073B4A-3D46-483F-ABED-90FCFD380CE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ABF929-544F-44F4-827B-CBEF8D7A8EB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4CC3CC-AEEF-4F70-B6D4-4E1206C19C4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711894-DF39-4A9A-BD55-6427591EA9F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793D04-7BC3-48D3-89E6-0653CEA04E3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82EA03-3D18-41B5-ABE3-E101D5E1EF3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6F4F46-532A-4513-8599-8032E4353F0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28209A-E4A3-498D-A282-757D9D920A5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DC834F-5B7C-448D-8D69-41434EFEBCF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8C6B20-7778-48B7-8B8B-8F8FC19565F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1544D2-BC13-4F14-AF47-470D490374F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8CD9A8-7111-415C-99EC-76803DA454E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D59733-4FF5-4792-8355-E0FBE3C1AD5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010D28-1269-4FD7-A039-642CA8E7A5C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8A8006-23EC-47B3-BD7D-2D449784CED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2B39BE-E810-46C0-8D91-FAD73537757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F54E9E-9F7B-4ECA-AD2E-8D4E1E2C17F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A94721-E1C2-4D8A-8124-0AB36F2B5D8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A4C03E-D065-49FB-8E15-7BEBD06D005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07E3F5-C104-4993-9CC2-A53B30DF959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AABC72-44FA-4B3A-B63C-CACECCAC046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E6067C-D2AC-40DC-A349-5937840D72D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9E210E-FFF8-42FD-A496-F2BABF29277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6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40CD1E-F60D-425D-8BA2-6BCB7BBA06C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00AEC8-BF75-4907-ACED-A3D135F0C40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C780B7-303F-41AA-AFB1-5E205D4E24A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6A403F-B8AB-44B0-A5E4-8B6D9A263E7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72AEE3-2DFC-4CDB-9EA4-D37F57B89C3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C7236B-C15B-46E0-9C12-4433E31A860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AFADCA-84A5-46A6-AE44-5938F24E89D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8536D6-1854-403F-8E77-1E13C2C477E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4A4218-F56B-40ED-BD7D-9B2DE4B5141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C83ADD-3890-4EA1-8AA7-E8AC1113559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257377-862F-457C-AE44-9346DDC602F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92B8AC-776E-403F-9DD3-D3045C9100A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592252-DCEC-49E5-85B3-98BC9C0AB3A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50F53C-8237-4C59-BF31-3F08D3925A2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FB67A6-816A-4CB7-B711-275338E3C09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FECC0C-C33F-4325-8F1D-492D8909A6C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1AD488-87C5-4621-BD41-100F9DAA05C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0677DF-30F7-4B8F-8482-D97D22E88CA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6300E8-6347-46B0-AB2D-807AA4EE368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613C45-3217-4CDA-8527-51C656254D0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511CCB-3C50-4922-834E-6D186C33922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427BBA-8A3D-4686-B810-33378339110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EAB40E-4C5A-45F6-8476-F82F68232BC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53066F-81AF-48EC-B2F4-FB017B7DEC5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3DC865-6EC5-46CA-A5A8-CAB16C7ADD3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47E2FD-B932-431F-9093-F6EBCBFD1A4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11517C-C793-4A11-A092-1749AA038B4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CDBCEC-46B7-47DC-8D29-673F3A5703F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23F2D8-CE2C-4B54-AF1C-C18964331E3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863AF5-CA15-4EAB-8A2C-EFEC8DAC1F3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31A84B-7B4C-4B29-9ADE-8DB546485CA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409819-34AC-49AB-84DD-9B11E714CC6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98B9FE-6425-49B1-9666-1537A0B81C2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E7CE06-9202-4619-A31E-7A16704814B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16B0E9-22E7-48EC-92F0-22C4F7D8FBB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A49133-91D7-469C-9C3B-6FB7E71391A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E06542-4A5E-4A05-8FC1-E67E75C45F7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9C7F5D-6C6F-4FAD-917B-FFCFCC9368B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A5D80F-C466-4765-BAFD-29152C607C2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2D5DFE-CFAB-4B4E-874B-E0C37F8FE49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2171AA-9A4D-43A6-817C-094D68D7064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DD504A-9699-4A84-82CE-7B3D04101DD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30B623-CA62-4583-A0D8-CD99785ADC1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CE6AB1-A879-4A80-B4F8-1333BB78C1D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731524-F7BB-4280-9E55-932007409DD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F1EBCD-4EEA-43C9-AFB1-40B46DC02BD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7BD532-DD95-4181-8F96-90C655B1B3D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75F24C-A8BE-419F-B74A-3183A85964C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5F48C7-E482-48B6-A16A-6AB32F4F385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0B1F0C-FAB5-4388-87CE-99892994FBB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16313A-0326-4122-910C-90D01983AC2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1B38C4-7BED-45B5-AFAD-B85F991A388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8C75D3-3C6E-4B94-A504-306090ED85F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67D761-F87E-469F-939C-5AABED57DA8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60962A-AB00-48F3-8323-4BB8A42FF83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6F1730-D6DC-4861-93B0-B6BAC0ECAFE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93688E-5606-4733-98AB-F3277F49DB7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C9949D-CB34-4EC8-8C2E-F2E1F33131C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80EB22-3147-417C-8977-85FBEE6186B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252D9E-9B1E-4002-8C88-0621E16DDB1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3D073C-7C31-472A-ACE1-F8613E15B48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64BCB9-553B-4D68-9B3B-DADB072469E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614220-1624-4347-A057-D92900D716C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4ACD1C-7B83-48F2-AB79-694D828C30B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4F2256-8FB2-4F5F-8AD5-8EC2A9AE075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D69D88-586D-4541-921A-17234729512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683844-6A0E-4071-8731-8A590B54907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D94E71-4523-4C0A-97D3-B76FDD10EB3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E7A349-C773-4C03-B719-AA9C4C239CA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393EE1-9CA9-407C-A4AE-9851AE80707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54CF6C-15C5-4505-B95A-1AC46F8DA4A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AB625F-E495-4CD3-B1BC-FFC05722039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D1F109-1186-47E5-9E79-D236C725D29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C43579-6545-454F-8A5B-78E12236BAD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C8A36E-155F-40C5-9050-EB25AF484AF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6C9C87-B33F-44BA-AC7E-8E770DF3080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5F5F7B-81E4-40D5-92BF-9121E131263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449BE9-6F7C-47AB-B784-87656C53EDF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6FE93A-9B28-478D-92E5-B1708C6079C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51900B-2F84-4809-B580-FF295075BC7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6DA736-53DB-4D51-817F-96DA46B21A0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928804-E08A-40DC-9B12-8ED6472204A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CC13D2-6FB0-4F07-A68C-0355768CCE0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7ADAD8-84AF-4605-83AA-604A955007B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FB1E14-7233-4871-B74D-B71BC70FB4E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611E06-F457-4486-B733-D3124700B96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AE7028-BC5A-4444-A2D5-1C3F8F3D8CC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F7371F-2C19-421B-BFE1-0E591AF7908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0A560F-5818-4139-B5F3-F6BA9BE05CC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65FA5F-1B4D-4414-9523-E5EFB75E6F7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386070-7C21-48DB-A45B-3854AE73E6B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8E1129-2F80-4ABE-8F77-0B2CAFA9B04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74F8B4-00D9-49D7-8AE7-C257B52D48E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D9962B-E8C0-448E-B062-D2E73CC7616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DBE00F-F127-4B15-BD7B-28CBAC10894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E7E47E-1C04-4E0D-AD05-12107EEA9AE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8F5886-950C-42D9-ACC0-B97C1B8EE98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B9EBDF-6A1F-4C01-AB5C-161D49D5941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953300-5145-4BF8-BB1F-DD34C0217B8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B9556F-A2FA-45B9-8711-48173F699E8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7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6B4672-BAF1-47DD-B4C2-AE3E670CC72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CD1EAC-F0CD-4DCE-8AE7-5CBD19F819A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EF7108-5D0F-4981-BCBF-9F967939A93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3BB12A-364A-4927-B861-5724C3A9880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A4CCA7-3B0D-41B7-97F7-4D48B46E032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B606CA-B671-4792-B5D4-093586F602F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99861D-8DF8-4F53-8A85-2043BF15528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077641-1A5F-4531-861C-55C0C096B1B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FC6617-A39A-40B7-97BF-3871B7A6AC1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581AB0-788C-433E-8517-7B25B5606DC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38D6F3-968D-4D84-84FF-41AC9CA92E1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CBCFC7-A72D-4591-AB37-024893A55D4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845DB6-16AE-4D9F-B4CE-645850FFF6D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8C46D1-DAF1-44C1-AC31-61281D1E217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1A3403-EE1A-47DE-8B05-FF4A0DDEAEF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12E8B2-C8B4-4A51-AD1C-B0C60EC6E20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70ECC2-0D48-42B8-943B-24C892D1B31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F0AF0C-9950-4672-BDA2-E85E4539629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0086E9-D59C-4970-9A2B-C26E7075EB0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5B6020-BAE9-4FD5-9208-8F92DAEC17F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2399E2-C689-462A-9086-DDDA763B062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6F47AC-413E-4960-8648-4301B144352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1FEA16-ACEE-4DB3-8B5F-4AA9E2E659A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DDF749-03B7-4475-9FF3-A19CD9F7C4B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80BCA7-672D-4B0B-9B65-F9CD401E673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A26F90-9DA8-40BE-9A4E-369064800ED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96A17E-1571-4CD7-BE57-2D8F4383D8F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D4D735-F470-4A0D-B63C-F359EE8A671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FBD86E-D571-4B53-8F76-515C88E8456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C99E15-FBD9-4B9E-ABD0-13334AE00D4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951A69-F4FE-470D-8E46-CD352EAEAF4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772D5F-BA9C-4AF4-B96F-3E79635988F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2A30CD-735C-479B-9076-38DD39E7F09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CFBEDF-F619-4EBF-9C04-5C261FB4DD7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55363F-7B52-463F-8754-A0D31B2EF1D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2F4655-7E36-4991-8EB0-103E9F2BFC2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931B80-B1DE-49E5-8F11-C085AD96115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4B4DA4-EEC2-46DC-A4EA-FC60AB00F7D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562CF3-7BB4-4B4F-9D98-E52263256A8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01C434-4A08-44CD-B900-D0DCA98DAD0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0C48A8-8451-469E-9361-B4C05751DAC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DC733B-2B15-4D90-B354-3246002C706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A521F0-D5D2-44C9-A924-EED15E8D38B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9CC396-CA61-4657-B574-59FA876CBCD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B9C353-BC3C-4F78-A8A8-8B55FC5BF59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36FAE1-AA20-42C4-99B6-7526AB8B033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A49863-94D7-41BA-95D6-144A2CC4AC9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220E6B-F546-4BBA-98A2-5C000D01079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FAE8F3-BF2E-488C-A630-796F8C2F84D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9F7633-18D9-4B9E-B394-7C9E241C815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B15924-F5CC-4C4D-BA07-09F705F68BA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D23462-235A-4AD8-AECF-B17CC3D9975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DC315F-AD4C-4771-90F1-F7011A40156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D546F5-FE55-412E-8C3C-A7C5CC6474A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C168CB-7036-40B6-B63F-80FA4C7211C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33527C-59BE-4585-AD28-17FCEDE101D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0D4E62-4CFD-4206-AE9E-CF89538722D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702444-70AF-4A73-B08B-483DED86134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61C876-314E-434C-9A66-A700735E525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E02E62-4547-4246-B4CB-AF7211B8FCA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60B8A6-2218-4318-982C-679800087F5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4565C4-D151-4096-B150-C9E9736A784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FC2064-88C5-45DB-A269-44A8220904A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804CCA-9CFD-40AD-B0B6-992942E7723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BC3C6E-8105-424C-8627-568435CE265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655819-31D0-4228-A21E-9014867EF1C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2DA5FA-FBCB-48CD-BD55-48430ACD1A9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398CCF-5D70-4E07-884D-14902101B99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22EACB-54C9-4ED6-84BC-642FD4F619A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E4301F-CACF-4B06-BA29-1BDE4993DE9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D3C37C-CF38-4419-8427-D9A6E5BB129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5080DA-514D-498A-BDD3-2B5C66A3C87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8B30D9-1B74-499F-82A5-9BA8CF98F99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224B74-80BD-4B47-B089-8F2091440F2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7199C2-AEBD-4898-AD87-27D4ECB8C63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1E1417-59BD-44D3-A3B9-5245EBCBD7A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809526-F06F-4ADC-AB28-3FAB2B5AA51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9425F8-CBA6-4A83-A6B3-566BD5E1BDF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9CEBD4-839C-45DB-81EB-CC8637BAB2D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BF529C-1580-4D06-9406-6D1A0AF2EBC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2DB4CE-E245-4C1B-9D25-6EBD37C9FF9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0</xdr:rowOff>
    </xdr:from>
    <xdr:ext cx="304800" cy="304800"/>
    <xdr:sp macro="" textlink="">
      <xdr:nvSpPr>
        <xdr:cNvPr id="38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5B0246-5158-453B-B96A-96C8F686B04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8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5D3E6F-0FCA-49E6-B20E-53756C09298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8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28245E-9D93-464D-8BBC-AF1C6D2F87D4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8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55B8CD-B442-4680-B846-CCE4C657530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8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EB9231-FC80-4AB5-83F1-FA8006A5114F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8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FEE790-43B7-4EEE-A307-9D4950C017D4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8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4CAD6C-2D84-4598-A4BF-1F906A13C4E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8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3C3C31-20C1-473C-AB31-7811CB65A00C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8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E9E9E0-E185-471D-A42D-CD61BEFF35D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8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DF2103-0F4C-491C-B88A-1F842DD9BAB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8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2BCC81-BA4E-45C4-8C9B-095F0B2C37E2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8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47D961-0448-4A82-AE2F-2C4415B055E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8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2A596F-FD83-447E-B2A3-77E87FB7DF52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8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C0B56D-167B-4978-9D64-565AF5A16BB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8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60910A-E83F-4E1E-9665-E7EA7F2900C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8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580243-141D-4290-BDCA-87FEBA4FFF0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8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972738-21D2-44BF-A251-B5070AAD64C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8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37D49A-D55C-42D1-AA64-1AA78D673044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8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947F5D-CA2C-4EAC-9A42-DD4CB45891F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8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5744C6-7AB5-49AB-929B-0228BED42EE2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2F30ED-7EEB-4839-A4F5-D3ED07B8C442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F6DD87-22B0-4212-90F2-6EDB8D5CAB2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D2018D-3504-4885-91DB-78057C2EBD6F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4C1D7F-4547-4116-B368-0920AF535CEF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6CB5B7-A104-4BC7-A7B5-09E150C4BF2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CDBA40-6CB2-4A56-B1C0-FEC85550B574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5FBDB4-579B-427D-ABC6-5D67A4746EE4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55562B-711A-41E2-A148-9553FAFEC00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773B37-B62C-4707-9580-8E93BCB1B45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0A31E6-12F1-43E0-9762-6530E34AA11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C2D138-EF7D-4CA7-BE07-DD020CA4DC9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7EC270-0EEB-4226-A598-F865DC075FF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3B7E77-66B9-419A-BDE7-C17391A78A8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A648DC-6AAC-4818-9331-57360C0EFE6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115A68-FC6E-40C1-BB9A-14F5930616A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BECB8C-DF76-49F2-AE20-85B3A62C1F0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22606B-B672-405C-BA57-01663A987AA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06BF02-5E19-4F78-8C7E-9FA130A25B8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C2C31C-95E5-4603-92A4-E03A55E2C93C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BF49B1-309A-448A-8392-DA39CD6F1B3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7A34DE-D668-47AA-8AB4-7FD8DA68800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ECACAE-B3CE-490E-99D1-0814E26BAFB4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4F85A5-F5FA-4777-AEB7-FE20F9C3628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CBB4DC-BBF2-4072-A76D-80C5C2FCD68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C7848E-336F-4EC9-916C-5CA80D7554BC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0ED20A-91A6-436D-BCF1-A7CEF37B7DD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BC2A73-B125-4820-9971-C3379700F18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8EC753-20BD-4978-B5C2-60036886068C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B6D0C4-7FE2-4F5A-B304-14612822374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1B0B38-20D3-49BF-A303-8458BBBB29C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672630-D1B4-4D3D-8E6F-791313DC8ED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4D08D0-04AC-4022-B834-304898DDFB5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E835A8-BD0F-46A4-9869-4C3CF4920AE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1CE841-878D-490A-8EC2-2C878E53DC5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EDD073-5C0D-43D9-A267-E9DDC64C2EA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683CD5-F162-425F-BE39-DEFC9F222D9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22B08E-E123-425A-AFD2-DB9021BA41D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2DCA77-F9DD-4FFD-A10A-1E788FD1672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D5890E-AD75-4CE6-A682-7652A8CCB864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CE56D3-0399-44B9-ADE5-723C63DE470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02DF3F-03FD-4BDF-BFBA-7392917C105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F3ABAA-1102-4FE4-99AB-A14FC117062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1D3C6C-2514-4670-90D8-1FFA1ECCC0C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92272A-2921-4C63-99D9-EF58DB29FA2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497E1B-A4B8-49CE-88D6-E487B618FEA4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4FC3C7-9733-4D83-8F0B-DDDB23109774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C179AE-5A26-4B75-9D2B-028444885FD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B31A11-6101-484D-B36A-8918C7A3F24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F7EC16-42BB-4D78-9297-0F3D70448B4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582C97-CF97-476C-87FA-DB9BCFD6055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1BC012-7623-484B-8D1D-B07622321412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7F73CB-6BE0-42B4-91A8-A03BECEEFCA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2C58E0-37EC-4669-84B4-12CC295723F4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212ECD-6E5E-404B-95F7-0C32E70866D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4CE74E-6C7B-4AE8-A751-589D90CC94C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14B70C-949A-4683-908E-6B683E18721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7E261B-B03A-4ABE-B962-96388D5A4C8C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8C71D0-BADD-4133-BF86-A201C67FE60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1FF670-15A2-4BA1-ABC1-11A74288649F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923ABB-90B3-4470-A01D-DA30600C89F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A68E97-26B4-432A-8CF1-8AF80F79AEAF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76E952-9DD5-4552-92DE-AA2F84B6C6D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E1AF7D-6FAD-4A30-8D82-F91FBCCBC99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7B577C-0A41-46F0-A64C-ACB8637465C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6D3B9D-9EA5-4E58-95B5-8A83D87CB5C4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7C2171-2D16-4BE6-853A-DA83E2C86DEF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C9DDFF-2734-40E9-8524-A37C4531C2D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285758-27D7-4F26-9FDB-3F9948FC178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7E6F7C-104D-41D7-B1FA-3A3810B7861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E50766-5617-410B-9322-D612C69BF75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051514-81A5-4C96-9D53-13F94A191F1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FB02BB-F55C-4D88-9EFA-F5364D2D91A4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7D495C-8801-429F-9865-52B7D736300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020081-4208-44A2-9359-4894E61C638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54755C-64F0-4830-9112-AFD2DBBBB9F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D2A292-B155-4DF5-84BB-C5D255EE248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79753B-2ADB-430A-B621-EB60D9485CA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F018DE-5809-4F9F-B0FC-AC376DE9161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0DD316-B83C-43F6-9B6E-ED984793BE0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850B0F-F602-4A0B-9D14-1CB812D5FBC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727352-DFD0-4368-AB18-4142005AE09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BCBA5C-644A-4387-927A-C5A86FF4D44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6310C1-24F7-44C2-891F-0D925FA6E67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CB6C5F-830F-4BD6-9478-8668BD3FFC4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857F8B-6AAC-4F8C-B87B-B28B1A05672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384819-3497-4B07-8FF5-7B820527B94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3F36A6-F34E-4D08-9EC6-6C824ED2416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1C1531-A46D-41BC-99EA-4398004B3C84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57627B-CA4C-4B76-8EE1-C6852A28F8D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3D1391-E25A-4257-88F4-7683C231542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EB2E32-DB78-4FC4-848E-21295B5F540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2B2DEC-446B-4915-B4F0-C48BDBA63AA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4088B2-A40C-447A-84FF-3E1D306BF22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AC8EA3-21C0-484E-85B2-5FE687CFA8E2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E2CF1E-D6C1-4925-9A94-F358C2861044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000666-768A-4910-B480-6918EC54908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BE7F9C-3479-4627-A74D-903984EA588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7DDFC9-649D-40BA-8430-48E585A5F3C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F60405-2FD6-4209-8ACD-91E406806B1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39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AE7944-1735-4EBD-B7BC-4D2B6691ED9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40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95864E-2D1A-41BE-9201-4DD886E74EC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40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310732-FA4E-47DB-8F3D-891FE6401BE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40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4BDC83-63D1-4416-85B1-ADA3C40682F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40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94E9DE-B642-49C7-85D1-C53B8EDEE34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40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D93024-7FFB-4BCB-B89D-FA428016F4E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40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07AF79-AD0A-45B5-8946-7326445CE76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40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1C5778-37A3-4B01-88E9-DAA206872F2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40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4EAF5C-85E3-41F9-8D29-8ABF3A6CAEC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40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ACF74E-E3CB-43EC-890B-1A724506A0A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40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DA0F26-F47B-4B86-AADF-120C9F2D8CF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40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2A9A8E-B811-4695-9129-64724CC8252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40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183AF9-FB83-40BB-9D88-95AB2755E7A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40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53D819-9862-4DEE-85BE-2BCC85FB74A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40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E995C8-D986-4356-9BEC-A21ECE42253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40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6E1BBC-79BE-4DBB-9FF8-C550607CBB8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40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442145-B29B-4352-A3E9-35D795DF8064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40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7CFBF9-8A26-4FDE-BC8E-D4222834609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40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953CEA-8FED-4512-AD93-C7B3EBD80FB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40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3C3F53-3D8A-46BD-A7DA-F002F2FE020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40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3D5547-A9B5-4B28-8ADC-E1FC55330ED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40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AB3F48-D2C7-415A-8AED-A39DEB654F2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40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C4F420-680F-4754-A28A-F58A52F56D44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40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BD1F98-F963-4531-A629-B447D193528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40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DB86EF-4DC9-47DE-BA2C-12971B3CC53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40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E0EEA2-BF13-42EE-BA23-38325AA6D33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40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950612-6D69-4D98-AE9C-8EF44FDCCC64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40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3EEDE4-DD4F-4EF1-B29B-6FD18230622C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40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E90666-9A18-44CA-BD5D-3B57A6F2419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40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38B10C-2BCF-410D-BFE2-3639FF4E913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</xdr:row>
      <xdr:rowOff>0</xdr:rowOff>
    </xdr:from>
    <xdr:ext cx="304800" cy="304800"/>
    <xdr:sp macro="" textlink="">
      <xdr:nvSpPr>
        <xdr:cNvPr id="40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E52E18-FA95-4907-9884-5E5D7378791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431350-EF47-4EF5-AC16-88A289327C8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50383D-68C1-4903-9814-BFF21B4F1B0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AA284C-8E6F-40E0-8838-118B77494C3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3C4AA8-59B8-4135-88EF-F74971F1E07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B5D0F4-C713-4896-8E79-A155FACFBAE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419501-AF3C-4446-8DA7-245FD2192E1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F10478-22EF-4993-9EE1-56A61283B76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ED6F0C-D90B-4BA0-9F55-0858F6963C5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68ED9A-3844-44D2-8F81-81F01F208DD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EC6739-01DB-478F-959E-38343B0DA63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5DED6B-A7A8-4A76-8523-7DF42F3CC3C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092BC0-0EDD-4CD2-8890-133AD4DA717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62A7CC-FBB2-467A-B486-F211BD443E3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AFA8F2-803A-4096-98EC-F98CC03E833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181050-A0AC-40EE-9806-49030DAD8F1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20F5C5-9A83-4CF8-AEDC-F95F63A5B39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B36B7A-6C99-4339-92B8-08286950A6F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A14E67-EE9D-4ABE-8983-20045F6A902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7352F9-0FF0-4BA9-83FB-E9EBF25B9C9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70FB9D-2AA7-4BD0-AA73-BA1ABF72345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12958F-7D78-4009-BA2F-4D78B35B00C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89B854-D0E3-4BE2-93A3-AE1D127FD02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DFA0D4-AECC-4E25-9085-17052377232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652703-B490-436C-A2C2-4FED00FE0EE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C9D625-6753-4237-8FE3-2A955BFA452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BB7AAE-F638-4FB9-9421-7E60C9778D0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E6C910-D176-4040-BE2A-04A3B9B96AC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8C6F73-C7FD-47E9-BA44-B76DE4D6BDE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8B6479-CC38-4319-AD9E-13D107CFE10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BB762E-57F6-420F-84D7-F9D71D0254D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4DACA6-C229-4652-BAA4-466936A625B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976977-57A5-46E4-BF92-06E21E31928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113F35-C649-4F35-AD05-21577F6242A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3FE7DB-92A2-4734-B869-3347EB79365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4A39A1-3AD5-4147-A543-39F361A95FA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33B96F-72A3-4A6F-BA6B-168D1FBE05B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54AADE-497C-4B7E-8458-B5B5EA5A9C3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B48691-7CA1-4AE9-B92D-37A0679A565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FD07FF-A9D3-4D2A-9919-17880177BD6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85DB36-7281-4BC6-8267-C58B9EEB1C0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3BB7CA-9713-44A6-B11D-DDFCFDB6F86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12FC0A-0312-4D84-809B-19584768E8C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DFE65C-A07B-4033-8BC9-56E7F9AF40C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4C68C8-AC49-4DC9-8F9F-891188F2946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7427C8-9E2A-4CC6-938F-78A07B90215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BA1034-018A-47F2-9BC0-AD09337F9BA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04E420-0B2C-4380-9EDD-3F62B6F070F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479DC3-E73D-42DA-9712-E93B0C64B28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159373-F017-448B-8572-18D126DE5F9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1CD972-29FD-41BD-AE3B-53393B04D64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09290C-40B5-4CA8-A286-1A3003740EA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361BA3-B61D-4BA1-AFBA-5F9159279DD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77A832-2A1A-4FD0-B594-88BDF72EBB6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727CE7-E955-4DC5-A040-DA0E553088B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368FF2-3293-4FD2-97AC-9E3317C7D68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D8BF2D-B180-4FF0-BE63-D4FC2A8E91C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802B52-4408-4E92-9D21-D0FCA1220F2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4FCD45-94CE-4175-8765-43A9E0B9664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96E110-BBEE-415D-824A-E9E3736BFFA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420CAB-DCBB-45BE-A47C-396E2CA5B08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E469D7-7394-430B-AEC4-26192D03DB8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22147C-0C35-4395-A3AB-F39ACDE6C61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E17010-A887-44A7-AE40-669CB34E7EE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EC7A5C-E748-426E-AE07-353F76E1A34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2AAFEF-EF99-4D82-8C03-3B1BB1C638C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EA81CC-B14C-4D4A-8F53-020DD1E45E3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89B466-CDC2-446A-A418-340EB730604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7D48A4-E790-4629-A3D4-B7B8D7985B6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AF0F52-090E-4FAE-A4ED-3163FA347BF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0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06EFF5-FAF1-4642-A7D0-27B36F7FFB7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76BA25-D2EC-4548-8079-43710385F31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FAA940-A4C0-455A-B1B1-638F0A45B47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A4C008-61AE-4E37-90B8-9CC7CADB44A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1D21C5-BA2E-4E24-9693-03421B7FC35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61B946-F1C6-4C01-A897-49DC6283DAD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E4A7A0-015A-4F99-BFFC-406B45383A1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C6E586-5E3E-48B1-861E-422F3AB3BCA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BFB9C9-445A-4A7A-AC68-64CA663FCCE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F2CB6A-04A2-4CB5-871D-693DAA373BC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F5C075-CB74-4153-A476-A5340E97C2B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A5F0EB-A029-4432-9B13-E1B8A345B22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5C3518-A09F-44E1-B2F5-8B0C5F0975F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4FFE19-566F-460E-A238-1B5E86F1287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57BD0B-1A90-4924-987A-FFC695992D5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9E8B22-4B78-468A-907D-CAC3DAD0079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12C38E-05DB-431D-AA75-A5A74B32695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E85DC7-2748-4BED-8DA9-BF11DB03815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19F8C5-E777-428B-A27D-011EC3D32FC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033A02-AE96-4F4F-93D6-0E63ADC2399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A7BE21-3225-471E-8305-ADC9F0161B8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C6DA57-0CF2-464B-95E4-4DDB7013459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BBB61E-1E36-4B42-96E9-AAB117FC632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278070-55CE-4F90-825A-437C80A3606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54FD47-1D0B-43C9-97D2-0E41F06B13E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1A066A-E861-42DB-B59E-EC1DED36E41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F5A28E-3947-46FC-BEE6-744BD6DEBBA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7F4BCF-9994-4C1B-84A9-C7C6A8444F0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F4BA8D-CC92-42B4-BB95-BFFA4A3173F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462E85-8D2A-44E1-BCCA-6D8890AF0FE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55E930-88B5-499F-A022-26B60B6703A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D65E50-8446-41E3-8C89-C42EC2ED5D9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34429A-BB2F-4FBC-8F22-22A204285C1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8A9FA3-A61F-4A01-8331-363432947EA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83563A-2E5F-4E10-83B6-EBD3F2E227D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D55725-F39E-4CB7-B463-BEB683FEEE1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12F351-808C-4418-925B-A1DB2D2FDAA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3C9178-8A45-40C4-AA2A-2EA5A1838F8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CE1244-190B-4723-AFFC-65C6C1DEFE4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0A1EC0-9489-417A-BD09-97490548EEC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325859-AE9F-4D69-A75C-626CD80E38A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EE00C1-597A-4861-98F6-CA9F0DDE449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9FD61E-B963-475C-B57F-3C2724607A5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4BDDFF-2594-46C1-AE99-740E7979F70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95775F-D114-45C6-9482-470BADCF567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CB4D05-BC13-41EE-87CC-412C695347F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53DE5D-8B77-4928-815F-DFC8A4B8507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7D05AA-27D2-4966-92FB-5E0F7CCB38A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07BDC7-0782-48C0-971A-473DBA8FD3A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1A8095-B01E-4636-A042-9AF6EF16F4A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CE2362-A8E3-4BB2-B290-C664BC7FDEF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E449D0-CAC8-4F9B-AF08-4AD9E6FB3E0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23136A-AA81-45E3-9780-8D53B763908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7C9B03-4160-441D-B47F-2AD5EF9371B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AD550A-AF0F-462A-ABB0-DF402C973C9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32712F-72D2-4C26-9173-DFD3CC3DF65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1590E0-C0BB-4C61-8EF2-3A5AF896B47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C9CDD5-92B2-48F4-A341-70A45C25520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D4F15D-3B6D-4FFE-80BF-C7AD48114CC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788F80-2ACE-46AC-A522-ADFF5053606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26A5A8-5A5C-48A6-B3BE-F4B5EBBD84D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64D329-7CB7-4EE0-85B7-16860D3C954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D9ADAF-F3AC-4FD4-B4AF-AE9EB5A3680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F29E6D-ED44-4B6C-8065-B1B932E7152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80A42D-46E8-426D-8401-2314563A2F8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C9222B-4996-4049-8E08-2139CDEDAA1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EDD8BA-5B7F-41A7-8B65-E576FF40D67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0AD31A-3432-48F6-B9EB-47817775963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88B9EC-C3E0-459D-906C-9EB8345F45C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1AD4F5-88ED-49F0-B97C-CEDD654C74E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E91C9D-792B-461E-AD0E-BC7323114F3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B54992-8D58-4F7F-B696-9037F05750A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12E574-18DF-4FCC-980B-03028D69BD1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9A8B76-FFEC-4356-8230-0722E9A1C71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86539C-0C7D-416D-B290-F752BD678CA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60CFDB-653E-4810-B61E-39669ECF27B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9B6ED8-7B37-4A8E-B103-183F56B1722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9EB340-F04E-47BE-A978-B4CD99E7FA6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1DDA9B-970E-4570-8892-35BC6F03EDA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05200C-8E51-4E4D-B6E9-3AB66B8FE68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BFCF2E-4637-4693-85B5-FA623F43FC8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22DDFB-1FE6-466E-845F-4F51459FE63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27CA4F-E137-4388-AAA3-07FF9354319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EC80EA-3D04-4DEF-BC9E-245D4AC35C8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953639-E46C-49D8-9AF7-CB1C2321174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0879C6-AC90-4350-8282-37A9165FCCF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2804C0-2AAD-47B4-9F45-287488B7B46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F36432-5860-42DA-81D2-ADDC8C58723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714375" cy="304800"/>
    <xdr:sp macro="" textlink="">
      <xdr:nvSpPr>
        <xdr:cNvPr id="41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C9B322-EADE-4B4F-8A0E-114855A3AE4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66DCB2-AB38-451B-8619-093B5786865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CF3014-A211-4485-BE89-1E8EE299196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03E2FA-D05E-4BCE-9E87-D9E59381CD4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A40B0B-B8B1-4922-B660-FDEE0A6835C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03FFED-380C-468B-86B3-6F40CF176A6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714375" cy="304800"/>
    <xdr:sp macro="" textlink="">
      <xdr:nvSpPr>
        <xdr:cNvPr id="41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57BE1F-A8F2-49F7-B27F-883CC1BC1A0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6784E0-283F-4287-B8E5-2C7C9A50724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5C51F0-9AC9-43B6-90C3-447E413414C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B6D52F-7722-43CB-84BB-793ADAD5157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A3FD32-38BF-41C4-9A4E-F97FD366984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09E91C-4BF5-4EF8-8A93-4004AB5BCB4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1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5F53E9-97C2-4361-A19B-A275F0E96F2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BFA5BC-D1C4-4FDA-AFE8-83013AE8A79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37F06C-C8AE-4681-9044-4F20E83646A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341EDA-2F6F-42FF-AB23-E686FA1816A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FB9FB6-BF12-429D-8A07-E35100DA673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714375" cy="304800"/>
    <xdr:sp macro="" textlink="">
      <xdr:nvSpPr>
        <xdr:cNvPr id="42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404E48-64D8-4499-B129-E964842BF3F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308D94-51C5-4181-AE0D-07BD7C10388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E85FAA-BF7D-423A-9691-D5566F0B1FC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6A5D5F-28C1-42DE-B7C4-6DA8617ED8E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9FC42D-A86C-4976-BD58-5AC9838CD06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AD86DF-882A-4999-8DF7-6FE40F8D980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BD8A01-2756-4BAB-AB80-F99FFA0EC75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E3193E-9950-42E1-8F14-DFAF432175A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E592E2-1131-410B-AE01-970ED2374FF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7F0DD1-B45C-4358-B01C-C1B6D47788D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EBE7A9-A952-4A73-8B68-026AC62ED7A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312635-99F7-490F-A55E-8CC07727517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D64FD6-62B4-4952-B0BC-E5FBF00FD2B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37BCF8-D062-4A01-B6E8-EB6762FC13B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76BD46-6196-43F6-A881-3EF70473C9A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604AFD-9476-4E6B-A118-562C0271FA9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5A7113-D890-4CCF-9D5D-A6E03B941B5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B92675-7EEB-4944-969D-AE4C2C5E5AD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D19259-D93B-4C84-A9C5-29B3D1D0C6B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714375" cy="304800"/>
    <xdr:sp macro="" textlink="">
      <xdr:nvSpPr>
        <xdr:cNvPr id="42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DB98B4-6F90-422C-A5A6-4E517AA6E9F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84E81A-DF53-41D6-8593-D97CA1204F2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73068F-6005-436D-A963-18B96925325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60AC4B-BDFC-4AC2-9333-C4218922300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EE7A88-335F-4977-BDE2-DE32D0F9624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CFD653-9874-41D4-A817-41B2B6B2FAB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714375" cy="304800"/>
    <xdr:sp macro="" textlink="">
      <xdr:nvSpPr>
        <xdr:cNvPr id="42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91779D-0DF7-4F77-8BB4-D4DE3BA564B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4F670C-EC39-4FE5-B8A4-D4E63890E5D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7C3C04-3F5A-44CE-B8AB-C7DF7073AFD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4C723D-8969-49A8-AEE1-D0E662039BC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778E0B-D7A2-4DF8-B436-69F394568E6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1A7C64-ECC1-454A-A537-1A78A2AB9F4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99FE63-6E2C-4CD8-9340-7F15C6A976F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077941-5BCF-4BC8-ACA7-9674CFE99ED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F12324-4704-4B41-9C0F-0B89327CB44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84B69F-70B1-4D95-B129-98945A86166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9614E2-541F-4C18-8470-D95AB440824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714375" cy="304800"/>
    <xdr:sp macro="" textlink="">
      <xdr:nvSpPr>
        <xdr:cNvPr id="42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03E3F4-EDD3-473D-A2ED-B0438EDAEE2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6C064F-02AF-4A18-B1F5-FAF8A0B859E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F76D9E-B191-4F38-A48A-759240726A2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165B32-6B99-4A84-8E8F-1CBF39FEE2E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06A51E-34D5-49A6-A2BF-01BA85CBC67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CFBBC4-9F91-41C4-9F45-4F097D4DFA1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7D197E-A75D-4061-A26C-91A62543273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E7821F-3BB3-4F60-A255-7FA817A16B3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E35D24-5F10-462E-B010-C14888B798B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FEC8FA-2552-49CD-8FCA-4EA5FD9166A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1C24C0-2344-4BB4-A16A-2600B9EE726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433390-A7B9-4D86-BC73-6078F028BE2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997487-0140-4CE7-B7AC-A895CB46581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8BDB0A-B223-484C-B638-592003770A6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6F42E9-005E-4544-9877-355EC573EC2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948DEC-1563-4E70-B0E1-C515E0041B8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D364AD-E242-4D97-A4B7-9F2C06063E5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9A152A-AB4E-4C84-BC44-C250997D451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CFA6B4-ABC3-4DF8-B2E1-36EAF94A100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B50870-57E9-4CEF-B3D9-C385F082B31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038065-8674-4ABE-9F0F-4BCDF64B03E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78AD5E-EC49-489C-B30F-464D6C8ACAB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9E2AB0-80A8-4B5B-8AC9-FCA9EE4B279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5BDE47-3054-4ECA-84BD-44394F44F4D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BC0488-2464-4524-B45E-579D36442E1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FBA93B-327C-42E9-87E8-6ADCDB0C81C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DBCBA4-246C-4EA4-9F0B-67275255174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64630C-610F-4270-AFB0-F5966F37BEB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6CA6A3-CBD8-40F4-B7C4-287EE4DC707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30BAAB-5A40-422E-9022-33FCBDF5709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42456B-B545-4543-9553-5FF75165DD2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4652BB-3E2E-4E55-A25A-EA935097F3D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F6C633-F5A1-4214-A9A1-DEDC69439EC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E93208-7598-434F-8483-7FFE51A6E07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C758A8-C04A-48E6-BB17-F9DF4B747A0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C428BA-DBCD-47DC-A4F4-395A243DA75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9964AD-C1F3-41A1-94B8-550F88DBF6C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4B546F-F9DA-4DF5-8F5E-707910E4486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170A45-CCF1-4CCA-A53F-D253C9EAB2F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196101-19C5-4842-8337-3D72CE8E6F5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49AB30-5FD2-4A21-BDD7-19C1630B876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395179-0FC2-43FF-BD5E-52DF815105D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88809D-86CB-4810-880B-40F7051D94A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9B0E76-BAE8-4749-8C5A-745096A9F07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9E73A4-967E-4470-BC8B-69AD29FD97F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18CC51-42B3-4762-A92E-A7FBB135756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826AAD-6C6E-413B-A3B0-54698974AF9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CDF6BC-9B43-4FAD-8A83-42B3A1A5CFE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B101E5-1A38-4F7C-A4F5-25B916144FD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DCAC27-5D74-4194-84B1-A93CC2A3050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5C0758-A580-40FC-8614-C682DCBCD10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8666B8-0C68-43D3-B40E-B498BFA24C8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CF6A2D-1248-43D8-9456-9F3869806E6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17131A-491B-4DE5-98CA-FB6CC3139B5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398EB8-A529-4964-933F-9D01A101831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03D049-70CE-4339-85AA-410D90155DF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2482ED-23BB-450A-8AE5-33047E42FB6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0A6B60-6033-43B1-8672-CFEBC5E0510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AE9879-B078-4F79-B299-3482A952625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2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C30531-5D23-4B61-9327-34C9989943F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3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6DFE82-8239-41CA-A5AE-399812EEBFC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3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51784D-5599-4F09-A077-49F8DCD1545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3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EE2673-BF37-4F59-83CF-706270395E0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3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3EEE5A-A318-4967-95E9-F63B5625A94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3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A21B8D-E38C-4295-8751-39C60EF2658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3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4A93AF-EC61-4A85-9630-84E0FAC4839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3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8D8D0B-634B-4D98-99D7-9A5EF2F3723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3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B7852E-F895-4FF1-B0E0-AE768D683AD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3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290F87-4D5F-4560-A510-DE2859208A0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3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A650C4-3AB2-40BF-A43D-430A2D1F986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3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3D99CA-A53A-42B4-A87C-75726E86A54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3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5F7949-2EFA-4ED6-9F03-B6A2ADBF936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3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CBB2F3-B9A3-433C-9775-A0C25B474FE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3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8A8113-B137-4FEF-B761-FF8DB9DEFAE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3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5FF133-6351-455A-8496-34AF1E01F4C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3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5FCEA8-2B9F-449F-83D4-D702EA95767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3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CE9654-DC49-45AA-953B-DEFEE61A7DF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3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9E3CB5-3849-40D7-B1A6-80C20C6A8E5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3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F2AFE5-6206-4873-AA67-9F9BF2D607E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3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E92A13-85BF-4ABA-9116-EBDA656B941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3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019C81-E86E-419F-956B-BCF1FD5B472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3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3E408D-CDAE-4C6D-928E-DEF4BCF232E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3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9AAFCA-C955-4905-83EA-1BB0FE536FD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3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4EF2F0-203F-4932-A0FC-4D7BD6EC68C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3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841FFE-74B4-4941-A132-9B7BD9173C1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3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24DD3F-3B86-4539-965E-08D2CC1B017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3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BAF03E-986E-4A66-957F-64B27987ED0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3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341F70-44E6-4220-9D43-14DCD24187B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3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13B088-D4FD-4B5E-8D5A-AB25D80097D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3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42142C-707C-45C7-A988-12CA209E51B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3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DA20FC-F796-480A-A29B-4CAE8AD2A48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3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A8C310-A2A9-4082-88C7-BC314C36AE5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3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364F0A-0CDF-440B-A096-441202C9536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43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92EC33-D9C7-4AE9-8A25-6E050B30A7C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19A320-3C23-4499-8005-4DA616E8AA1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9B3E4F-3F55-4E5B-8097-3E5B9A56349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FFF851-55D1-4206-BA9C-7CDE9552850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732525-E84F-44A2-8689-B9E63946BA8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56CE80-E793-4A06-97AD-A18077FBAC7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D8DA85-567B-4F99-81E2-AA455DAE403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FA820A-84CD-4BEE-ABAE-ACE1C5BD2E7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5D36F8-A376-409B-B5F8-6C8A298D259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4E6225-C4F9-4D6C-9B79-37F5945879F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1F6B15-1A91-4A1E-8943-0C2BBE7AF53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6C578A-A6E9-47BC-969D-74ED2F6B98A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7E45D4-6665-40BC-A4E5-8C70E635C60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8B85D4-A447-4777-8554-A92A0B10734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EA9A3F-9618-4B45-8F03-84F9E74AAFE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5E8F9B-3B88-4BCC-959D-19DC172CE3D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2DCF3F-AFFE-4578-875E-DD766862D2A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1C6EB8-E536-40DB-A066-7324D35EAB5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708267-3B0B-4CAB-BFE5-F467640685D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6A791A-EFB2-413E-AFED-10216D14B1F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CB1BB4-CB6A-4DA9-80E4-6852B41CF4B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B783E7-E68F-4E56-8096-368629FA792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39385A-813B-4FA1-8B4A-0707F34EEE3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4C60F7-19EE-4514-8396-0796AD617DC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C9FA30-C3C2-40B1-8947-887EA7692D3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BBF72F-FD16-4A4B-BCD3-ED79738C632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7FC350-4C35-45FB-B86A-ABDD3CC718D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EB40B0-A864-4F39-B802-71F1FE4F43B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FB844C-69B9-4062-99B2-2EE51683312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0D72B1-8CB9-40D9-B3ED-D70D4F29AB4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78B568-E52C-4D02-9630-CE987943BC0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EBB68C-0118-4F3C-A3E9-A8E5336C5B7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B91B2D-55D5-4EBA-9DD1-225AD0BBB0F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034CC9-658F-44DD-A46E-82000C34AF3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449335-655D-41C2-BED4-80D883BE674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55BADD-FBD5-4B76-8903-A4AD5C9DE38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2C0BD0-622D-414D-9428-A86DFEB2C36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41668B-959F-4FAA-8B0B-A7D6189BC11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D23785-B3C1-4F71-AEA6-06E4D9C114C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6E2EA9-16E4-4DDA-8185-4F55B244521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A83EBD-2678-4AFF-BC3A-680A478E5AE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7CEEFC-3561-442A-AFFD-4F7C0DCAB7A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21FA53-BE6C-4409-B732-F0700E19186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085AA8-0E7E-46A8-9737-74D1D4DE48E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BC154D-7ED8-4DE9-B4DF-497EC0183FE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43F18E-DCE7-491C-8950-52C64CE3CDE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13D529-6CB0-4F8B-BE2F-2593612F606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0E4377-2593-4A27-B36A-B216E559413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F420BA-5C83-4B95-8411-A19AC3A6D31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C535BF-0447-4168-91FB-4087276B50B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2467D8-1A00-4894-9570-55C46B741D4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75BBCC-085A-4590-A424-7F3447B379D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CA1CE2-614A-44B4-B698-E16D9703D38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ECCD24-734D-4E9F-B450-166D45C62AE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4B626C-E99A-41BB-AF29-28D96DD3BBF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2F46E2-5524-44E8-A504-F372B6C1EB7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AE72FE-576B-4584-8349-9E4F2ACBF9A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DD698A-C688-48D8-AE57-57964717D45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2D6427-1E9C-4113-AECB-4F15AB13843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FDFBB4-0AAF-4DC2-907C-72F3A54BA8C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B91F2D-3870-4A88-AC45-A21C6C98982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106131-4AA7-439A-B0EA-5B097173CE1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A0610A-99A1-4B79-95AD-A411108A2A2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099EDA-277E-423A-A07E-F7CD9AF7D4C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95B150-AB87-4C51-8122-7338390B818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517E42-FF5E-48BE-8D6D-7BAA6B7E231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3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C9A30C-176B-49D9-91F4-8C31DF07C0B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EAA2F4-3D7C-4098-9483-0330E6596C7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0D01BE-E7F2-44C1-94D2-B87F354A7BC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20524C-A3EE-4F30-BFDA-9A94B119E6B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75549D-0872-4FDB-AEAE-9DAC4E897C7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C8CA71-B654-4C1B-8B51-393323A4C89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375C59-81D1-42A9-8905-A3D3EF38124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1AFFB4-BC15-4749-A9B5-C6FC2612A9A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874D34-6033-4EB7-8075-40F5CF012EF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9D9399-7A33-490C-B0DA-B10118E22B7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667F13-BE3C-475D-AD0D-9CC68267DDA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1157F4-2C28-473C-9842-F8211ABE414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DC0818-B841-4736-9FDB-AD77F0779D9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72EE6D-BFB8-4A84-A3FF-E3213F9133D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3D5BF3-9C3A-4DCF-B24D-4F33084D74E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69993F-17EB-4341-AA0D-517DB51F5FC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CD4698-D40C-478B-8B58-39E700C8709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BEB613-FC3F-40B7-9120-EE41AD23F68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6F1C4F-036E-4C91-9EF6-0D299E60139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6FC691-39D7-4345-B404-CF2D72AAA63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C49ADB-801C-4AF4-BD8B-A45BDDE6A04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C0A35E-E20E-4BBE-8800-84A84B071EE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C020A7-7585-4A45-B59B-5A2DA5A2611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9B7645-E0A0-49C6-B75D-ADD2A8A0EE4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0C73BF-F503-4279-AF98-4C30A9E3A1B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FA581D-AC42-4D5E-9B9B-A8E33F859F6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0E8E90-5DB2-4A8B-820E-B00C84EB532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3403BA-2B1A-4C9E-9254-7A98F8CC25B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3F0B7A-FFEC-4EEF-AEEB-C4D8E5F9929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2CDCA3-2252-449B-BA17-94FB556B7DE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54D2B8-FD89-4A8B-9F79-C5DEBFAB61E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7B93F5-57EE-4685-B4BD-419EB78302A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069EEB-D526-47C7-B707-DB601AEE2DD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5B91BD-3D44-488A-B6E1-76C2A24DD67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26622B-E604-4FBE-84AD-BB3A8D22981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83D709-57E4-4500-AC35-C4004420CA1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0B9F22-998B-44A3-83D5-65799A3C873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47C155-E91F-4D87-A1D4-4A64C6C9ACD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532324-EDBB-4EB5-A9EC-A68F303B74F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510A4D-D3DA-4634-91D2-88A6ACA04A6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682E69-B1AB-4DEE-94F1-32270F15870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54FFEF-A6AF-496A-B4D5-552ADEB36F3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85C412-F7E8-4058-8263-8EDAA258AE4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81887C-A174-47D1-96DB-256C2329AB2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A295B4-621D-42E2-AB42-00C73E08897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1FA365-890F-45D3-9395-4083E087560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166993-B7C7-4B0C-BBE4-AEC7AC6F54D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F48FAC-DF8A-4BBA-9F7C-BF4DF550738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833BBD-4253-43A7-AEDE-6460FB3A00E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9D2E6B-8FA9-490E-82E1-D6FB744F5B9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16D669-4CC7-4612-9B1C-07E9D89DE2F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CD399D-5FE0-404F-BD19-7D5A1F95DB1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68AFE2-AE23-406E-B8FA-7D2C7C72836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60BEC7-E81D-4933-9EB9-4FA1AA73B75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3B54B9-9A8A-45B9-8B45-0ADF7B29208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5E57E2-A9ED-4436-A31A-058C8D5C5B7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5DC580-8500-4CE3-863C-60729FC0542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65C5AF-14DE-43C3-9D29-9BEE0161BAF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3EAD9C-6AA6-4CA3-905C-F15134FD344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E66EB0-502E-4343-93D7-3CF4E3BF83A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1C6DAB-489F-4F24-9749-14393085970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A171B4-00EA-4BAC-8C91-BB879EB987A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2A65BE-FCDF-49B5-BD33-7485D517B71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C6273C-B61E-45FD-9175-09211EA167B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F83B3B-6B8A-463E-91BC-95A560FB662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421007-08AE-42C2-B919-AA37B765CF5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9521B0-EBB1-40A6-9936-8A84B42FE99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DB5CF5-C080-4BE7-A934-95E29BB5D23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2749D8-8EAE-4829-889A-A180D742C94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FB1BD5-5211-4F48-A74D-21610ACF093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FDDD4C-A991-465B-A195-00898A7E026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D029AC-6D1F-40AC-891F-236F63DDFE6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7376D2-74FB-4335-BD0D-45BE2B062D0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1037F6-9276-4635-9E01-494D3200F8C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138B39-7B0B-4214-A194-296CB5C442F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448E38-3332-432D-80FC-BF8BBA2F8C5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A083A5-8A96-48D0-86D7-0980FFC5284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166168-EC74-4602-BE3B-12D027F9960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849A66-50BB-4F55-AE8E-0D932023AFC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3C2DD0-E304-4A64-91F5-353BC39EE56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B33FC6-7F69-49BE-8F9B-8E7FAEA7F05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7E44E6-2284-48A8-B755-B13EACA1D11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779A00-3EA1-4AD5-8DC1-454C6921427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0D16D3-D4E0-4312-9F10-4F4F2AE6FEC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377650-24B8-4D92-AC63-1DBD0AB716F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E7E0B3-759F-404D-82B2-0E06E6EE294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1202A7-705B-4045-ACCF-2DA4CE066A9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7C02A1-48DA-4CB4-AF26-77E7FF8D868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321A90-5D28-43CA-AE80-729521476ED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A0B480-EBAD-4435-950E-80CA9076E72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73B6E1-0DA7-434F-884C-C9ADC0BC568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96A260-CAF7-4746-9D6B-4F794F539B5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714375" cy="304800"/>
    <xdr:sp macro="" textlink="">
      <xdr:nvSpPr>
        <xdr:cNvPr id="44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34F376-EC72-4BDE-92F6-0341B38A26D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64A8D2-5D97-4FBB-9035-39F894D72BB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E9192D-A437-4733-929A-A0BE5179D96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125C34-DFFB-4A36-9ABC-C62A44DC343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448E60-72A2-4B9B-AB73-23CB57A5704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69EF09-1017-4B3E-8184-219801C67AC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714375" cy="304800"/>
    <xdr:sp macro="" textlink="">
      <xdr:nvSpPr>
        <xdr:cNvPr id="44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A67D45-7B6E-4F75-A45C-60240B91C30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04F705-D448-445B-B7D6-C16FE61BADF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4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3D43EA-0EEC-44FC-96C9-BE1C58ADDC8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526EDB-A30A-444D-9535-FF7759FD438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A3587C-31F6-46CE-B96A-89231DD0DA4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B87BAD-2FBE-4361-9C05-6F2F8961D1E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DB4B79-65BB-416D-A35C-2157CA7CD64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37505C-1905-4B22-AD0D-D3E7D48D483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EBADA0-8C3A-4ACA-A5D2-2421620800A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C28675-9695-4DCB-A59B-EBA3138FF0B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55A44B-3B9A-4EE6-A700-44EECC301EE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714375" cy="304800"/>
    <xdr:sp macro="" textlink="">
      <xdr:nvSpPr>
        <xdr:cNvPr id="45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09013F-35B3-4E8D-8809-5F53F427DFC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2C016C-9252-4CDC-A970-5574D84656A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FDE91F-1D80-485F-A169-8C479459787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81F808-D673-48F0-A724-4ED84651B86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6EFFD0-14D3-4920-8B6F-D9B0E28541F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999799-244E-4607-B146-7E8285D321D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049B8C-7D48-4908-8B7E-5918BD82CFC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909D44-10F5-45B8-8BE6-8B776783323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EDA7A9-199D-473A-BBCF-24159FDDEDF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D50ED8-C827-4531-BE15-F96F3A95687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0EE1A0-5F78-450F-A0E3-9979529F7B0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63A026-650C-4062-8864-8E5D13A80F5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6C26BD-51AE-4374-B43F-08107C178FD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5459AE-AB64-4F87-904C-684B9D446FA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340DE6-5394-4C0C-AD87-3FD21A3AE08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DA4A0E-A86C-4C12-B7D7-340143B2836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54918E-20CF-44DA-9BD2-90C4EFF0668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AD5E59-DBED-43D9-8824-C469D78E46A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EBD3E8-8166-4A07-9627-AACA8FD61B0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714375" cy="304800"/>
    <xdr:sp macro="" textlink="">
      <xdr:nvSpPr>
        <xdr:cNvPr id="45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D26C99-73DA-4A6E-85E9-09383220409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CC69BB-CEC0-4D87-9B03-D0534CFB060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D4F15F-C6EA-4942-B037-C867B40365C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AB9F20-B31D-4062-A3B8-EDC90D1E06A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4FC75B-15B4-494A-A598-0662567FF43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8D308D-D100-408A-83A7-21DA7029338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714375" cy="304800"/>
    <xdr:sp macro="" textlink="">
      <xdr:nvSpPr>
        <xdr:cNvPr id="45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61C404-D076-48DB-B687-5E40BF0F952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D1EE86-7F41-410D-B45D-5BDACA5AC17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781464-F31B-4F7F-8F5B-957DA4A3214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81753E-DC84-400A-AD9D-8716DEDFD0F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8F53C1-9759-4412-9E81-85033331BB6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75B429-88E3-4DBB-B25C-6F2DD714981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75F7A2-D0CB-4CDC-9C13-B48BC4628AF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CF7A75-832A-40FA-AB92-41B46EBB18A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B6E61A-7FA9-44A2-B3ED-DA353E6F71F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F91293-0AA8-4168-9204-5994E6C5724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44266A-FB23-4EE6-BFB1-61325237309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714375" cy="304800"/>
    <xdr:sp macro="" textlink="">
      <xdr:nvSpPr>
        <xdr:cNvPr id="45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9BA4B2-2EA2-4ECE-A44E-DDC35BC1E5B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05BA4D-6043-4021-88DD-ABBC00B0CC3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84B805-401E-4FC1-81F3-C5975B7A42D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17B436-958B-4E8E-A5A2-ABDEB5A3DE6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7800FB-60C5-495E-A2B3-9D44212E301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0749FC-27D4-48C1-8D17-7B0A99BB7AC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6E109A-0BF2-4099-997D-6E2A8A65FD6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39DDB6-5F23-4B81-A25C-A7896196F73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4A7522-DF01-4637-B9B8-8AFBC28DDFF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E80972-855C-4F21-B80C-EC61562F6B3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DFE76A-8BF6-4D5D-8138-F6BD3131895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1C46A6-EAED-483B-8895-7A0C76584DC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BEE4C2-82C2-4A74-8E5D-0271EB767B4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FD4708-E1D2-48B1-B599-F2241AB604D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28FF9F-580E-491F-AD41-C3111C501F4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FD79EB-7A67-46B2-BB4F-EDA9EA3CFB9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505742-D1C0-49A8-817A-A3913BF5E25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7EBD1D-2FD3-4652-B697-B9193E6A51E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A94D31-924C-4B2A-B56E-5C50061B58E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B64DAD-E16D-450A-A22D-EA35B2F0B81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4C47CB-636D-446E-B851-04F0AD78370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A7ABD0-23E1-46B7-966C-61DA2493D04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514C54-EF5C-423D-A0C6-088C4A294ED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CD0CBA-9F5D-4BAA-A608-BAD0B88BFA5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4AD96D-8731-4CDD-8F3B-E891B7912A9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60D863-B724-4BF0-8250-B2CC06B27F5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6145A6-151F-48AE-B1F6-179246BE162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E9F8DE-CD1B-4515-A835-A8B30173CA6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8F0138-2E65-429C-BF95-32AA096EE5D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D666EE-6A63-4ECA-B87F-E67F108D904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8ADB09-1B84-461E-A987-2914D001624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E203D5-6772-4FCE-8572-CFE1F0142A5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97ACE6-8953-4E97-B95E-755F12C0F64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3CDB67-1C1D-404F-BB10-504EEC1DC20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AB5E09-C8A3-458F-A30E-0C249FDE1D5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D906D0-E569-4144-8DA5-814E0945D3D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0168C1-7120-40FE-ADC9-7589F7163D2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06CE14-C4E9-481E-B6B6-35980513717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3E2584-E657-4BC6-B3E2-849D354C702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BEE1A5-2B3D-41BB-8426-9DCB896F7F3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62FE82-2D96-49CE-8546-53B70606373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C28493-B09A-48C2-B48C-00A913E69D4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B4E466-9109-46F6-9B48-C037E4BE7C2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3D8E09-EA2B-45A1-9B01-8482D93ED70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B576D5-BB36-4D0E-8B23-80D033711E8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26751B-C997-4DB8-A3A3-66D2F5BF489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477BE8-2F34-4386-81E0-FD8EAFB547A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F3F837-C41E-4A6C-96C4-023AB0A5130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523B88-0050-49EE-B17C-3C0D7385EA1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C7A65A-D186-4E99-ADA0-2240AB51928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C77301-8BFE-4ABD-9865-495F07D3FD1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01CB7B-AC1E-41C3-A5D3-62DFDD32E17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07E181-2708-47EB-A12D-A29DA56D861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B3F365-8A55-426F-A351-0233A5246CA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6EA5B2-F31C-479F-B8F7-E7926AC0013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5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9BA7BD-B2E5-4118-A8F2-25F5DB37257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6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0A25C1-BBDB-46A8-A250-6A00688261E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6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3AC2DA-40C2-4C6C-B2F6-67A7A55DE6D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6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6862E9-8894-4E65-8E6F-9004DCC6CDD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6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045DFA-B627-4DDE-B61C-A27BD3D74A9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6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38279E-FAD1-4BA2-9C03-B06088FEC3A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6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CB2531-402E-42FC-B271-59C931F821E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6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E8E49D-ED46-42AB-B8A0-B148D4522E4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6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B54A6B-5F43-456F-9581-8D59022A43B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6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BE2696-F525-4301-B5EA-E0237459CEB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6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946105-469E-40A2-8609-045DEC1DAE9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6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9BD1B4-ADC0-43FA-A902-8D22A655101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6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729087-36A4-4942-B091-30856E3EBC5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6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0C994F-1B09-4E1F-BF20-567B69ACD51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6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15EF0B-FFD7-4874-A5CA-281D552D709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6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700BBA-5F6B-4639-81C1-4D86A7D8139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6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EDA80C-7CF2-4026-9426-171C08A8580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6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24040A-A1A6-4930-A9F9-9A16B021BF2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6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FDF738-4F9F-471E-87D6-1A999AFD011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6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9CE499-5070-493E-9998-F47E10B23DB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6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55FA87-7A26-4368-8359-832F00D6C04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6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9687C5-6D7B-4349-97ED-B4701B80018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6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127595-8614-4899-89AC-6B70EF6B848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6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2F9710-BA4B-4328-92A6-B679677B10F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6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8BA831-E26D-44E9-8A49-93F43EC3B97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6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59E1FB-15EF-4CF4-B21A-00E573ADB88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6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11E9A6-42A4-499C-A3C9-AFEE2E155FD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6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34BF7E-F978-4133-AC3F-D007358963D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6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B7EDBF-5FB6-423B-8A59-9EE41C0A73B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6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101527-7653-4F23-A6B3-515550ECCA3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6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9CB8F9-E080-4011-934A-8FEB90C021F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6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0702C1-1FD4-4894-9A4C-87296446FB9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6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2F783E-FE2B-4904-867D-D87A23C03F6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6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62CA5F-ECAA-4600-BC08-8CE5069104C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6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CDDB45-444E-422F-B7B0-25C7FA0E6C6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6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62DDE4-63A7-46A3-BD98-1EFBB7F8C0B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6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7BE997-0C46-4DA7-A4C6-90C25167E5A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6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02D7E2-AAA5-4444-90DB-25203B6F4F0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</xdr:row>
      <xdr:rowOff>0</xdr:rowOff>
    </xdr:from>
    <xdr:ext cx="304800" cy="304800"/>
    <xdr:sp macro="" textlink="">
      <xdr:nvSpPr>
        <xdr:cNvPr id="46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1C42D7-EA89-483B-8FE3-BD06D46985A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3ABD50-FFDA-4643-B2D0-4B5D01DE276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002471-A6EF-47C0-B95C-1DEB0356F0D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AAAD2D-8E69-444D-9700-EF50C03BE42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1B388E-26A2-4661-9E3E-31A841C2453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88C71D-8E3C-4E05-95B5-9C5E545FC28C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6B21AD-EBED-49F3-8029-4D1499E677F6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0D8E9A-B487-414F-BCED-844A46A52D8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162024-FCB8-4358-8E97-C560A3CA392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9B91D3-B74B-42EE-963E-25C756AC31A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EC43DC-4AD7-47E8-A8FF-1C6810E268D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AB01F4-32A6-4104-8EED-F2D121B8541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663828-1C5D-4611-807B-05759FBE817A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017D3A-FC07-4479-8FD4-C127DBB312F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C5A282-76C3-4A95-905F-F5DE721943F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71FEC9-6E5A-44CC-928F-E30D9381835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27A976-7734-48DF-AC06-92EE09B0927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918E96-A00E-4201-96E4-DE8DFB7CAB3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5661A9-C18F-4F64-97E0-BD3A0D819DA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6BAB68-31D3-4B38-80CB-7557F0D627B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864418-ACB4-42D2-A13B-DDA38745B25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FFCF39-7B78-422B-A04E-EC0862817AF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501C32-DD0D-4322-B7E2-F05F69F717F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E2DD10-B8A0-4283-9C6A-DF441BD89A0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33D8CB-2005-42AA-A464-983F6419F15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14248A-2986-4732-A417-D65D9D03C6C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B12350-017B-437B-9DD1-B3C8A5A4221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B32D63-1370-4EB6-AD67-24593407C84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9231BB-5571-435A-A440-40CDB8AE51C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F5DDCE-CF06-4A8D-BC3B-5D6A311382A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5CC371-12B2-4020-B78E-7789C9DC65C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D82F76-DC7E-43BB-A291-0641762ACD9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F9024F-CC81-491E-8A33-13DD7F1C002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46490F-D62E-41CC-9A6E-DE36B473A78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883C62-225C-48D2-A067-10AA454FA05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E5FCE6-F1EA-4DAF-BAFD-6DD1B5542CF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2EC353-49E4-4C7C-B937-96B06A8D39B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8FA9D4-99DE-4A28-AA7D-04567402012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ED44A4-ECD8-4C81-AC5D-4E399DEF2BA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3F2A06-1D14-4C22-976D-4F1C330EFCB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1521B6-793E-40A6-9250-8D4F893E175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CF9658-5C15-4349-9799-D64AC8BFF79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F343F3-C5C9-4208-9C51-C4BFEFF3F80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9F9874-1E9B-4B2B-8D35-2139BD6979D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28E1ED-8A7D-4979-910E-A32201543FB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E8443E-24B6-406F-80F5-D70246B954EA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17146E-8B0C-45FC-98DE-DBC536CBCD8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311A1A-8B41-47D1-9EF4-8C0A0C11923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EB068A-5249-42AD-95FA-96778468BC0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4270CA-FBA6-4AFB-A272-3E107108F4B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1CDE00-DE2F-493D-8101-FD4DFFEDC32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7EB796-8531-4AF2-8D0E-FEED60C225C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5014E4-ABF7-4604-AFAD-CEFCA9ED6C2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4CB586-BE86-4091-93BE-5079EB6D223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15344E-660F-4C76-9C89-6FED6DC5A67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729661-6258-4939-8847-BF6FCBDD129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E66F51-24D3-44A6-B065-1D18EFEF9746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CE55D0-7920-4A2D-9995-B966AE06C42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CC755D-027D-43A3-BDA5-6E4C63AA1B4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DECDB1-5285-422F-A00B-78BB0481AF5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EE2FCD-CA81-4AF5-B09E-3327D8D3339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A73807-AFE0-4094-894A-4863819867F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6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552EE6-625C-4DA9-B18D-DA068BD1659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BD4910-AB39-416E-A556-B2C8E482A726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BAD1EB-9059-4C60-A180-7B2271F0B1B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C918E7-B26D-46F4-A429-0ADAD64CEFE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03C647-E7B5-483D-80D3-26353F39683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3ECFB8-DD9D-4900-9AB4-D757056C65C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355BA0-CE28-43A6-9785-61BFC572637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249B3D-1C10-4B5D-BD90-2760F17DD55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A3D69F-1561-4EF8-89B0-C0E1852BA88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489CC4-4FDD-424B-9890-BBDFDCAA6E9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F3FEBF-80F8-4AEE-9621-37C09886EFD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C93438-A384-4B15-ABCF-8F703D3B8C7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8AA183-D3DF-4CD5-A688-7BBC25DDE70A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4D3692-D3CD-4DE3-91C2-0FB5AEDA499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64A0F1-3C8E-40C8-9AAB-C97C420C331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009BF7-4D38-4B8C-8E2B-B5180490C9D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2DC2DC-6AAC-4E85-B0E9-4F56604797D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7C8B8E-36FC-435A-BF18-6DD756C2176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C994D3-5B7C-4383-98C2-0A8D3A6A6BA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014C84-0ADB-40EA-8E33-55FC82599B6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7FCD9D-2E96-454F-8E02-628DC5A1AE7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001DCB-AE74-4D98-AB1C-271CCA2919D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8BA157-FF95-4D1B-8C58-6F395B9AA83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7A7B37-EF21-41F3-BAAC-4AB7A44B0A5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2908AA-0835-4D6F-94E0-EE895A8DFC6C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280937-2AE4-4765-AAD4-124F9F35B3B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CD9716-3308-4897-91D0-0C2B8A49801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DE93F6-1F80-4F47-A597-262BE6C8252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04AB4C-D211-4AA2-BC41-7844A6DF607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36DE89-513A-40DA-86A3-0C449F798B5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6466F0-7B49-4015-A8E7-E368AC6FE7C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F2A1C0-867A-447F-9B8F-01D546F609F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6BFA22-8231-4AD5-A69B-E6C6FB4E31F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BA37CB-29C6-45FC-A2C6-4777DDAE1E0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49F4CA-41F3-47FE-A67D-73DF4E15B20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C9039C-1FE1-433E-8E23-6F02B7154A0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6C9EC8-E65B-4610-BF21-45DAB77169A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9FDA31-2268-43E4-AE60-E4D024ED0DE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025C5C-FFE4-441F-A0A9-0033B161B3A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25094A-8F51-4D93-BC4F-7F62EC82A76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F759B9-D7BD-46D7-9A76-398587188F5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D421BE-0316-45BB-AA8B-3EDBD1C37C2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6B0AD0-330D-4916-A6AC-80E6E240BE5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3F8530-D28D-400F-A598-3286A23DB6E6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0A0B93-E013-424A-A172-E267BD84A93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739E81-8FE1-4129-8748-AC462B9950F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81F20F-D2CB-411C-9227-A53C50A49DF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A0B7EC-8353-4489-AE0F-11399058315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073F41-7F2A-4C97-94F3-98AB51A639E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448FAC-AFD2-4874-99D3-7E6C0566ABD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233B80-0686-4E99-9E40-63A556BA45FC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FE2E8D-E900-4716-9446-F3F1F2CB8EB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E4A8EE-14B0-49FF-B0A7-69B63AC4AF6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845F6D-DE5F-463A-A7AC-CF4CA53366E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F6CDC3-B547-495B-8C7C-67BEF544F77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31FD74-9448-4767-BBA7-AF6F3BAEFAB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8A3D61-1FC5-4CBF-A973-9C72BE226F3C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392373-61B9-4A8A-9F09-5186EFA9D46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9311B1-22FB-4DD8-970D-06A9FFDB541C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2B51BE-5ED9-4AB0-96A2-F67E2E08D27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56AA6F-6553-4318-9186-97F1A0ABE186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C7F08D-EFA4-45D3-B6D4-2CFEF84A6A1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88ECEA-A7A4-4C17-801F-8C0C46AA1F9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955901-3D81-47FC-8AEC-6C2C4E3407A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FE1433-E038-41CC-86EB-829ED8AC06A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F47A6A-5FD9-4229-BAF0-C2A6D755F15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DD5774-5CBC-449C-A4F8-D56AA0B16EC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8FF519-73C6-4E3E-9CF6-B2C33070F3B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7F36D1-5EB8-48DE-8479-0FC1C6A5FFC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89E57F-D32A-4E39-8371-D016520ED59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E3E9E6-442C-4117-9E27-2EC208EE200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89A5A7-461D-40A3-8883-BDB2B8ACD5E6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4E888F-53E9-462C-916F-7FC94AE4091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79525B-70C1-4436-8C91-EAAF1E54820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6CF07A-5FC5-4262-94DF-7E47DBCE8E7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7833FC-DEA3-454C-BF93-9D4B199ABDA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60667F-22ED-4129-92A6-4C2EEB8C821A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7BBB54-1EA0-496F-BA0D-30E8D20A3BA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4E2EB8-6D56-4B4F-9F70-3EA1FDF5E5E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5CA2CB-385A-4C64-9F54-EF3A0777ED9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A20F6A-8C02-423B-9D3B-50C32705FCD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95A6E3-3796-4BF2-96AB-FA4907FDDA3C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D905B7-CD36-44D7-B473-E3D5AAE4054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7C1484-3CE1-4BB1-8808-6514DBCC922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79E24B-EFB1-4A2C-A359-051F7B2933C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25F41F-CD4C-4413-B320-7FAF507CCA1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48C661-01EB-4D1A-9119-70804929D10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4800"/>
    <xdr:sp macro="" textlink="">
      <xdr:nvSpPr>
        <xdr:cNvPr id="47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5A4D50-B038-4E49-AAAF-3F7CC7C8D0E6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7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FC1CF5-A162-4C44-B6E2-A6DF4EA9074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7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B1A21E-A3F7-4098-AD6D-69C0EB74A455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7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9D8954-CCED-424E-9FC8-CF755160A9D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7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5E5CF7-7B4A-4D0C-BF41-BEA1BAF5B67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7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F09DD2-1823-4A3D-B390-5322DC1794EA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7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F230B8-EE5C-4BFC-B781-62066193E38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7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4C2C20-EFD5-419B-8862-12F035B7D00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7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DDB92F-4F9D-4CC7-816B-6F46B9C7B3C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7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E5E409-9D90-42D8-B56F-9C0B8B3DC45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7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67EB1C-8E0B-4348-AAE4-669FAF7CAB9A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7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AE7508-28A1-4AB2-A185-DF79367DE6F5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7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12B5E5-5E99-422C-A9DE-06D516E31A7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7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430782-768C-43B7-9E01-20B6D4513EB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0F7D97-50A2-4A30-B094-F6E0D6DE668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F792F1-B3C4-4065-9B2D-CE2C3DA3DC2A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04AC4B-DA90-41BD-949E-D582926B0C3A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4BD4B2-AD1C-4446-AE1E-922E8454985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3F9E75-B67A-4326-BC05-3BF8CEA4B65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97C444-0A71-49CD-8A21-D2E48F705A8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64D3E8-E801-4C4D-833C-0AC88F3C2BE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8D3551-7B17-4359-BB7E-72B860238E2A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32FAB3-71CE-4BD9-843F-4004BA33610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935660-57DB-48F4-BD6C-11D4E9032A2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A85A80-C40B-4658-9293-462418893E6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3B2629-DDE9-4B28-AFDE-44F48FE687A8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C60F3E-B823-4A00-9E54-4FAED37F554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F32654-42CD-42AB-85D9-E4AE9491198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15DA36-DC7B-4C22-B390-E7515A655C7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3E6C54-E717-43F3-BFA1-4B066A36E80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87C2F5-9354-4584-A882-861061D2471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F2541A-3991-47D8-A2B7-86E298013F9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0EFCAE-B70A-4431-88AC-C6C5DE530305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A26784-58E6-4946-8EE5-677E71FAE77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C37F97-073C-43F3-B0E3-46841426BB1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120514-5D4B-4CCF-B530-4FE8FFFB323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D320CE-B55F-4165-ACF6-00B6A9D570E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09512D-77E1-40BD-9E9F-E71E77BAB6A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9F90EF-0311-4F8F-8638-5C61DDC846B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C88DFF-6237-49AF-9C8D-45AC0582FE3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F07FC2-20CE-48FC-9E49-6F5E637C00E8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5CCA1C-420D-4376-978A-D372FEC2406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A23349-A7D3-4B3B-89C7-D17A7C610AF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299B38-4EEC-43C5-AFA2-34A1DF489CB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4EF95D-6C19-42B6-8EC1-B88A8467784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24469F-B0E7-451B-88EA-2B34402E718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BE5692-BE2D-4ED9-B6CE-0E6AF25D329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59CC77-761C-458E-B553-010198B0FC8A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81AEE5-7A2E-4D74-ABB5-19F01BAAF54A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91539D-19EC-4343-BF80-C0B34D19690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3F8F3B-9736-4655-A21D-AE8F956DDFC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28AD64-2796-4154-B893-844C2B284AB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14AC3F-9DCC-462F-9936-846A3B123328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AC85EB-6F74-4F23-83D7-0AB9CDD6CB6A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39186C-4A4A-41AF-A9DD-AB780C8C2E4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250859-F459-4D23-AFCE-A2F8240945B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4514D5-BC72-4E13-A6B0-48D519B82CD8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59C9B0-A099-42D7-AFA4-326B8618887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473A5E-F5CD-4943-8359-97E5C31FE95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7BB520-126F-4D3C-A6CD-671AD3BA2DE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CBE44B-7476-4A2F-88E5-B8138C62749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C2D971-4439-4C81-B304-48D8CDBE72D5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517950-4BA7-4E27-B435-D06A287086D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A8747D-BC55-4848-B0C5-70E8B10BCAC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C185BB-D89C-46C0-96A6-EC1175D6413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5ABFB7-5B87-4C9F-A7D3-D5A1529113F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15900A-4D4A-4395-A170-28C6BB4D75C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634948-B4AD-49AA-B5F8-6A27A28C317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0EAB2A-0BEC-44E0-B730-1150A668CE3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7D9726-5678-48C3-982F-0AF1D020B73A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9D62BF-FD3D-42C0-BE82-48288D477FF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585C39-A14D-41D4-ABD4-F40A9803D40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1F0046-9B7A-488E-8BD6-E77A7301016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621FDF-FF9D-4DDA-B5D8-47190F2DB4F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F54386-ED2D-4661-9E1A-F938214D426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4C13CF-CB6D-42C0-95C3-0A49672675F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78693D-07D8-4E9C-BA20-83C5DBD739D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8B58F5-E377-421A-85FC-F251D161A10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70FD6A-75DB-4BA7-AE5A-A6E210434F2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A9EC2C-AD49-496E-9808-F553A0307DB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813DA0-AEC8-4E8A-A8AD-A856A5A943B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29A61C-0791-40D3-869C-7D6083B7D16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51E937-FE94-4798-8F0C-660D1B9F1E4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1C9DA6-952A-49A5-9EF0-737F767E353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8FB0C8-1CBE-476D-9DCB-264F4E9EBCA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16FC8F-163B-4516-8384-626E882082D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C729A4-B1DC-4651-B4A0-6EE78445379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27B361-C74E-4002-9F1F-2050C9EE82A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BE4256-D71D-486F-A9D1-A030E8E6AAC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72A81E-0ECE-4CE3-8488-E62ADF37C48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5451C5-5C60-4A32-8975-3AF202C3978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EE008C-02E7-4A44-9EAC-9588057A8CB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EC72A7-0D95-4754-BE29-5FB6006A2635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EBE126-3AB8-4A97-B87F-A78016A9CDA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6084CA-CF39-46F4-8506-DA930C5ED32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EB7C80-D55A-4F4B-A2D5-6B79D5D5203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0E3FE3-910C-4FB1-8948-00FDE416B83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C76BE2-D851-490B-8C25-B97F8966D91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062965-9A52-4E04-B0F1-151F4D6927C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BA7507-FD6A-4377-A275-2C84D199831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EB90D1-A12C-4B36-9C21-52DBEDB6064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64E165-3D7D-4DD2-BDED-5356E3D0115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C06288-4D51-416D-A06E-188E0BA3838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787004-F9E7-4243-9227-0DAC92F9948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21EAAB-0BE4-4A3E-9E78-A1A53F091EC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50337C-2A8B-449B-B0FD-1795E6117FA8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1D5688-A56D-4F6B-A76A-8DA39F78FA4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C49039-5DA6-4F5C-AFE1-3BA290AE974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1D30C5-C5BA-4FD5-BF17-2016DD5E7CDA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59A4F6-8DE3-4F82-96B4-436A44961A3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26B4DE-9EAF-4CB3-A883-4D3808E3A09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A92EF8-ED7D-406C-AE51-45AD20EEBCD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341921-B5DE-46C9-86F5-1BB4561786F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8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B3B532-735C-4415-A624-EC2999C46FE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9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3AA934-5FB2-493C-9BF9-4A4F01F3A8C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9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9C04A1-6F5F-469A-AB3C-445BBEC51858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9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599C1F-0B47-4212-8935-CF8138F22C4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9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3E6350-EAEA-464A-8FEC-B3A67A62E92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9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37EEB4-DA05-4E1E-B0DD-1B1AEFC4E61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9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27015A-AFD3-4E0E-9FEC-1AFB37DADA7A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9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81B03A-14CC-4293-990C-706B560867D5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9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89FCC6-902C-4B8D-AC75-FC3E529EF2D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9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D9D098-1800-43F0-A6B9-B37648D8832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9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664A12-E216-46DF-BE18-A3EC0F13ED6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9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75063A-503F-4958-BD90-EBFDCBBADCF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9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3B4249-0F19-45E2-B56C-304DE34A026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9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7E3335-846F-4CE8-879E-C8BDBDF295E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9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722012-72D2-4A57-9910-7074AA6AABFA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9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0B8177-2F75-4446-9A20-B87AA0C1706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9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EC1474-2388-488F-A963-3BFA91148AD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9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48AD5B-25D5-4127-81A9-38096613D61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9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CD1408-18DE-4223-B5C4-C26981B7D8B5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9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67D80A-D47C-4355-A769-CB0C9C32E8B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9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29C513-8812-4CFF-8162-1F25B95E9BEA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9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F14806-7A2B-4DC3-8041-0E743906A03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9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84B269-1FF4-4155-B5AC-D12F6FDEF69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9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8C013F-F67F-41C2-94D9-6338DEA86A2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9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606017-08F8-44BE-A209-65F52DD8B77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9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052847-81C2-4C57-BD81-0808E87A43A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9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E32F79-B504-41BA-98D1-16E627261D3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9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7C4B17-96CB-4646-884F-E09F79C2E34A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9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3ECC8B-4BBA-468C-9AE2-65523225756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9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10DD59-6033-4B27-8494-EC368B1A190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9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4CC5CD-B756-45C5-9488-6998435F74DA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9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5421EE-329F-41E2-8AE7-4319F82C965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9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9ED3E2-30AE-45B9-AC3F-27FA73E23DD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9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279806-306B-44A8-A0FE-A0517939E01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9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EF822D-D9BA-4B84-9CC3-12D869BAFEB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9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EEE19C-F2DD-4061-B7C5-B1BAE93B187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304800" cy="304800"/>
    <xdr:sp macro="" textlink="">
      <xdr:nvSpPr>
        <xdr:cNvPr id="49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6BEB01-023D-47F7-B6E7-3B78578671A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F7B2DF-67AD-4996-AA5D-86E038379BC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B3E2DE-FC69-4667-A25C-8CE73EDB5C7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8AE5E3-73C3-4FD1-AFAB-011F3813CAC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AFDB0E-FFA8-4F1C-AF32-3B601B7F0C1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92BB47-1327-4C72-B9AC-FAD3BCD1BC5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FA13B1-FD2D-4DE2-8157-A9FE0CAC841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DF4686-A883-4230-AA7F-EABD89BE11F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28BDBC-1DD2-49E0-943F-3387E31219C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45FD6C-52B7-4B8D-894A-A83C62DF27C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A3B574-CBEB-433D-9B47-1ADEAF4DCB9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394120-8BB4-473E-9053-89130B099B1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715C1C-6A70-42D8-B2C6-9F78A6E6AE5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BF4344-B2A8-470E-81D1-89EAE0FC3EF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050CC8-6421-4777-9DCE-6048D92F67F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A3B9C1-819D-4057-BC26-00C7ADBF31F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28716F-43F7-43A3-A18E-A5EDD56EA0B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578744-7537-4677-971C-CCB85F629CE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A4E752-AA54-49D3-9779-B512689767F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30C3F0-4E11-4D89-8255-E4D2D2EBD12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667A35-9A50-4B2C-9171-712E7A885D7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EA5CD3-5B61-4B56-BD6A-E42F0D4A937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1E016F-3361-416A-9294-C8DF46E9DC0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F43659-9840-46B9-B9CF-03C7206FF2F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094170-778D-408E-A9F5-94931CDE719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0F4AF5-8895-4D89-9791-1799A79A76B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2D98F1-FF33-45CB-873D-E13C2B79473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6970B8-90DF-42C9-B9DF-C9A50518A93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A5AB92-029D-4B74-9467-FA71DD0807E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740E9D-0676-4AC3-B0D4-D63035DC577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07F38E-5EE7-4FC6-985E-35237FAFBFD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F0E1A5-5003-4516-8D66-F345F9D2051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2B5165-FE78-4F0E-8A79-2452B8F42DE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D1A6FF-4323-42FA-8400-FF80716E602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ADB070-BD0C-43E5-BDBD-10A11877674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26BF8D-EC02-4B6B-B2C3-FFCFE1024FB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75D6F2-5E4E-4F8E-87FB-3BEE80D9EC1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625C3E-789E-4410-80B4-FA65557054A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0A33E9-7DAA-49BE-B15A-1EE7CE62136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8A75B4-CF3E-49B6-9846-BBA25188A82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DECFF6-5079-4EC0-9BDC-734765497BD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D4CFB1-E9BA-4C41-BC04-E1E5E93AB7A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623D7C-79CA-47CE-B0DB-A93090A7A64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FA748F-90FB-437B-9428-1B141AEF008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70F9EF-C808-4F8B-AE02-0970D88EF9B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513A17-9A35-44CB-8B0F-CE5A8AE9D2D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9A5202-EC48-4D34-A8AD-628FB3F5E2E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FB1F92-50FF-4BE2-8E07-41506FD8253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A215FD-E1B7-4A1A-A3A5-A804DE163D0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5C96AB-4EDC-4D75-8041-BD3D68686A0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4B19FD-8211-4C6F-BF0B-213BDE68942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3D6960-D11D-473B-88A2-85B09C81203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D852FD-4884-4827-A3AF-E72B98D9205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54C3D3-9708-4D52-904B-18CCFECD76A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0A16A6-0EB2-4052-B56E-C4235808D52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51B5B3-0CB8-4805-A2F1-610602700C4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5AC62D-09A8-40B6-BF90-87B83290ED8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703212-D0FC-4702-87DA-8E615480EFE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6A3F4D-DDFC-4455-8B41-50DC9431147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7C9E92-4E8A-4020-9ECC-9ABD68D571F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D7FA0D-50E7-4AD0-87EF-3A832C1CE0D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389D23-7B84-4873-81F5-F4072627FE0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F3F2EA-96EC-4194-9517-A387EF56AA4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D0C768-479B-417C-AA4D-682F8E9A655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49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FD5DE8-0C47-44AB-84EA-7991E4DCE67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E9FC8D-E87A-4760-9DC7-415ACA6C59A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AAA1B9-7B94-4D08-AF1E-3FC831F3897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69DE8E-1BEA-48C2-A301-7D0B4BC97CD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74ADCF-9BCD-4D40-80D2-CBA8794752B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8969B6-EE0F-4EA9-8463-991FE72C9F5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5A4FE1-E03F-4AE6-A0A8-00A1310D5B8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A2C984-4D3E-4507-847F-997859998B9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8D0767-7E0F-4582-89E6-9060A7F5881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669813-B388-402D-B306-8307D1027A5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469CE0-B5D8-474A-AD2A-D318C968AC3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169463-9F09-485C-902B-CE71553CA9F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74B4E7-6D9F-4682-903D-66AE89454DB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A9199C-6F3D-45E9-9FC7-2FC181743CE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154160-47A3-408A-AD41-C4B6DE19259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7C84C8-3C8A-441C-80EB-B762C724D4A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4320F4-DA1C-43E5-B1EF-0D57D300296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A7EF09-7EB2-4710-B033-FB3143B97F6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D42139-8B31-40D8-8057-028819A846A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484599-D109-4E8D-B595-21668B56CF6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33530D-C769-4251-A11B-B0A3532D122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0EDA4D-F2DA-400C-95DC-E0821E4A33B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8F9000-B934-4480-B412-E191221B500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35099B-7655-4A08-ACF4-90C11FB7474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A71105-630D-4321-ACED-69A4676611A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1D32B5-841A-4020-91D0-E1CD901EE64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FFE70C-5E5D-400B-A145-6F8869471D2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1E49E3-942A-421F-9954-44D8318F20F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F95E4A-1765-43C6-88CE-7CC221A11AF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864193-683B-462D-92ED-CF51F9E0C8D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7FF9D0-4ECA-44DB-87F9-0AF949D13E8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F89E85-527B-482B-8B45-161B7813217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A43F43-C47E-471B-922E-259DCAB5ABD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ADAE06-1EC9-4FCA-9F19-B1919802297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239356-5835-46F1-A07A-929BAD23A8A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456A14-475A-4D92-B431-D5E584B984A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BD6EE8-A8DF-4C23-AE1D-DCC0BFCF6C6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4A337F-CD5F-4F75-AE5F-43AB2E6E1F9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595D05-7F2C-4BCE-B626-2C313150048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8E19E0-42F5-4A6C-8296-4D611D2256D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99E2EC-32AA-4711-843F-1C48ED0DB7D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68AEF2-33F7-47A9-AAC5-51DB74E860D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D6CAF7-9AF1-42ED-A97A-2E47EA21D91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728108-B42D-4166-B5FD-033F3B85B51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EB15C8-96BB-4FAA-BB9E-E1E96D31FF7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3A761B-048D-4065-A1DF-8F768AF6412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768518-4F47-41DB-ADEE-93BC4E9E552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6769DD-9A53-4626-B37A-3185DF510FB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CE5FFB-F3FC-4D19-A6B3-2EFC93A744D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C3B11B-C278-42A2-9601-4F7D6B8D82F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7A2CCA-DA9C-477E-B409-C85F3414E80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1A2CF4-831D-4E37-B750-BA3B745CA0A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DE0401-DE0A-4FA6-A2A0-35AB05FD04C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1542C5-7B2A-458A-BEC2-AD95EA41AA0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7694A1-556A-4348-97E1-F26FA6B9E64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973BA3-AE58-4085-902A-B5E221DE41A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88D3E7-5ABA-402C-8FF5-1ADF6405DFF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08CB3A-9A09-4878-AF8F-77F54608E35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8BD5F9-612C-406B-B089-C6CB53C8B03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5FBDC9-31BF-4103-BADF-CCEDDF9C111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4AC818-408C-4D31-B58C-AA50341AA59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D0C9D4-753E-44A3-B15A-6B4ED68B27F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259D83-A69C-4CFE-B2C8-25D220570AD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F1716A-CD8A-4665-A9D6-437A47230BE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43308B-479B-43C2-81BC-3B06BB10975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88E5A5-7B72-4478-B1D6-084C8B2338F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487C8C-0AF5-45C2-8D6B-07BA64B99EA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0FDD04-FF06-4E0A-9C9C-8B771ED8A1D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05F745-EC31-4EE8-9512-EEF0612904A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7F1CBF-0B65-4874-8AAE-A171E08B66F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C3D7B1-C3E7-4100-AB73-93308A7B4C2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ED825C-14DA-4324-8BC4-5E410303FC6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9B31FF-19D9-48E3-9DCC-864FCD190AF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169486-BC25-44E0-BFB6-AB102BD8676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409027-5943-41FA-9FD7-81408ACC94D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6CEC61-9A7C-4F7D-B0D5-B6CACB170AF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E2F204-A774-4B20-AE13-EA503D196BD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874BDB-4186-4B39-BDB3-5A722756623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E34DA8-9AE7-4FA8-BE26-143D6FAC431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6886D4-D67F-42DB-9132-330A6DAA884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CBFE13-1D7B-4307-8823-D1F95A2ED71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9F6603-F2D9-4AB9-BF55-18731750D2C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DE2DB7-898E-497A-B48A-21E4FE4DE2F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D43C07-6E80-4DA9-AB0F-72EA80F0258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C9A53A-F388-4415-9049-294B13D8CCB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</xdr:row>
      <xdr:rowOff>0</xdr:rowOff>
    </xdr:from>
    <xdr:ext cx="304800" cy="304800"/>
    <xdr:sp macro="" textlink="">
      <xdr:nvSpPr>
        <xdr:cNvPr id="50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7D7ACC-7F00-49C7-882C-2614FB0C836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0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4BD658-3DAF-4679-9544-3BBC3B6D423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0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6BAE27-2D07-42B2-83E2-CDC26E4B77A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0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413279-DE1A-4436-971B-66CC87956A5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0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F8AFF0-1102-4B8C-AC99-F86F5BE0519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0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5D8E57-55D5-4813-BAAC-9CBECB04AC1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0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D7D24F-AC11-4368-8BBB-FE8323B7FEE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0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895804-EC1F-4976-9FF8-FFB9420EC85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0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A685FB-0EB9-48B4-A92B-32CE2615EA0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0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598AC5-C40F-4215-8081-BCA33B897589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0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1DF039-F8B5-453D-BA41-FB592F33DABF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0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76A00F-BBB1-4B27-BFE6-7C047224DB8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0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91ADFF-9895-43DC-9393-69BF75789A8F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0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73D504-5C95-4939-A44D-286732D73EE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0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3AC9B9-D17D-4966-A743-FAD1484AA69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0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15689D-AA96-4F95-AC3C-10B8F256D8E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FAE1E9-A380-4979-910F-BCA4F5E3B6EF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317508-30D0-47C2-8FE4-BA7D29A0B67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8A7EBE-D639-4A0F-B3A6-2C9D095FE7CF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0A1EDF-F2EE-42D6-993D-39742878DE8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0668EF-9190-4F51-BF90-A69474B3513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8999F1-6E6F-451D-8613-A9727B689D29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77C352-230A-4351-BF7E-F67A2D81055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234DBB-A368-4D73-A2CB-5E10E1E5A0B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E58272-BDA0-43D7-BFFF-0EF39B23B06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0873B4-21C5-4C34-BB2D-62D7A3A77C7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FF3444-5074-4E1C-AD12-B134344EBB3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81F8E0-A6C0-42BF-8F13-56CD4CD035B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D1FE77-6F11-407D-9A17-2B880487FB7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956B3E-1C0B-48FD-B0DF-8CA56D6CCAE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653688-83DD-4198-898A-E2C8B1521DFF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11D1D1-8E28-461B-8901-5DB6867736E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BBFF71-C5EF-4A9F-839A-59DC21B4D52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347F8A-212E-443E-BF59-FB09F7E445A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7E9FAE-1968-4F5F-88EA-3B83D6C3E22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767023-D349-4E5A-BDBB-296E4F29DEB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FC2490-56AF-43AF-90A7-C12CC8E9E67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F53B3C-7444-4A08-BDF1-8F3181250CF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1A6A38-1A21-4BE8-A502-1E147652F59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1A44EE-62F5-4DBE-AF0D-2FA2A171D2BF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9E1119-CCF9-4F16-832F-9B191400576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6359A0-59DA-4587-8D48-DF42C373EFE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051B98-7931-44FE-8EA9-6D3F49DCF1F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63B42E-A7C2-406F-B7B3-FC3936E8395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2822D4-AD5C-4281-91BB-C053CF01BE0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BAA174-AA9E-4833-92A8-44D72B2D522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1130A2-40DC-43CE-B7F1-8CAF22EBAF2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F2443B-20A7-4CBF-AD78-3B36F07442E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0E2116-2E56-45A2-889A-1F3A9AC944D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93415A-00B4-4274-84DC-91B18A2A5BA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AFEEDF-2727-410D-8BDC-5DE26CDA561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741629-BF68-4E89-804B-1C24281ECBC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12728B-5780-48ED-A802-9DA2E27A4819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D9C8E6-07BF-40B9-B45A-ED39E9A5F6C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8031B2-A9E7-4C97-BC19-4D6E4EEF7019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A91AD2-F57A-45AD-95EA-6A8A98F7AD1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149202-7417-4479-B405-CA7276DAB4D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31582D-F121-4318-B1AF-C1D27FE7038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E03C31-81FE-4712-86F3-EEB79574D1F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2B4024-1EFF-4FFB-AEDA-543B15C2D54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9398DD-DD49-4D5E-9AC5-2DEDF494102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E65C95-08E4-43A2-BE94-C8F203D633F9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75D439-40B6-4059-9EF9-F04BE4E1AEF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E4C539-E0D4-4916-B4D7-31CBBE6C826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C25DB1-0B42-4925-92D5-379B0F1F6A6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1826AB-059E-46F6-B31F-EF7467ACCAC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B65EF0-4B60-4CA3-808E-8A9EAE51F2B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9C19DD-C8ED-4B1C-A067-4E7CEFC5C94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5AEA37-8284-4033-A23C-085E4BD9C80F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744B7E-5665-41F2-BE42-A437CAA8D8C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D670D0-C235-46B1-8E13-8DB5B4D4107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485E34-E89B-4E34-A70D-0C2F8FB45399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98F506-50DA-4244-92A8-9AFD5FC4D2B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D41AF6-E073-4C36-B3EF-B0115C31142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53C3A3-AAD7-465F-BFC3-C2C5CC1B8989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11C4AB-1554-45DF-8625-6ABB8BDAA5E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DEC2B9-521D-4564-AC75-AA64350FB34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37E53F-6259-4CC7-843A-A4FAF3DA64E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2A4D8B-5E95-4EA3-A390-77DD2E29088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D488E0-E9FE-4EBB-8793-AC855573C99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3B1C8E-939D-419A-A4C9-63DC4789806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95A1D4-FCA9-4615-8983-1DA921432BE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BB78B2-931C-4F75-B85B-A6DFB9A60FCF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804E37-880A-4D88-85A6-6844A9CA3FE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B0C4A6-3C47-44E8-925C-84341237C07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05C821-75B0-4E9A-A595-654696E9C81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7F018B-50A3-4733-9C96-74295B81E41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C4F988-77A3-49B4-81C5-09CF9CB873A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4587E0-C578-4002-A9CD-2AF909B364B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BF473C-7208-4D6C-A803-3DB42F90207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53234D-028B-47E9-9BE1-963E1C49296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285DF2-D023-46FC-A71F-336AEDE9FCB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369A98-BCBB-4124-A6F4-1B88B0FBD3E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0792D0-8EDB-4D78-B09C-7B28DA5D025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0F1B56-D9E8-446C-8527-6985DEEAF2E9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4A693A-1F78-40F7-B48C-F6FD7273D83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BDF39C-5660-4159-BBE1-3CBCB83DF29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A7F8E8-44F2-43C6-BB88-ABDD45BD0A3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8E7FD3-C59C-446B-82CD-C62E26DCD17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013A8B-8009-4068-8BDB-24192C548AF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8B45B8-7D03-44EE-A7C2-C365F3FFBEA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AC52AB-AEB5-43BA-BD55-E5369EBA979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4ECEDE-9E6B-4ABB-B4A3-CA297EA6393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533C21-27BB-4F5A-91D2-BAFEEADED3B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28748C-A539-4245-9590-1662E824186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695A0F-06C1-4E9A-BE8C-2DDAA356E8C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82A979-245C-442B-85BA-A2455F66771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240672-F172-4A76-945F-FB7B509D52F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B4DF50-E733-4E40-9455-74750EFF168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404AF5-22C0-4B20-81E9-0348380D258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5733F8-291D-4184-9239-03E0F98DA7A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8C5D38-EE69-4D7F-A52F-0E50B44A47A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CB349F-27B5-4977-85AF-DAD77D8ED45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486392-3F0E-44FB-A056-C30EB1647BA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9BE659-0517-4308-8A68-98AD80288989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1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6F8842-EA80-4115-9E8B-7E5ADE4A85A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2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DBC570-30BF-4C57-9630-23C411A3D28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2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77F9C3-5BC8-4310-BACF-272578A3A53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2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6FFC58-8D68-4959-9010-D127668F949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2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184280-6B57-4FEC-B4B9-6FC7655D51C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2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A3C35D-4025-4AFD-AAD4-5531635A567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2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1B443E-ACAA-45F4-AD53-3C9FE42620D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2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BD9EF5-4764-4452-B507-D529292C02B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2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CE08C5-C7B3-4CB2-9399-33389D2F509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2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A5BF06-0828-430C-9264-BE17E398A1A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2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50C30C-BA11-40F3-9057-934B6476941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2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F7DD16-B5EF-4F97-8C05-6942690C97F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2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E379E3-3C9D-464E-91DD-2F4600485D3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2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AB81D3-86B4-432C-815E-9D9F34F9540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2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0EB665-C221-40C1-B66E-0F200BA580B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2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457B25-CC09-4A67-B74E-A6865A90955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2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D48C34-6164-468B-BA6A-0E6484C0646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2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71BA2D-FFEC-458C-91C5-6844FC93739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2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00E3BF-E78B-4197-A3FA-7F501255EB6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2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A7A6F7-263F-495B-B5E5-993B6EEC9539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2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E3E772-F846-45D0-8909-85B0755D26D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2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638C80-1856-485A-8D3F-2F59ED069FD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2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3E7DC7-83BE-4646-A640-E9B12E5A86F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2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7E3A0D-C5FF-4A3C-8136-D484EE261AAF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2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869CA6-9B36-4D32-82FE-D5565817E45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2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1ECCEA-C5EA-41A6-9E72-F5F7054DCD2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2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D275E4-2B7B-4592-A183-EA5030197C9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2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0AA9FC-0D02-4F93-B4DF-AC0615988D5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2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DAFF6C-88F7-4B68-AF25-4590237E7F8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2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C7CAAE-FFF2-43A2-B9AC-1C99E26ADDB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2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8A0426-2571-4608-8058-EFC89C1DBDF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2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182657-C762-42C8-9ADD-970EC73A5AA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2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10BED1-FD03-4F19-9D7A-2EDA7D36C77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6</xdr:row>
      <xdr:rowOff>0</xdr:rowOff>
    </xdr:from>
    <xdr:ext cx="304800" cy="304800"/>
    <xdr:sp macro="" textlink="">
      <xdr:nvSpPr>
        <xdr:cNvPr id="52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ECABC8-4AF4-4BE0-A5E2-BD7A8DB7EF3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2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7335A4-7AA8-4E75-9EAD-A9222A7033AA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2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8A4E62-B5BA-4D17-A549-71BF9B084887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2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19926F-834C-42F8-AC28-7C245956B5DA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2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819E5C-CA5B-4C91-ACCC-8027D28AB10A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2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DB1C5E-07B9-4A1E-B7F3-8FCC51ABD935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2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5BD76F-2C1F-4FB0-86DF-806E1DC7D738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2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CDB4E9-5A6C-437C-BDB3-B8A4886BD6F0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2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067BA9-A5AF-4ED4-B074-6E1633ACE649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2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4C1284-A41A-49AE-A548-52A65F14890C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2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583128-AA79-42A2-A411-52215CF7F557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2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B922C1-457F-454B-9AC1-5A211CC896FF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2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BB316C-2736-49D1-B7B6-83DCDF4E64A0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2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E0420B-4E1E-4A29-8505-5FE7929199F9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2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DA5BDF-051E-4AE8-8E74-0EF643CB64A0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2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4D892D-8800-48C8-822C-3D799D2CA53F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2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F33134-9E4C-4891-BEC1-821C49892857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2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95BFC4-EF6A-459E-88CC-B65373B67C79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2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88143E-F4F0-4EBA-AE8B-A66E2DD0B6E4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2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3110BC-DB30-42D0-A3C9-15F127A78BE9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2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E0FF69-4FFA-4AAC-9142-72F0202BEDE5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2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277A5F-639F-418C-8EC7-9ABE39977289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2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A2EF1F-7470-4181-923D-232BEBCA7FD7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2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D84735-DC91-42E7-BE24-F7D7A91FCA9E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2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3A53FE-E322-49CB-AA4B-D944D5CEDDC4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2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785C08-AE02-4CAD-9588-AEA88F7A3DDB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2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628D62-6DAF-48E9-8804-13254E80EC70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2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82783C-DFC9-4C0F-96CB-BCA62009A0B9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2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90D9A6-0276-4ACA-A9CF-D7DCA8C4F559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2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6F724F-1ED6-4442-A3D6-3C53161E0E09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2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8E8537-7DD6-4EBB-8C8C-E96C714303DE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2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6F7F61-4F80-4265-BC8F-218DC2F2D6AC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2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2AB809-E937-4C44-BF1C-939A7F311ABE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2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3C6C78-1ABD-41AE-A8BF-1B692F92AE7E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2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DD82D3-00ED-4CC9-ACE4-6CA712A6813F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2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BD719F-6820-43F5-9738-CFD397979D78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2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809CEE-12C2-4182-BCF7-E0B728267255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2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687825-A792-4686-A11A-11972E029359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2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67AFC7-6E5B-4B5D-AF34-FA1FF7967B0F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2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50171E-B1EF-4CBE-BE96-B2E892649D75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2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CFD5BD-2A00-457E-833E-4EFC635CC3E7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2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3D33A3-53E7-4D54-B740-F3AA706E2521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2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43806B-FCA1-4FB6-8FE0-00545FEE2B99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2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61BABF-3AD7-48AD-839B-FB24B9EA43F6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2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B99E94-BBBE-4F78-AB36-01016651CAD8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2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34C634-A990-495F-B325-381E2D115FC7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2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50E0F6-3D9B-456A-93C4-4794BB8717C1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2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811229-C23C-49FC-94A4-AA1646ADE6B2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2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8DA5A1-9D51-4747-8764-5AA54CDBBF96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2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D60938-5324-47B7-BEAF-E65C14F17376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2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57AD88-14EA-4A4C-8F0C-7B0119B949C9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2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445339-2609-44E9-A438-F056BD96BC0F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2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58D914-D0E1-4616-9A23-7B583A50FDAF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2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39693E-26AC-453C-B888-4BA1FEAFE8DE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2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B1F1B0-9036-4A2D-B6C8-D1C899F5BC73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2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48C858-C948-47B3-9AEB-0FCC7D41618B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2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2F149D-FE7D-457A-8E6E-FAB5CF866028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2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EC4DA4-CD6F-481A-8CB2-DC32C9DFCC5F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2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1B32F9-C814-4DC2-8BA8-CD3337534DD1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2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7A9331-EC07-4E11-A9F5-B616BD2F1305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2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95C909-718B-45AE-80BC-75C2D78E8B58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2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ECD07E-61F3-445E-95C0-DF23B5DA3E83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2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343ACC-C50C-4DB1-BF6B-C42B3881B615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2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63E0DC-A209-4159-8E23-AFC0234A1D76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2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424F65-7450-405D-A446-88044FCF6854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714375" cy="304800"/>
    <xdr:sp macro="" textlink="">
      <xdr:nvSpPr>
        <xdr:cNvPr id="52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A1B9B1-F4E7-42F5-94D8-C48EFB90241F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2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AA20BF-B481-4C01-9465-D38D84270C80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2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88E1C1-3C6C-4569-AD75-ABD7A9CBAC00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11EA6D-5C31-4C74-B1E7-8478A8DB608F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1B5750-D2DE-48B3-A7FC-D53C88453303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CE33C1-667A-47BA-AD74-F8DA42C75943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714375" cy="304800"/>
    <xdr:sp macro="" textlink="">
      <xdr:nvSpPr>
        <xdr:cNvPr id="53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2D8F40-56F1-496A-BCC5-8E9715ABEC3A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E8DA8B-49F7-4502-9CAF-0145130B5460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613C3F-4D84-4C5C-BE8F-7DA64DEA1E0F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AD7491-80EB-4091-870A-B99A6DB7D68E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54FAA3-2E45-4C58-B52F-CA1C5D09D060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383F1D-9831-45E9-96D5-CDA00D64AB3A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B81680-D4E9-4F10-A77F-2D2C8D1E2DAE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62E5B2-90D0-4D1D-BC9D-7025E8D08F7E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CAE983-7837-4A1E-B519-A590240300A0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C88EFB-0596-4438-B301-CD1061940003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63E97E-06AE-42BD-84F3-40284CF683E0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86E2A2-F2DF-4C3E-8DF5-E8D4470BABA5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18FDD1-884D-43F4-B653-123EB40185B3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58E959-489F-4560-AE00-C3CC6A5DBB2A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37E8D9-6FB3-4BBE-95F1-05A64735B2CA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DEB6FD-3BC4-4F14-B8E2-6D60A3FA9996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5BECA5-46BD-49E8-9F51-78D8CDD811B0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2952DF-344C-4951-8294-40E50938F383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CB71D6-A8E2-488F-A402-0E82593BA894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27D75F-19B0-4C8A-8879-7A48880C21E4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740E09-A9BA-4333-978F-59E9B6635B53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714375" cy="304800"/>
    <xdr:sp macro="" textlink="">
      <xdr:nvSpPr>
        <xdr:cNvPr id="53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81B4C7-D849-4EF4-810A-FEBE0BF3AD0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3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D3C47D-CCC0-4A6B-894D-EE8D5FB6A94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3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29DDC7-6E78-4612-9A68-10E62735F5E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3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AFD7DC-73BC-4067-84EC-67C6752599C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3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9EAFFC-4B4F-4909-BDF7-C9576314E2A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3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B9CCE4-4455-4500-B3F7-4928F3E226E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714375" cy="304800"/>
    <xdr:sp macro="" textlink="">
      <xdr:nvSpPr>
        <xdr:cNvPr id="53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8283CF-E812-4E61-82E7-955229C215B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3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6B057C-B8B5-4EEB-BC51-C77AD8A65FD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3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5348BA-83EF-471D-BBC2-0A58B58A993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3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1B07EA-7818-4CB6-AD87-D2674F61903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3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E3F3D4-DF82-4C63-87AD-2AB2F713A18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3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D395AB-C7B6-4F87-BCB4-1DE2805B6B1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3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5EAD76-B031-44A2-A365-F0C52422FDF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3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28196C-6D8D-4DBE-9263-27E6393427C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3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D6AA0B-9BDB-4B22-850B-2F2C9314865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3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2014D4-614D-43EF-B50E-5E93975CBBA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3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94F5E0-4F62-4682-A66D-60EA6662A73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714375" cy="304800"/>
    <xdr:sp macro="" textlink="">
      <xdr:nvSpPr>
        <xdr:cNvPr id="53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2FF1AD-0622-4FC9-BB0A-446F296D387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3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63EA4A-776F-4E05-8B5D-DFE4EAC7877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3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7AAD38-C17E-4296-8CA7-7688CAE5D6F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3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E6EBE7-82ED-4DF2-ACBF-173888BCD8B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3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8AC5A0-CBD8-4795-B78F-7030954B95B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3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1C8C46-56F8-4EE6-A58E-98639480B32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3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9C5849-F2FD-4044-90BE-81EC37A4020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3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058701-390E-43D2-A75B-5A71848A108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3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1FBFAF-D924-4D32-AAFE-2445A91CE9B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3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CB3F95-6EA3-4FE1-BDB6-C405E702EBF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3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56991A-D045-4F29-A879-9AE8682EF1E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3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D1D8E2-7518-46DF-8611-7DE782CA7A08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3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353296-530E-4059-AABC-3185140D2EF3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3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7006E6-DC52-4829-95C5-9D7D8ACCC61F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3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FBCB5A-4E10-4AA4-B8BB-0A0157E7DE36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3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E0321A-175C-403A-AEC8-A8E94C549E22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3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F268D6-4D19-477A-9924-6D7A49471462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3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6046BA-CC38-4FC9-9FF0-621A3FA49914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3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2FF69D-521E-4585-BEA8-D5EBE41FBEB8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714375" cy="304800"/>
    <xdr:sp macro="" textlink="">
      <xdr:nvSpPr>
        <xdr:cNvPr id="53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BDA6D3-88F8-4446-9C08-46EEE430BC81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A3D42D-7F9B-4729-AB6B-10B4CDF4CC6B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708BEA-DB17-4024-9193-EF308808DA9F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03C9D1-8BE9-40A3-ABB6-905C570C2B17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40E807-6EB1-424C-ADF3-9AC53AF123F2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2F5F01-EF6A-4390-9EDD-537EAB9B8587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714375" cy="304800"/>
    <xdr:sp macro="" textlink="">
      <xdr:nvSpPr>
        <xdr:cNvPr id="53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B90EAD-076D-4419-A490-311DFC23918C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6F3F74-58F9-49F1-8240-04DA96313FFA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D50D39-C749-471B-A431-02A693CA0EFA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613289-9CC2-4876-9D85-BE180E770977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2A879A-81DB-4461-9C39-E1CDD3479D16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620911-C7E5-427C-9A43-B8C2E43A8743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95E3C9-294E-499C-8D6A-E7A0C848FE47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870B09-1829-4E63-A06B-CDE915E04D21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BC70E5-A46D-4419-A86A-7772B236CB50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8E175B-F0D5-4211-83DC-FA387D51D479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DA1630-AFEE-4CF5-9AB4-32E8FF94421D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90E296-8DA2-4ED3-B974-A5A16F01ABBA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6B2493-061D-4D62-9D76-6E6FEA89DFF7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94C83E-BB72-4F0C-B4BC-2E8D3DC5C71C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D5FD3D-23BA-49D0-BF12-CDF5FB9EFFC0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B69286-AD2D-4D3C-BA4A-C87AB3E0A764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05DD23-EF98-4CCA-8533-57855A3E47E5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585BE3-D4C6-4962-840B-A1CF4523F168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1AE2C7-BF3C-4A9C-8AE0-2D698C28FF8C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02AFC3-159E-4D3B-8164-B28AA07A0DB0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2233B8-A125-4EFA-B757-E2EDF118FE5C}"/>
            </a:ext>
          </a:extLst>
        </xdr:cNvPr>
        <xdr:cNvSpPr>
          <a:spLocks noChangeAspect="1" noChangeArrowheads="1"/>
        </xdr:cNvSpPr>
      </xdr:nvSpPr>
      <xdr:spPr bwMode="auto">
        <a:xfrm>
          <a:off x="1437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714375" cy="304800"/>
    <xdr:sp macro="" textlink="">
      <xdr:nvSpPr>
        <xdr:cNvPr id="53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8AD86A-E65A-4017-B9A8-952DBAFCCB9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3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F2BA99-7A9E-40B8-A9BC-00B60E14311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3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7688EB-17E5-457E-B9C6-F6A8D1C5016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3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DDBEA0-4A05-4A63-849A-3CACA88B700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3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A480DF-2E79-4EC1-8B65-0D687D55107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3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CA5500-E1E8-47AE-AE1A-41B6E6B3501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714375" cy="304800"/>
    <xdr:sp macro="" textlink="">
      <xdr:nvSpPr>
        <xdr:cNvPr id="53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AD07E9-A076-4322-ABA2-4E90AEBD431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3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D0E4E2-27F9-48D9-A914-B9C882C4ED5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3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422038-24F7-4421-A299-124EDDEC261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3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82E611-2E8A-4AF5-BC70-54C4A7B346A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3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32EBF9-4973-4B0B-B238-37566C09EB8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3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214F8A-8F38-4B25-A5BD-75CA2F77DCE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3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1388A3-7BFA-452E-8994-5B4F9C153E1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4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A68F8E-E5DF-4D85-BC86-B0C2C4A161B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4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E987DB-BF16-4B00-B3F2-2A59771DD84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4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25982A-6C40-4C94-B19F-B2881F65010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4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E689A1-DDBF-4698-8A74-B7567D45539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714375" cy="304800"/>
    <xdr:sp macro="" textlink="">
      <xdr:nvSpPr>
        <xdr:cNvPr id="54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68737E-AD47-4225-BDDD-229FF892CF3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4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C4594C-EE8F-4EA5-B949-297E87BACC4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4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7E444F-FC6D-4C2D-988C-172E9E61DC8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4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C1677B-0ADD-498D-9552-55CF8F346B5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4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49B9B8-1598-48CD-9887-39BCF8CA253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4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80F07A-0219-44EB-ACB7-43836FA80A2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4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5E0EA6-B3DF-492E-B077-C15A27FC76E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4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F79D81-E4E1-43D9-9A6C-EFECA33DCD4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4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DBE6D9-2892-46EB-A17D-9CEF22B5F75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54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BAB59C-6B5C-4D86-95E9-8DF4F3510E8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E42E14-1859-4995-8AA8-087B1A704DE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EF8B8E-910A-47DD-8971-32556D1C9AF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42460B-2679-4743-8ED7-70EEA9C1DCE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A094C5-4510-4849-B3BF-AE9D9D611F5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9ABB4D-17C1-4D2E-97A5-CE8D5E8A5D4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B1E641-1D65-4182-AB10-C5468EDF3AB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6E5D8E-61A1-4C98-9F49-6A9473C2255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17D29E-1787-470E-8867-A8BD589E702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A2BA10-D4A8-458C-8535-7020AD6FB0B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A1802E-69E4-4669-880A-FC1DEBDD9F8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4A5072-EA1B-4315-9945-D3869E993F3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6A5255-2713-41AE-8B22-6E0190D4CC1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B34CA6-668E-4738-9EBD-1DC7C862940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DCA336-A123-4E36-9FB0-F8A7C3A9CD4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4E8283-E560-4B39-9BF7-46C20D2D0CB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81F1EA-A45C-4EE7-8EB5-678BC23E925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5CD9A2-B556-439C-9150-2B519AD9F89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1F1EE0-5BCA-4CCF-A2B5-BEC39084E5F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5519F4-23F0-421E-9973-DC6A17ACA8A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0C4953-0D90-4822-8944-9FE912A9B78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C4EF2E-0747-4B9D-9C93-08F7FD7116F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38B355-4E88-40E6-BF80-2EE7E4CE463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49EDE8-47B7-407E-9087-42E99386F13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1B08DB-2998-4B81-94D1-641655B8482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B93D3A-F152-4020-AE93-9FDC4BB4840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930B03-1E7F-4C17-A9D8-C95FB356658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7B3332-8B5E-49EE-AF96-A405F5AE34D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5B9D95-BC24-4EC3-87EF-E4A16F67F84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2313A1-6F34-4B6C-9FFA-959C7A545F1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061302-3C30-40D7-8FDB-CA8885331A5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96011F-E1DB-4FFC-90CA-8AC6A8A3834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DB3DC9-F025-45D9-82C8-03856AABC94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372157-0936-44E8-906D-4A5553C4229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29EF33-1338-41BF-AE4A-4F21FB29DC0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BFCCC0-7BB4-4F57-B076-86A82FC85B4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58EC1D-F406-479B-A63A-7BDC7D0FA28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10445D-F27B-42F9-9F89-F10069E41C1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730E93-9ECF-4F9D-8ECB-DFF60F9D20B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D9A21F-231E-4D4C-8515-4595F0B0A8B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4140D4-6819-4173-99FC-FA234C0AD5D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6BD864-B34D-4B05-8613-13711EC4D23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1A6870-7BEF-40CA-AA53-C06CE02296C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D24B97-E6DE-4A86-9BDB-BD592EA852E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842C68-8096-463B-A4E8-EDBB107074F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DD9E81-EB38-4D4C-A5B5-4C14E575B44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B23074-85E9-4E47-9A87-78301295874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D53591-0FEE-44C6-B71C-6B649158694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A9ADFC-7C1F-46F0-ADC0-C033E16A2B7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4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06FE07-0077-44DF-B6D5-C588755A421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0</xdr:col>
      <xdr:colOff>28575</xdr:colOff>
      <xdr:row>0</xdr:row>
      <xdr:rowOff>28575</xdr:rowOff>
    </xdr:from>
    <xdr:to>
      <xdr:col>12</xdr:col>
      <xdr:colOff>191954</xdr:colOff>
      <xdr:row>3</xdr:row>
      <xdr:rowOff>133790</xdr:rowOff>
    </xdr:to>
    <xdr:pic>
      <xdr:nvPicPr>
        <xdr:cNvPr id="5463" name="Imagem 5462">
          <a:extLst>
            <a:ext uri="{FF2B5EF4-FFF2-40B4-BE49-F238E27FC236}">
              <a16:creationId xmlns:a16="http://schemas.microsoft.com/office/drawing/2014/main" id="{7BD6174E-C90A-456C-B349-A2BF9772DC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28575"/>
          <a:ext cx="7392854" cy="676715"/>
        </a:xfrm>
        <a:prstGeom prst="rect">
          <a:avLst/>
        </a:prstGeom>
      </xdr:spPr>
    </xdr:pic>
    <xdr:clientData/>
  </xdr:two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4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EF1CCE-599F-450D-8367-32460E54AD94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4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B0F0B2-8E9A-481A-A3A8-D01978034315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4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ED5EBF-A14D-4D6E-A042-5266C1F97489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4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5A0DDA-BE1F-4687-A2D3-01E9349B61E8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4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830A5E-27D3-4089-8FEA-8798BE59439A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4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57F9AB-D0EF-42E3-AA1B-68F81E964B53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4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CD3D06-FF49-4116-8E2B-66B16F622EA7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4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BCF5BF-BF0D-4F01-8E9B-9F86C3C56C1E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4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3C9068-3B09-4375-BA1B-08906656399D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4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7AB2B2-D452-4B3C-BD53-370C7C70F31E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4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4622D1-BCC5-4B41-8FA2-C2997072E9C2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4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24EB5A-7273-45CD-9538-939BB10F70C5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4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EB4079-6B95-4EE1-B555-AA06CD714A44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4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A558A8-BC98-4B2A-BB19-0F971D278872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4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C4BCB5-BE56-4125-9727-AB546EC5F88E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4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2D9044-2137-475F-A3B2-C2CFBB0B5F46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4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977684-4D27-497D-8B8A-B2988638DC37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4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696612-550C-4951-A11D-E52FE8A90FB7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4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350766-DD53-4D4F-B875-562E7FECD60D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4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757A56-73E2-4E22-943D-6E4CF00E4997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4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E1C46D-6366-46BA-B1A4-672A921139A7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4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1F92A9-1E26-4539-A72C-AC5F1329E7F7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4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0FB18D-7DBC-4636-954E-78D355DC173D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4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4CBF14-3068-4F75-B45B-CCC567317626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4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BD1872-D54C-4796-B7FB-7DE4EB56DD44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4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1EB21A-38CA-417B-8052-13419B61E472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4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987045-0160-4775-BCE7-7662394B6086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4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0E865D-FC57-495A-9093-829AA27CC4E1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4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0AB8D7-7072-47EF-8AA8-FCBC6646C99D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4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464379-2E1E-4E7D-8239-16E62420F85B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4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960597-4A3D-4993-AD21-BA4F9D9C9380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4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294E48-8227-4F5B-9ADA-DE67A79A6A74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4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E1990D-BD05-4021-8963-DC017A8E84AA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4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616D8B-446A-41C1-BD5E-AB15ED43B68C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4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00F4DA-C0BF-40E7-A2A2-B22242F05B81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4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D94236-636E-432C-93DF-3C8279CDC992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5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7A4D23-B717-4D15-BFD1-5DD064201075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5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91AAB4-D710-49A2-B62E-24BB09337555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5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A9EE6E-CD81-4971-9682-4B6E9D42F1B0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5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2DADA0-5AEF-4BF6-81BE-5F543A6EBC39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5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F7252E-3844-4AD4-87BF-03BB669092C6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5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DF4AB2-C8AA-4150-BD4C-19F9B50C7632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5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07B354-8F53-4A76-8E45-59A26596836F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5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BB176F-B0C6-42F5-A48C-75E10B679821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5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CDF076-8CEF-4388-B084-2978D9FB067F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5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7BBB75-4B3B-4720-971F-FD293705B013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5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52D564-9BC4-4B69-9EBF-DED030A0B6A8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5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BC213F-93EC-42D7-B8C8-8081DB8E2D72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5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A2A7F1-8F42-4A6F-A560-0D79BA413CB0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5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D4C688-C51C-4408-AFAA-B535187F17A7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5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095E3E-9A52-4444-92B2-19E3A6BBE655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5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A75D59-9EC7-48A2-9278-9C14241CEC0F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5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712EF9-AAC0-4D76-8DDB-7DDD6743EF93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5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29034D-FF21-49F5-9F16-7259A654AFFF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5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EDA4E6-0592-4370-8770-7AAFC8A0B6FA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5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69F3E7-CE19-40AE-A8B8-4BC8091FB687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14486C-1910-475D-8FFC-05A56F455C9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F88DF8-19A8-49BF-8C73-2FD376E82AE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E108C1-8D79-476B-B9B5-7357E37557A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7621CA-9078-4924-8064-52E74ADFECC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33DE55-4988-4921-9D6F-C5F2C6D52AA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B809D5-FD0B-4FC4-BF11-E3A76E63A5F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2FED0A-55FC-451C-A8B9-A079EC5CD15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2F8A63-5D8F-4463-A545-3E38E31C87C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84641A-5A84-476E-8DD7-0F97A3EFAA6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2AA70A-421A-4EF0-9D62-01321A62743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00D650-609A-4E95-AA02-D153E3E8773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8D74A4-F0A8-41BE-8D87-A6D93378EAF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813C33-3211-429A-9461-5008E19B651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955510-7EC2-441A-B633-C0EAF57A1CF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2855E4-21ED-4070-A820-5F19FC535E5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120A54-6184-471E-960C-A933B9B4E9D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136B53-9DA3-4BF1-B470-FFEB8691474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6AF8FE-442E-4412-B77A-840937D3A96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CD98F9-0DD9-4411-A223-7B99980F294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6CA5F8-EB9B-49C5-BA1B-26DB4F29416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9231BD-FC9F-4B62-8B3E-31B5DB7FD97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A0B808-1EF2-4ED6-BDA0-8F06CE1B248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8668DF-2A35-451C-A171-2749D9CF727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E285F4-7B71-4C75-9FF2-423780563FC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A48048-64B2-48DD-81B0-B706D5D1FFD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D6F158-EA86-4E42-8A41-DDB67168073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E5E235-4D98-454C-B125-4BE3EE517DA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6B6E82-D461-40E6-8924-334B9CA277A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DC6C5D-15FF-44C0-A165-BB1EAB89B84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04A196-112C-4B7A-B7D3-AF48B72212E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8F58C4-DF19-4FBA-8164-2E9825669E5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4D830B-CD1C-48D2-B203-0AEC5135902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8762DA-1964-4DA6-9BDF-24937192DB8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4750B1-D743-4FD9-BEA6-0EACBF0AC3F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FFF281-5884-4BFE-B082-27C74DF6519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3E1BE7-7A2D-40B8-BB1F-145A6C1F9AA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C4B6C0-2188-489E-A131-CC00E5B784D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265F93-2D7F-4F6E-B718-F2FF968575C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F6A3AA-E8EF-4BD9-90E6-87862265053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66DB7C-4E75-46EA-9033-10F6EC00472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4715F2-74CE-42D7-A5FE-BA334CE1130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3EF017-F88F-4C88-8D2A-04B8C4A97CA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CC025F-6182-49AD-B946-7D3C9DE1794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836918-AF6A-446D-AF4E-85D68FDE1B5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7095CB-2F03-4F2E-8C98-6D59246831D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66D966-2E35-4343-9FFA-C037BC622AB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50E6B4-2BB4-43D9-B279-02484E4EC95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3848D7-A09C-484C-8077-4420832ADE5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72E57D-2E78-4ABF-A504-70CABFA3A26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5659ED-A3A6-4990-AB7E-2D494D5296B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AF04E1-5668-4032-AB06-9D187EA03C2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D974A3-ABE8-4349-ADBD-19600E793C5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7A965E-6836-4E1A-9306-184D080090D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1614D5-12E8-4CFE-A54C-EEC9815D2E2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CB9B75-86CB-46BE-A1C2-5794ADD4164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307F9E-4EEF-4BF6-B97F-1ACF7EDBF35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5402D8-0039-4162-802D-512BDD489F1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4F5220-5D2F-43B7-B708-B8204FE6E29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3D550E-A50E-49F3-B09B-86EA172447D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FF38A9-A011-479D-8A7D-96BD7D21471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AA9507-B8A3-4A90-AA0E-E944121BE1A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067302-66AC-4BAC-B219-11765D484A1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5A16AF-9BFB-43E0-8EEB-25B31528650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FB63D8-D965-474B-8501-9BF2AB132CC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B783B1-9191-4F12-BC85-7FC2731A731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28E0A4-42D9-42F1-860A-907F522D5D9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754A1A-73B0-4CF6-B369-632DD3A0836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F52B45-13B0-4688-8C6A-4A59FDD67B8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F93416-DC46-410E-B997-A7AF38A82A1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205DE0-4B03-4DB3-830E-408067B1A29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26E819-234A-4C85-A7C2-0D9DA3CA130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359DE5-D152-45F0-AF44-38483589C4D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757A0F-5BFB-4749-BD13-3421F3146E9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C5150D-9A16-4836-A36B-9545E59E049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B8746E-1420-4820-9824-B3D858AE299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FCB108-1AA7-46D7-B5D9-2D09C1781DF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464FBA-1127-4890-A89F-E6A50DBE944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E0B7B7-4CC3-4FA5-8BB4-DD27DD2E66B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1761CD-479C-47D6-A75A-DA445921B43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5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A70FA6-797C-4186-8F34-E64464D3712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6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43A8B3-CBD6-4650-886C-AA2EF51D463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6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040997-CE54-42E8-8E41-4416D7FCDD4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6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24D6DF-F8EF-4ABC-825D-AC3D29B7B37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6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C11421-8BA1-4B46-BF4C-39D132029AA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6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391F8F-B2D5-49AC-9BFD-67F5BD1C165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6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407F85-B379-4773-8FEB-A9DAE74A1F8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6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0088A9-9043-4014-8286-ADAE64FC8A9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6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56A6E8-B7F9-4F83-8E59-EDA493C9B64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6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5FAC1D-E005-40FE-86C5-C341640BB6D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6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62C46D-3315-4E19-94BC-53D458F646E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6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CCFDBD-2C25-4FA5-B7AB-069C3B41D83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6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C4AAC1-EBE1-4059-BE59-9F27FDC31B4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6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D4514D-CF81-4FE3-A30F-65AAC88FE71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6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54F64B-9C63-477A-AC44-1E6E3DD3AB2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6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6BFEFC-55BD-425D-A962-651680BC19B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6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B806DE-6651-4E1C-81A8-7C23432A5F9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6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975A61-6121-465F-BF1A-3FCBCAD04BE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6</xdr:row>
      <xdr:rowOff>0</xdr:rowOff>
    </xdr:from>
    <xdr:ext cx="304800" cy="304800"/>
    <xdr:sp macro="" textlink="">
      <xdr:nvSpPr>
        <xdr:cNvPr id="56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104DB1-BBA8-4936-9A9A-7D97066E197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6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8CF89E-B6FB-4C20-A0EF-D01217875746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6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0EC3B7-ED78-493C-A45A-C4E459AD9477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6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978735-435C-4E36-9289-DB2EE97D2C4E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6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ECAC96-E7B6-4291-95B0-412D987E94BD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6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F6FE42-0B09-4375-82FE-32B1272540D8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6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AA602E-BED7-479D-9897-7AAA2D233ADA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6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6553EC-6CCC-4606-A890-80A0B65C83D8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6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63D61F-82E0-46DC-970B-6CA1E05261A2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6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D0C53A-CCE6-452E-B3B2-CD4FFD30AD96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6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C3FC21-5E7A-468E-BE27-18EAA4AA8EFC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6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02E42D-F2E3-46C5-AC45-A17F72BB3497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6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BA2A4C-0762-4181-B6DE-9C220ADB5EB4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6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04A4A7-462B-4A3C-9AD4-BF03DF64534B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6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113AE9-5DE4-4A69-8E90-6EEE57F59C49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6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4A4419-A313-4CFD-9326-B152128FC01A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6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2B2F00-85E5-46E0-8A2A-B8A1D86D16D1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6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38A2F4-B1AE-45BD-9745-12C0256B008E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6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CEE675-5B84-400D-A461-6158D5CFE696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6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90603F-2FEB-4DFE-9FC4-9A77B38D3333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6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FEF73F-5C4F-4743-8AD0-CEED42E0B8C8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6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478811-2DC1-4202-81E3-A6B6E32FDEFC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6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6447F7-5C7A-4455-B112-C76804E9D334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20</xdr:row>
      <xdr:rowOff>0</xdr:rowOff>
    </xdr:from>
    <xdr:ext cx="304800" cy="304800"/>
    <xdr:sp macro="" textlink="">
      <xdr:nvSpPr>
        <xdr:cNvPr id="56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2AE5FD-6410-454C-9A49-0CCC2FE2800D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6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07143E-7ACF-4585-82F5-06A99C1EF57D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6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5DEE44-9F0E-450E-AE3E-22FE7D6CA7FD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6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171308-A021-4FA7-83D7-70BC1C215EC5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6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F644EA-DEDF-46A0-B925-2A6699954609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6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C2CE8A-2A12-4412-8386-BCC5D9061114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6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83349A-2024-4AB1-8211-7C9949F7455E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6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B59CDA-1FE1-43F1-B824-6BC36A606506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6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9414A8-A71E-4EA5-AA11-01C2220690A5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6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D75595-3DEA-4E9C-9B06-8262A520C3E2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6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046F6E-F428-4115-943B-5AF300883BFC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6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007EB1-A7A3-4241-ACDF-C4CEC483D609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6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AF9B16-27C0-4C8A-995A-61414C4487E9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6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34DCB1-C196-4F1E-8DB3-F6055A48D1B6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6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8F0930-C820-4B5B-8186-9A6F13365A4A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6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B42C03-E61F-4CF0-B316-479420D5D0B2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6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1787C0-04C2-4A63-9A06-CF070FD40296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6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299730-AB0A-4597-AB8E-2951AB476F8A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6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89E3D4-CE66-4BDB-8814-CF8BF492EA8A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6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C5E5BC-8F99-424A-85BC-1B623B75567E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6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4ACE30-7D0B-4A92-BBA6-512AD355E871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6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D9F50D-1EB6-472F-9A3D-EB4F94B33728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6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256D5A-E294-4A59-94FD-B43A2357978A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6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6F2BFE-884C-48E9-970C-6A68AAA01422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6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0FA1E3-BD20-46E3-AEEC-8471F5547907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6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4E40F9-5B09-4BD4-AC6E-246DA2B23208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6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A118A4-A1A6-4D7B-88A9-CDC025C33492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6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1F2980-EDB0-4C8B-9B1A-7C4E7A94684E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28</xdr:row>
      <xdr:rowOff>0</xdr:rowOff>
    </xdr:from>
    <xdr:ext cx="304800" cy="304800"/>
    <xdr:sp macro="" textlink="">
      <xdr:nvSpPr>
        <xdr:cNvPr id="56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301882-234F-40EB-B4F0-F8ACA00BDB53}"/>
            </a:ext>
          </a:extLst>
        </xdr:cNvPr>
        <xdr:cNvSpPr>
          <a:spLocks noChangeAspect="1" noChangeArrowheads="1"/>
        </xdr:cNvSpPr>
      </xdr:nvSpPr>
      <xdr:spPr bwMode="auto">
        <a:xfrm>
          <a:off x="162306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6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4706E8-B7D3-40C5-9EA6-E703585656F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6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897832-6DF0-41D8-B8F5-5C8F2A34F17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6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168B2D-6BB3-48AA-847A-5CFA31CDC98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6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C7BE20-87AA-49A6-B157-1DA1C20624D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6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7F6D26-804E-44E7-84DE-1AC9138E3FE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6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D17F84-8180-41D2-A5CC-88FA4D1EC54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6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141967-8B9A-4CDA-9BC7-D4BBC61567B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6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F123F0-5093-4C2D-8100-D6974AC8D59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6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850D97-DBF5-40CD-BD81-2762D4A574A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6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29542A-B44A-4768-99B2-455936B28AF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6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8F06BD-A60E-4571-BF0C-5A1E34E4886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6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B9FC53-630C-4F84-BB61-87037A83751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6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FAB1DA-4037-4E71-860E-775ABA04E8F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6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7ACC83-E22F-4E47-B21E-C2022A8CC2F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6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265A0B-2E56-49EF-A660-B1F76F9F116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6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FD8CBD-27A0-4228-9945-B4564271391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6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A22FD3-0807-4B9B-8BCE-C1E60E27465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6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5D52B7-A5D8-4C69-9787-F6E84966AEA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6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414D4D-4DC2-441B-ACE5-1ED492387E2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6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F0D992-1E2D-4AEC-B576-7BB6B58E84E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6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847EFA-66CA-437B-9748-B887CAF7656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6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A3D82E-66A4-40F0-ACCB-A1425E901E8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6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0B5BD3-0A67-4910-9521-9DF272A87CA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6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3878D9-A42B-4DE7-A1B8-7EA1A95DC70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6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84E879-C0AF-4D70-8403-E7F1C9AD38C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6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77283F-4B0C-4599-8BF6-B4D23441789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6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9A5E43-0CC8-4D1B-B841-F952CD90171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6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71D4D1-B564-4A3A-A708-200BD6BFCDB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6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16682A-4E3E-400F-980D-EE6527AA979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6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C5512A-E454-4C17-92B7-D85DD5807D7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6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B44C50-4A61-4795-A57F-79426101062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5C5DEA-00A6-436A-87F2-DCCA9AEC5F3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423BA5-AFE4-4D4C-9F28-08CA52706C6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27D672-38BE-4FCB-83F2-4909FDB2472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888381-238A-4858-8C1A-ACB36C3142C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CC3316-D39F-4797-B140-BB06CD43AE1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688B88-E005-42FD-BDEF-120D6F58D6F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351DED-F288-4526-A9AE-6E0A6742BEC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A9CF74-7707-46FE-B7E7-6B5B3E72035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9E62BD-AC85-4736-98F0-ECD33E51D33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E4CD30-E045-49EB-9AAC-78CB70660A9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2AAB07-215C-4DF4-8B8F-9AF3E916CE9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81A446-C71F-42B9-AFF4-EA60878097F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48FAE3-8074-46FC-B7E6-F8FE8278E79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255963-48F3-44B3-8DA3-2A4F61A3499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A9A249-DF32-4441-B97F-FD8206B0240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34763D-06C5-49EE-82E0-43FC006CC92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76A796-7A3C-49D8-A8A8-6A623971848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A83EFE-682D-47E1-998F-85F392113DE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C7D233-951A-433D-AA45-65E84392FF6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6A03BE-6E6E-4832-94EA-92CD549F5D9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EB745B-BA79-49CE-83FD-F70302527A4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7C67F0-E2BC-48D8-ADE5-6FA519335AE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1C1942-059A-47AC-A2ED-17828B55559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42F469-C081-485A-9470-7C3DC94F7CB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ADAD90-AF40-471A-B790-21BAE353807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E44F5D-B387-4641-BC55-C82DEAA83AE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702F94-2153-4F2E-8F73-41E15C3E10E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1E09EB-4925-4FBE-95EB-05DE247C7C8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64E844-F033-4153-95F8-4E57283D1F6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21CB85-E871-4F1A-B020-DCBD4294FF3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A31C25-3685-434A-8D8D-27BC78D11A5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1BF8A7-F0BB-4227-B7BA-759E6430C19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52E03B-FF2C-4FB0-BC78-DA023A64567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59F67A-3A33-4665-9B43-76BA3C323D3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53D988-A14B-4719-AF6A-F1E1B863417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034B78-8E5B-4CB8-8120-4BF23EEC66C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D62DAF-4662-4481-A377-B406FEF8E11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36303F-DBF6-4856-90E7-17723034B92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8CE42A-E6D2-47E5-A41A-81DB4A921DA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0A836E-BB6D-497E-AA9C-16595B30E16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FD27ED-133F-49AD-8BAE-0C0594CA2F9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06B008-039E-47D3-A717-AD28A0F3F89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F859A0-FFEC-40CB-BE61-434CF3C3536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1175CA-B715-432B-A0DF-9BC8BF5317D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607292-6676-4E93-8DDF-16318E9996F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D5F281-7836-410C-B94A-6CF5099E675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D0F4FB-69A0-4BF8-B851-862B7ACDAEF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051DB6-DF94-46E2-8F01-0DF3C52D6A8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CDF7A9-BE84-44BA-B1A5-51C5FD7FF16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AD57A7-0C20-40FE-9A12-56DDF321743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F62D0A-710C-483D-A140-F087EB9568B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18F8F5-E361-449B-B1DF-1707DFF5839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DED785-A8BA-4D68-A298-9D7747852C9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CD6362-A9A8-4E89-B758-CC250337ECA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1B8D47-A8EB-451F-B7A7-29716A55E33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5A88BA-2383-4234-8C9F-B89CF118802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677D91-225B-4DF0-B0D1-6C5975A4CF8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DBFB3B-39B5-40AA-A750-2CC01D8AA49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AD4318-BD79-4DD7-A211-553047F5E03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4A1C47-EE91-484D-B541-85E2755A1B8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1AA54B-8253-4710-8F6B-655E08A9FF3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A64E7E-505E-4B5D-A116-3D87D808EEC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8E5B33-1FDB-485E-A906-0343545F767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7FA3AD-5A55-4F27-A1AD-38FDDD756F3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468ACA-E53F-460D-A826-7A24229E385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0882E2-D791-414E-AB25-65029C510FF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CE049D-4F6A-44DE-9ABA-1D7AB702719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323604-D822-4CB6-87AD-95FDC5530C9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0E87C2-E8F0-4A2E-80AD-03007779F85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E02276-4EAE-4F33-AFB1-31293D45CA0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7EF55B-A748-4A33-9FE2-4D783D19DF0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0985D2-CF27-480E-AC5A-5B21F43D691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F093C6-8D37-478A-A7E2-CC9D9A2F365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8ABAB7-8A42-480F-8F86-82E3976911D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1AB479-87A7-42D3-8090-7E6A6847257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F4C431-24A8-4F29-8AA9-7E1BC8B0BFE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38CD02-E912-4FD8-98A8-FC9A469F6A8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F9DD12-1B4C-4E43-BAA6-9BE2FF7C853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623069-B8C5-4386-8A63-C4F7A40F66D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34C5FB-EDF0-47A8-9929-30CF2FB2BC0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7136B1-5CE3-4547-AEA0-178FF2A5EB6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23B9A3-DE3F-4524-ACA1-EA1E094446C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82BE58-4C42-48A1-93AF-064BC628A00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9CA79B-6370-408F-B6A3-D22D346E56A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C0DBB5-E95B-4621-B0CB-39BDD3A81A0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E6CA91-C96C-4210-8FFB-B08346FE83D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D28871-D329-4F9C-B8D1-4C39CBA296E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5ECF91-498C-448A-BBE2-55FB1BBEAC5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ED0A19-558D-4DD2-89FB-1DA3CCF2DDB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A51897-2B13-4EB3-8969-EA07DF1B437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0E050B-5BD9-4EBB-AB68-29870433097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D6EB9F-33C4-4979-BA7D-ABF1AB9FCBA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03E731-7AA2-4967-8E73-B0E61582646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4D12FF-110F-4E50-A513-1C8FC1A6E62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72B688-732C-4CA1-8A22-CCDA878A446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B3A156-B541-44FB-B62B-7867E645DF3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683C4F-52A0-4444-A7A1-4512235853D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302438-A71F-4FE0-A1E6-119CEF7D121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A886B0-CBCF-408F-896C-E7A27640EA9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7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646F36-ECC8-4DF3-9A99-777CEA91B09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884F2B-590A-4DE5-AF90-7C44E2B8B85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B2E1CD-0716-4F3C-B65A-EC864BDAF3A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BF28C6-8ADE-48AC-B954-8738DF8901D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3A3711-EF9B-4674-AD36-2F3B8FA3BC3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0C418D-DFF1-40AD-96B9-6E51890114B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659FCA-89F8-4619-92B3-C3B63CC27CA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49CA0F-1D73-4C8C-A6AA-A2F028D64F4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EE2642-6712-4B09-B925-883ADB940D3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55BE7F-F0E3-419B-BCD6-755B63EC451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A49263-2BF6-4DE5-9733-9A92F7EFEBF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8C79C6-54BF-4C69-AA8D-CCEB7FB0A06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89F5D2-448E-4586-99D2-A9E119167C0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F02047-4F42-49D4-8FD7-0D4758289BE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A7475F-EE9E-47B9-AA86-FFAC63744ED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52A212-A161-4C2A-964A-02EF387458B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C8F3FB-C8C7-4AB2-8E67-60EA74C8E03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F7A69C-F670-43D4-8576-468D942A241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A35D25-99F8-4514-A51B-035CD295EE5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28B662-80E9-4706-B82C-205B1367048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25D0E1-7E16-47AF-A71E-8F501C7C81F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CC7289-F45E-4500-8956-E57193E8B76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B9F304-4207-4773-A0EE-7B121DDF4B8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A49855-0569-45B3-AFE0-89793E75D12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FF5A68-7C0C-4FFA-807B-03613102D56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66D4AC-F5A8-46AF-934E-D6B3C7DAD9D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930DBB-B79C-4DC1-8F2D-35D29243A30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00F932-3A2D-478F-9170-04EFC2D61AF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F29D1D-5E2B-45EB-BEAD-8321EF1161A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F85BCB-DD18-41DA-992F-4022A29AD05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4EBDF0-2E9D-43C4-BF65-11079C66DBA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F21876-0850-4FEE-A32F-F9882397E96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824F94-170F-4186-BF23-558A13D6B37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C94B2E-B118-44EE-8FBB-81852421BB7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7BBEA9-B54D-4FC2-A27F-BBE3C152AC1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FE7B58-23A0-4B40-B7C8-8237DD8E440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BAA4B6-1AD2-4BFF-85AB-E1C83E5306F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F8C4B5-CE27-4EE4-A00B-1F3D75CAFEA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14FB7A-9041-480A-A472-D706DD877ED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EF63AB-0D81-4679-AB1F-8006A64F3B6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A29C8B-5335-44FB-9848-87666BA8AF5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4632AA-9D23-4E1C-AD57-32767726F44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0B74F4-5E59-4C95-B266-F5FE8716207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EF80E4-6E55-4FD7-85F4-526054B8FF3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34F90C-E4D5-4A46-9D1C-D15751F05E5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58903B-EB22-41CA-93CC-6E5B33BB6B8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C533AF-8E6E-41D3-9C58-3098EAF6C7B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974BAF-C973-4BBE-990B-89B41446D78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1B4366-129A-40DD-8374-4C9CAFDEBDC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593041-7735-46AB-853D-F0C816D6259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F452D4-21F9-44D3-B037-A5227BCDE40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353D85-FFC1-4123-A20D-FA037BCDA8D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4A8FCC-91DA-4BDF-911F-D7AF986138E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CA004D-E151-4C47-8972-809DF939179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DD3368-72A7-493B-A883-2F8212825C3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61AAB2-E600-4241-A101-7D0A44C9C40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311961-302D-4F53-9448-127EB8F068B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B9C831-8D80-48A8-AA20-1B139F9E513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1A5F01-5587-4722-9303-398D642002E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32BEC0-4114-4AF0-9EAF-141FCF8362C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9E52D8-7739-423B-A6F2-0DC8EAFB9BD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D05A87-46F4-469B-83E0-7EF71572F3C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0D811F-85E3-4BB8-956D-1ABF39D9DF8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06794B-5B7F-48A4-9AF6-03D67D4EF48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E13644-2647-4EE7-9FF9-53D74ED46F5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BB3AFA-99C0-4E19-9526-30E91571916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11ED81-9A21-4C99-BEAF-CE9FDE417E7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5C6E37-8B38-4A68-86FE-CF569CE3702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999A08-82C0-41A0-B2C4-7FF1775C870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2D76DA-2F76-4B56-A974-70C8D3A5BA2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E82599-4CA0-424B-8A12-E8CF07EC1B4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A1446B-530E-478E-A4E6-233265FB7BF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DE3DB3-2AC5-4EF1-BA31-097896FF5DA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2B7D55-4417-4A89-8F49-4243F678CCC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FB5042-FF4C-4A5A-9DAC-04717A0F3AB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FD3991-0CEA-41F9-8922-22EBCA6A8A4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47664D-BEA4-4203-B15E-3AE6A10E3C3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73DEDF-BE50-4B68-8292-D7A953C0A6A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82C2A5-57EC-41FA-B963-C38AB064026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376689-1A57-4A26-93DF-B6575010BEF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246C7C-0999-4EA6-95DA-5EA5F9B6529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C2117A-ECDB-4627-B505-D85720D15EC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9E2506-F5C2-40EB-98CB-62FA086D7EF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5018A5-CECB-4AC3-84A1-5DCE5EC7E47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06F283-118B-4D59-8503-60F801E6BA6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8920FD-CA39-4AF5-A38F-2DFCCE35F01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80D810-E504-4DD2-B529-365986EDB6E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1886E7-23F9-4860-A9FE-B447C2043C2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BC6909-9C40-4813-A036-8963D5E7884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E28FB3-4684-4607-B73E-4DFEA31D101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E6080C-46D5-4A03-822F-DD4ACFAC147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B77393-2862-43F3-A16C-7F595996167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F8ACA6-3C7F-46D5-902A-7FA6670C592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98D48D-E6C0-4F79-9226-8D0733A1F79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77DC07-1FE7-434E-BAAB-AE90077C5B9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9041F0-AA2F-4473-A5EC-2C17B3A386E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A0FE4A-469C-484F-B9B3-DF94A063037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D80C7C-67E0-4F81-A07E-E5A84F03E4B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EC4A4F-77A8-4A69-B135-D30C7BD8170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28C466-7CB4-4B1A-9740-C4D5D44E2E4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8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A038DC-5C63-4639-BDC0-8CB7CB33FDB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C50339-3326-49EE-B2A0-D44BDCC5D03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B41D68-9629-4EB3-BF5A-08B9FD57EC1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DF4608-F4DC-460F-938B-37D5195C608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44FBE2-4E62-4DD9-89B0-E2DCA8CE05B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24C66C-24DE-4F22-A31D-E1D3434E1C8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453FDF-ECB0-40BC-8101-45EA83DE1B8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E9E0DE-D5A4-484E-B918-393C3314522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B4DCB9-9FF7-48BB-B8B5-B00A567DF83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DA9061-CC39-46CE-AF92-9526C0ED8E8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B842C9-08B9-4BE2-B8D2-A6ADA3EA12B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0EE9CE-0308-4C24-98E9-3117003775C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C38607-A230-403E-BA9F-B1816775BFA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E55021-147D-45EE-9F17-10BD260EE69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2D7360-F1C8-4014-ADFC-4B935557305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ED6BE3-54D6-4BD3-809B-7053D7C6FF1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8BA5B0-A308-4724-A5F8-C2DF5C156E3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827A61-FA6F-4852-B4FA-0B3C4136907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8E38C9-335D-40FF-A7B0-15F91E537F6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321537-026D-4542-BA42-E264D146134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F09C75-DFAC-4F1A-BCA6-D6C568C4D78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7D789D-C030-4D77-A9B4-1CB745D7B74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F1AA28-F21D-4004-94A1-B0D7C591622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D4F35A-7AB5-4C9D-82C4-DCFA598594A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9F4BD3-A8CF-4B35-A058-A2746F504E5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031A46-1773-484D-8F6E-F9A8E82D5E8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71E7B8-6985-42F1-BC7D-A588C052C09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D004B6-A6D3-49A6-A435-3C464919B31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D563FE-02F9-4F53-A31F-515045AD3DF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396BC4-4650-43F9-A9E4-AFA47A56827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278867-5225-492E-AAF6-248A3EFAAE5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51D8E1-E687-4F8F-AC8D-C74D4132313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F0850A-5176-4F81-BF55-73955F64583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7989E9-FE2F-4F67-91F9-DFA69C332A9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0AB48A-49A6-4120-B4FD-C23F678B809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06B05A-5483-4CCF-B706-8F5AE162930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24A4E5-FD6B-4E39-B8F2-E2F8F499620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9A1A48-539E-4C04-9831-5C4BD8B169F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ADC800-5D3A-40E3-8E49-ECD4C701182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4540CB-7234-478C-B4F9-6DFEBB2146C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F761FE-D9D7-4766-A4C8-340E7D07DDC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E81414-10EE-4BAD-8875-ABDA45ABCAC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95BC44-5EFC-4AB8-9D60-57FFC61650B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031EDD-3FC7-4EF4-B04E-AFA6E1C68A0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69708C-34FC-49A3-90B3-AA049124AD4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649254-C620-4664-BCE9-C58EC9B97C3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C343CC-3BB3-4351-8098-4B23700A08F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498AC3-3195-4078-8410-43E410A2723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6A0E31-1DD3-4E45-9BF9-3D04F46662A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00A60D-E01E-40EE-BADE-E572E0296CB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ABFAA5-D928-4B0D-906A-7C6556272A0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CE793D-B87F-461C-B488-414513F4AB3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454773-A4C2-4BA0-909A-80A2D56BD08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19D0CA-960A-4CA9-836D-1357F1F1D63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8166E4-83F7-406F-8B53-0140DADF3CD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58482C-A236-4F09-B486-98435948AE5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2E35D0-C769-4C09-89F3-4AB5624CF8A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A60640-B187-432C-B679-B795FE713F1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22953C-EC56-4903-8345-E31FBC9DF68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27B71F-512C-4D21-9262-B817CE9AD93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68729B-7EB4-4439-B3B6-72163B6FE80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6D6BE0-FA12-4963-AC5C-E02E75A4157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4B0F6F-C323-468C-A6CC-490828B533C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105</xdr:row>
      <xdr:rowOff>0</xdr:rowOff>
    </xdr:from>
    <xdr:ext cx="304800" cy="304800"/>
    <xdr:sp macro="" textlink="">
      <xdr:nvSpPr>
        <xdr:cNvPr id="59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4C298A-19F0-42FF-B6A4-F4BC6E6119D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59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2EE051-18E0-4BE3-A2BA-4AF86E2E1A5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59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28A7F6-436B-44C1-B6D0-983B624CC45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59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CE9BE6-0C36-4282-829E-8CE763B92EA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59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0300C3-77F7-4DC8-A5E1-84EA7DB78BF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59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AC84B2-C941-4746-823F-ACE584BB1FC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59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887F72-9C00-4CDE-B42E-7809F436C85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59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F5CD20-F67B-4ABD-AB06-E2579891CE3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59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32AC80-7316-4E72-8B87-966A7CEAC73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59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914D7B-CA9D-43C2-B34F-F05BBC59EB4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59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711E0D-8FBF-4BA2-870E-CA0B1C1AD02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59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C2E5F3-44E5-49A5-8247-16A5AF25CD8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59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8ECA9C-3573-4792-BC42-B6066C19198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59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6C37FC-BD11-4376-904A-AF76B56E8BF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59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B38573-6DA8-4637-A7C3-E700B63A34B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59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A82C8F-0C4E-4DE9-9F1F-DE3B8A5FCBE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59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9648D2-B50F-4A76-BDFE-7F2595A3DE9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59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B9D766-912C-4199-A884-25C1143679E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59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07BCEE-F0A0-42BB-B26D-7B654A92650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59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EFD9DB-32C6-48CF-B43B-2CE07E2891E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59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795C9F-4134-4650-8815-7ADFA8CE80D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59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558FEF-DDD9-4E81-AC35-39A5E44AE09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59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BF12AE-1E34-4B68-86AE-CB329F0E06C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59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EB0F47-C1F4-4ED9-AC4F-0BBAB5427E2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59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374A12-56DB-4DAA-836F-5143226E7A3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59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94C1E0-ABFF-4C5D-9C3E-2F50B7D221B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59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D2AA23-2215-41E9-8E21-124ED20D962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59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12F46A-24B9-497B-9A3C-E1156A66774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59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68BB0A-C64E-4AC5-9AE2-C34EFF99EDC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59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1C399D-32BB-4F26-BED9-25608B44D08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59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D5F390-AE58-4E81-8CBF-8D7E5FC5BAE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59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6D5450-45B9-4888-B5B6-3167437FBD8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59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5D6AD3-7327-42A2-B559-E158CBECC2E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59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DC70E6-ED7C-4313-B4DA-5291DFD93E1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59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2BB62A-D0E0-4147-ABC1-0239821583C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59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675836-FBBD-446F-A5B8-E235D464F39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59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319EEA-6C07-44F1-B8FA-4DD9B4A810E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59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BB525E-134C-4077-AFAB-12725C16186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EA5BCB-20A1-4BF5-A979-8D9B2EBD350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AC8FBF-D89F-4491-BBBA-AD57FEC4EF4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79FB0B-34F7-4B62-979D-682F30C0757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69DF8B-23DC-4B8E-BFEC-79708CE1B3D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42F2B8-C80A-496A-830D-FC38C82FB2A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8652CE-CC64-40F8-BB57-021984BF4FB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CFDC84-E579-48B3-99E3-3C8D5F8DDDF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E9563A-1A75-4118-A26D-138742298A7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B334D5-3589-413E-9411-9CF2289357B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883D4C-5B43-4383-B88F-E54D2B5B1C1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A2E00E-59CE-4E45-9A94-33F031674CF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02602E-C04E-45FE-B901-1F38B452F05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23CF87-06F9-46AF-BB36-E36925447E0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80A3E7-F59E-46D6-84FB-A2783197843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9D4540-C9A1-41B4-A186-358C1A528E1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88AC36-FDE6-4E00-B9A4-43C4999FBD7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FC0BE9-0C5B-4FA5-85D6-17E477EB746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C40274-E513-42D8-8330-DBBB5CB6263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752E5D-E928-4ED4-BD85-E0DCDD37A69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3EC915-DB93-4116-A4F4-682FE24B605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2C8479-91CA-4095-9BB2-126624B7D11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C7B17D-1500-4A60-A330-0CF2C7BBF6D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DCC2B8-1E8A-4993-8B77-131DC69E28D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96B167-67E0-4339-994A-C13EC1DF785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E735BE-E885-4F95-B382-80F402F0B48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B2B86B-E783-4742-9600-1247AD1ACE7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73B707-A566-47DF-B43E-E2F58601821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93253C-36EC-4153-B8F9-645E298F71B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9B6DF4-9FCE-479A-8F59-469EBF53C0A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878307-1166-4119-B812-FC278A913C9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787255-5E9F-4C61-9115-A35DB76591C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75A8F9-B2DC-49C8-ACDC-65DDE1E4A30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4942E8-A0C3-48F0-B378-21F22BB494B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A99D3F-7920-4C1A-B4F8-83A20D3CCBC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222783-B9F9-4234-A894-2DBA6984568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E4B1A0-0A33-4D73-A2CA-1BDAA107856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F7E083-44EE-43AD-89CC-55D71593CD3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8A747D-9DC7-47C9-9648-76236F62C39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4C31A2-7294-4A71-8F1C-5DAD570293C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7CF6BE-9CDF-4F86-8525-BDF267DAFA6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A5E26D-8B90-494B-901D-2972D47CEAC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FF1CD3-2C4C-4C83-A311-297EEE8E8E8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218FDA-B2F2-4DDD-832D-D7E53805EEA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12CDBC-221C-4066-BD85-8CB7AA5C0A5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E0C9E8-D452-463B-BE92-81AE6E7DE60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DB4782-F1FF-40F9-9D14-EEBF30A663A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FD7FBC-E141-475C-A692-2FC65709769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4F4CC4-A825-4063-9383-4A118D636A2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DCCE37-1524-46AF-9582-F5E7B06813E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F20FDB-3271-4DE2-BA8B-260D4A3BC18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0D6860-758F-4269-9BF8-6C56822533E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78CE0B-246D-4991-97B1-23399950962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C29B1C-8365-4B07-B48A-06C84290CFD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025D74-E660-4877-8B44-BCAF0EEF87D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3F164F-8EAF-4F15-B3F9-3D60746E010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2CC675-B1EF-4144-B667-0702E3ECF7A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65BC4A-0C34-4C6F-A04B-3975D2EA0E4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7F00BA-48F1-42D0-BC84-D5E8D2A11C6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D54E16-DAE4-409B-949C-B6976D4C09F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D60FF3-D0A2-4F03-BE7F-6813C5583EF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51C865-A3D1-46D6-8506-C34D858444F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51031B-4CC7-47C8-8E85-EEC88E59550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CCD9EF-FA78-43E6-B73D-6CF674A5503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ED569B-6BCE-4CA1-9E3F-0B7902B15FA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96DDDD-ABCD-41FB-9908-7179A0444CF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9DC3A9-A849-4687-B82F-1C67F59BB52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596B99-29DB-4BF7-BD92-12F09D36FCE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C6EA8C-A6E5-4ABD-8B82-83C02DAA3D0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281C57-C2A3-4A44-B9DA-335F310B0B3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33A094-964D-48C1-9C68-39EF4B686DB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F6BA6B-804B-4409-9FCA-BD3D3B169B1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D42E5A-A224-4DC1-9927-AE1E2A3B043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363FF0-4E33-4053-B527-14073ED6278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417D35-2942-477A-83C5-553E4538882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68CA91-1683-422C-9CF5-CA7B1DE6A3D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5CE037-476F-4A46-BA6C-5B8C8AC6B9A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4F04FA-0C60-4384-B21D-C38982B9F30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2D2C32-F563-477E-A7E2-2C5C825594B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ECC90B-4578-43F9-8035-B5A4259D8A3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8CD7BE-E6F9-4274-A1C4-000546BA11D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87A8CC-44F3-40D1-BEE8-9E498A0A5BC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72DB36-813A-41FA-9BC3-763781E0530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06215A-568F-42D6-911E-C71630CA4EA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604B07-16CD-4BC9-9E36-855CF0FB201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E9AE7E-02C9-42A9-B92D-90F8A925918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A7A773-8161-4D88-B410-631232DCD12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C522C1-43BC-464F-8906-E46DC72B658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1D92AB-E4BC-4774-9DFE-4C1C04B87D0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B0D031-7F8E-48B7-A0FA-CA4D4D5EA97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C1B8CE-CDCC-47CD-B47E-914A246A05F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94A6E5-B214-49E7-87CC-44CB391B4CB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256988-74BD-442F-998B-34E41499707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8D0E13-A03E-485A-8527-A2D35AA579E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6A4467-CE6F-4CF0-9666-DDC01DA298C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623CFF-AF5C-4C22-9A4F-3E8D863BDA3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21E6B4-2540-446C-B87B-FB5E2AA8E4D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6DD02A-9B2B-4220-8C9F-03F569CBEB4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9B88F1-868A-4114-9705-8B411531BAC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98B9BB-2CFC-49E1-B426-F6A94CE8DA1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0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B429AE-E234-48E6-A750-E092D738C77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78DA56-6126-4CCC-B99E-724BB5F8B3B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600471-2F77-4B9A-8E0B-7E7F03AFF8A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2F00FA-3BC8-4A72-8849-D0402104324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5505B4-FD29-4741-9D06-9C50AC6FB5A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0BB2FB-AD83-4C5E-BF76-D33F98630C4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654ED8-73D8-4C50-B430-4563FECE94D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C32D6B-8FC7-4A9C-9906-464AAAE3647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D4C494-4EBB-456F-A4BA-A4AB2D37043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6E74EA-01D8-43F9-B7EA-DB0468D9EEF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3BFA84-8489-4AE5-B195-B906D7CA37E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119824-D4D2-432B-B1EA-75DBEEC2847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B2A247-9761-461A-8E6D-46E306CA20A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CABF30-7E3D-4CD6-9D5F-FEF7A4367A9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2B6D2D-395E-4C63-AC67-729EB28DD2B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355570-B82F-4C49-90A1-04973B73914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F59257-7999-4DD1-AA57-5EF0E5D14AF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A26EF3-6B27-4196-8643-B02150C9F2C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C4BE1A-63B3-440D-B119-DFE6021B5EA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6B5C55-44F6-4829-AD59-3AC88D4C570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EF9A98-9CF2-4120-B7AF-80D021870AE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BCC518-648F-44E5-B695-186F6BD9A97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AAE44F-F8B0-4B10-8527-D9E23ECDFDE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DC9DEA-9582-4F33-985D-B5516C092C8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BD844B-0904-4144-A1FC-D8C9F9653C9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CF6EB1-9E4B-40D2-9270-E10A8EAEEC3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67F6AC-D274-42ED-A7B1-96C5409C2A5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912FF3-A91E-44A3-B1EB-092F4DF548A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306F59-3D92-4551-950A-149F54BBEC1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A166C3-84E9-41A6-B219-B5476E9144A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874DCA-DAA7-4C81-9899-148B20F6036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EB24A2-62C6-4169-9354-40BD27D507A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332BE4-EB91-4B8B-B173-07A2F1A23D6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25A83A-AD3E-480B-9675-AD5ACC4DB08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97F516-ED2D-4D66-BF58-D085DC0B435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1C823C-9F23-4EB1-B8DF-625FA3B29EC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48936A-4F7B-428F-8EB9-C468F9BB929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7A5CD1-735C-450A-8B2D-143335617F6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FF2DEE-58FC-488B-9D17-76B28F40D08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57DD02-44A4-44BE-82FC-3540ABD8B51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EEBE47-E7FC-4071-A0A9-C4DC40802D6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D1D38A-8DC7-4338-B368-B481CB63816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369ADB-16EF-420D-B36D-AFAC217ADF0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171F50-0EA6-4485-B84E-3897B28D6C0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3B7968-725E-44D8-8F0A-7104E5E05E4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38032C-FCDE-40F0-A24E-597C4A6136C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0C02D2-86F7-4A2F-A08C-0A8CB2AE93F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1E33BA-9EB2-49E4-AAEA-21E927FFD1C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0937CE-BA25-4BBB-BB2A-A40CD552300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274BE9-A218-4F7A-B95E-B8C0C10292D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840A3C-7075-401D-A623-303A9FD02EA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C013B5-E118-4EB8-91F8-CE1648E47B8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13F658-8543-4EC0-9CE6-8E782F031B3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82B89B-AA26-4484-B83C-A56C61DF3B5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AD17F0-444A-4B6F-A287-90312DA7523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BA467C-0C2F-4740-B2A0-69C162349E5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706ED9-B01F-4981-8B8F-2E386EBA1DB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F67361-4578-415B-8EB1-343143F46A6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03AD26-0509-46F4-AE48-FE791760599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C11879-2EE6-421F-9ACD-3EDC025CD54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9E39CE-C3C7-45AE-956E-66F5F3A2C70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D3E2D3-B8B0-4CDC-A3D6-5D83A79A4B0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F871BB-9917-4708-A501-6BC6B5B5DBD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4456ED-B76D-4024-B6B0-8AB58C0514B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D03E6A-FEAF-46D2-8571-1166D295848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B0B7D1-8318-4A8C-9FDA-7BD4FED3C48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0CF57C-DB72-4890-A9FC-D1D9D764379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1D64AB-027C-4BFB-88C0-AEC91724C24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716F8A-6877-4CE4-AE56-E73EEF3DBE3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DDECEB-437B-42D8-9AE9-731CB7E1D67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283C0D-38AA-4225-913F-44B37C44152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732DCA-F135-4D31-8589-D4CE0A156FA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34249E-211A-4D00-AEB8-A493A727709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CD5406-E409-405E-9150-95B535332EB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DE9A1D-F1F6-4137-91A4-9321374F8D5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94CFC2-754A-4EC8-8CF5-AF239AA3FED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166D43-CD93-4147-9EAE-48AEE89505B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B6B563-C9B3-480B-B10B-78394DBC248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68B6C3-5A62-4198-9CA6-D6D1E9850E5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18715E-08AE-49E7-834A-7338E89F500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131793-48C5-460E-AE62-66FDCE9A1FB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4FA090-0B1D-491F-A1DA-44970FF8F8E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B4E322-2C8C-4DE1-A13A-6739097DA2C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019E3F-537E-49AC-AC64-1E1163D80D1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CA7CCB-53C8-4E91-8EFD-C11239CF756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198C22-8CD2-4225-8AE6-44A8D87567C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A236C0-6AD2-4903-9B5E-CBB5F67E0BB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11B2FF-DA67-4973-AB94-FC19B225C6F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4DF460-7DBC-4AAC-BE08-A8BD7450B96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D39897-A0D8-452F-BA58-67883258E0F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D5AAF6-B94A-452D-B720-CC5A827C8FB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28A157-65DD-42C9-804F-CBA05F2CF70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3467FA-04A6-44D5-B2F9-F8F4683B108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A958B1-C798-435D-B806-B24CDB66886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681119-72D8-47B0-B2A1-D5BF2F4084F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22BA5E-558F-4EB6-8715-9E590EFAFD4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4BCF9F-B741-41D0-8979-A7A61953EB3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4DD9F3-2373-4D69-967A-3F2FC203864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8EB823-9BB8-49BB-9D92-CA85C99BBED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12E095-2D9F-4181-A1F8-69A4977D638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1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51503C-DB96-4DC9-9372-78B46E2F391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747B0C-1BD1-4562-A0A6-32AD93ADC37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C5403D-1939-4C54-A509-D5FA0DA5341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E186AE-5CBD-42E7-BD5F-09A8C7A8A79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C0AD33-3639-4FB8-AC65-211E2A0C54C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9FD412-4BD3-4BB2-A248-09318C4C1D0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997A23-8ADF-4E9C-8B08-9D82270F1B1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9E1137-3471-4E10-81DF-BAE2D66EDC5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4F2971-5F7D-4E1E-8B23-41ABE13D0F3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27D5E5-F814-4EBC-8177-75DFCDC0AD7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E686A4-9560-4C3A-89F7-C1BA64B55AF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503BDD-524F-4F46-8554-40E10925F1A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083716-EFD0-4E3D-8D12-D817107FBA1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916B1D-BE78-4F96-B563-BE1F0056B2A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126828-8352-4651-856D-9EBA8F99FE3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49FC12-6BF7-4C5C-963C-04243CAEA2D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E02D23-C80F-4585-876A-F8E1386C8DB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4C2879-6FDF-4C14-A83F-69AA8FD977A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8BE0C0-FC5B-4FEC-A4C8-0B66180999B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EDE079-B682-41C6-BF43-2720DE9EDC2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8E50AB-C6C3-4D7E-AAEB-898997478D4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B264E4-8DE1-4BA7-A8BD-2E7909C040F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0F363D-6027-41E1-87CB-9CC1724832B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173869-AA10-4C44-8ED1-3843604027A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B2E4D7-03A6-4969-AC3F-0539DA53F6B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5D71B2-33E6-47E7-ACAC-41BE163890E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1E7183-E91B-4852-9BB6-0EFC4A84EC1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D43FA0-B500-4C29-A617-A776E249F29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C9FDC5-0719-408E-8ADC-99552A51FA5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F1936A-14D9-4E15-B886-4AD7FF56EAB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E1EF50-7F25-4DE3-BD8F-CC599AA0EBF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547D0F-D52E-4CF7-969D-E5B04683E4A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3DF2D4-4D9E-4BB9-8D06-CB77203C0B3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3F90DF-3D10-4758-B6BC-1346B2F3A50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FF1C44-9EDB-4993-ABAE-7911F8EF288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2B6126-3D06-44D4-9EC0-03B16CDEA59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E7A6E8-E1E5-4B22-A07C-B6F076DCEF9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6CEE33-CDBE-44E4-8DE7-699492DAC0C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10A4C4-22F0-4BD3-ABD1-450C6FD145B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C983CD-EE1F-4C02-BC5D-541C6F09C8B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80C46D-9798-454D-ADCA-CE62423A096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467DBB-4930-49A0-9D77-F8318A29E4D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799A23-F833-4009-83E0-3FE56A948F9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4B27AD-7D46-4F6E-836E-6A8EBD405B3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F5204B-9A33-4BCF-AE15-F59D75BD8B0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1A0F97-838D-4C2F-9B1A-E7E79CE568F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37A4E8-8F6E-49C5-B0CE-4042873CF81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A490C2-4F22-4990-ACF3-D987499F855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D59C4E-CBA5-4096-87E2-942C467AE7F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01A1CA-C2C2-4A4A-B6C6-8C4646141FE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399BF3-82FA-4B29-9B1E-878A7F7E1FD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5A316A-C8CA-47FF-8F12-407796AEA19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D841AF-874F-4456-89D8-AAF13504E8D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312A34-1ED3-49A7-B4D0-435C64F2A81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57844E-34E0-4670-9C24-F824F4486EB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9FA37A-3CC8-46A6-8D63-56FB2799AF0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C208AA-F03B-4E50-AB08-64275F92BFA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A43D8B-193D-43FC-A96A-DAC40CC1DF0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5A84F8-46FB-440B-99E2-9B9B7009A23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E388AA-BD94-4352-B363-E579A26DC9B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06B2D0-3DDC-47F5-A318-23C37ECBFE5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0113EF-F834-4C4A-A6E0-BD86990EB38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CCDD9F-BF41-4410-BA7D-82E2EA213AE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DF528B-C3E2-4370-A22A-0BACB43BB6F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EC414F-1ACB-4C81-A8EA-7735C810938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CE8BA5-BEDE-4E77-B48E-DAC7ADA77EB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816687-B726-48F1-8E42-EB8BA5FCD08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7B1685-6178-445A-95B8-8D9BDB3069D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953E3F-CDA0-4784-9B20-8B6C2DDAA9D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1BA4D8-066B-4F19-8014-8E7B65B307F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AF8477-4363-4E6D-8AA2-786B4E0D6D1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B7EC74-DC0F-470C-B371-AF282346CB7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BF568F-D248-4C59-8F94-959492E0E9C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3E64D1-F210-4B71-9FB4-24F814D1D5C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46B75D-62C5-483D-BE92-0730A1935BA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214CD6-B0AD-49C9-8513-5AAB18BA4E1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321BAC-4134-4DF9-B5A4-EA0AC3F9E5C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ED46F3-3AFB-4E8D-90A2-518610ED421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2ACCB9-9B42-4FDB-AC83-57AB38869A1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4C7297-C0EA-45F1-BD83-49D9688D25C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4EB528-4801-41CD-B6AD-1474D92FADE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0A32F3-B0C6-449B-AB60-2685F1B93FC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F41904-8ED0-4CEC-8331-895A51A612D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6C89DA-FD36-43D6-BABF-DE7AD01C3DB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051FBD-DFEA-44DA-85DC-46EE7CCC6E1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5FAC83-F6E7-4AEC-9BC5-09DDFD6F160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11D524-A12E-418C-8071-EA7E98CB866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970B4F-95D5-44CD-A7E6-B5961C42D9D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D24C31-9CA8-48F0-87F1-C02E85884EA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A34AC6-26E6-4BE6-9BB6-E66FAE25D17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4A666C-F3A4-497D-A84D-BF545B74C88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2FB383-83EF-4522-9F85-F2DB86F46EE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C53A5E-ED4A-464D-944E-5BF04F1F879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EB8D5E-44B8-4C3D-BB57-39C5B2AFDAC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C304F3-57AB-4DBA-934F-D3232972231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3C986D-03BB-4A73-A378-9F62753E12A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680A1D-DFA1-4600-9109-28BD16E2B2A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F8625B-8715-43E4-AA1E-3B73AB2C266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E5165C-B883-4D2B-97D7-240E2D1EE38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1D36D4-0C93-4504-93C4-D74406AB05F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2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EF1479-61B1-4E8F-B4E6-D6647FD86AB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B0084D-2E10-4F2E-B8F7-3E446E4DD51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02927B-B33E-4A1E-8B33-BADE95E2A99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DF8018-F66F-410E-B666-F9F6BFC03C4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9258B3-7A77-40E3-944D-DA25B5092A0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D0B979-1FAD-498E-BD32-ADF5964D8C8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BB0534-D533-4816-803B-14DEC3A96BF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BA6BA0-DEF0-4BA6-8CEC-C178CE252D3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67A67F-C83D-406F-AA37-BF45D88544A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316AFE-289C-409E-8188-A6F9BA4279F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79D093-D35F-43B5-970B-C391CA9E83B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B247B5-C1DC-4231-87A0-3B6BA993CA5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A5CBC8-CE98-4939-B9F1-4567BDFDFAB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216572-534E-483E-B1AD-99E100627FB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A4094A-542D-450B-A7DE-96053AA8172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02CA1D-4571-4EC0-A7BF-C0FAA430BCF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741C76-A6EF-4F5A-B743-CA825E79C6F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8282CC-4B77-4C5A-B2C1-C65F18A9AAA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F2E852-7812-49DC-B03B-84528FC8262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9C0601-33AF-423C-B047-7CC049F504B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85503F-AFFE-4EC8-998E-6B0A897C60F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740DFF-DB3F-4044-BF31-EE8E6B91208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87FCFA-37A1-44D1-8A64-E17FE7A4941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B41AC1-301D-4549-94C7-FE4D8E40A16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058185-CE21-4E02-8716-4D7A9A7A960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C54576-92D8-4175-A10C-179B43CC232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EFA48D-6E3E-4EB1-B0DA-F90977D0EB2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42802D-0F5A-4F82-9975-CDEE1AA5951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FE5A34-09A6-433B-B17C-873CCB460F5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BF518E-B31D-4356-B92E-3D2FF585B2E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C17A10-67D7-4783-916A-77ECC909997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BB61B3-7C31-40B8-BABD-78184DE3547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32301A-B483-458D-9E45-53FD55F8F1A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014BD0-CC7F-4D9D-BEBB-EA7CF3F9CD8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1AA01C-A4F8-4F28-BDE7-DB0467D93B4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989B69-9800-4102-9240-1E0B55B9B44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A1E25E-CBBD-4A56-9D8C-89C093DBFBC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3ED90A-03B5-40F6-9958-944365D716F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1551AB-B830-4440-8189-199D077734C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CA3951-CC07-4189-A31E-C63EC7D041B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19E782-579B-4172-BD33-5FDDC66EA64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EB4613-37D5-4C69-B313-6C01BDE6D2C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02A9C8-1AAB-45D8-A4D4-96CA8A69264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DE078A-EBBC-4E53-AC82-3F27E4DA17A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08951E-F5B8-47A0-B836-B88FFEE7928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1AB691-AC18-4687-B0D3-E4DF4C78EA4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2C0C15-8607-499A-8319-C195429AFF5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84C9A0-CAE1-474D-8FEE-7D7096369D8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F42C76-A69C-4143-A6DE-3D2E3265A6E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0FF504-7AB6-4EB8-8651-AF77E9FF0FF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657D2E-2261-4761-B8AC-816827F2B3B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A05374-5E40-4E05-A013-F74F540E1D4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B425F6-7F07-494D-AF23-A79034DC4E3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98F6C8-5E3C-4DFA-BC85-27D17618B73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56EF62-5B02-4BBB-8098-20F1B85C4E3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AA3F62-0F68-405D-BE02-8D2F4B96857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808CCB-419B-420F-A282-4980A3CF2E1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CE97F6-6466-486E-97B5-CA2462CFF3F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C7C498-07E9-4A0A-91BF-E502A7D6F6F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19E81D-3652-4591-A956-EE50863D9A9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2F6FE0-09BB-42F3-BB82-07E9B5A13A1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30A6CD-DCAD-44D9-A5D7-81B0734AFAC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6E7E04-8BAE-4D34-95D2-BA0D12E4B31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15B0C6-81E3-4E88-8F5D-5F7EAE8439B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7B2A3D-8A7F-489A-9252-FDAC84CDFB0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F1D278-E9C6-4F20-8067-8F9A58CCD0E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9274C5-3E03-420D-8334-12BC14AFCB4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09E424-51A6-461D-B1E6-147E82B5CFC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99896C-8A16-4036-8758-86BD1F48B4A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DF9EF3-DB49-44C3-A558-86454104755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6F8116-B6FF-4560-B07B-4EC3EE4247B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05FDC6-406A-40F8-8F0A-FF72679F1BE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7B24CC-5B30-49F0-AEB7-615AE61F33F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6B19A0-E5D9-4DA3-A5C8-3F2C03B3C1D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E7EDD4-3E23-4C47-9A37-CDE1BE4F9DE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6AAAB9-C810-48E1-BB9B-55AA4F8CCD3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14D5E8-2467-4EC6-A6AA-886CE8F8444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B4DD53-AE56-4F7F-BD34-EBE257BA6B5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49D6C7-E701-446A-A1F7-628D0C98E9F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B2B0EA-CFFC-4290-B92A-CE8F034D550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F68538-38D7-4296-BD82-3BCE18EDD7C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F41251-A8F7-4238-8B94-ABD04372E6D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8EA2B0-9D30-4DC7-8848-B1C05A1E477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C12FD8-672A-4E6A-86B0-29203DCD68D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FAB1F0-5BA7-4152-9397-BA5A685BAFD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9FD377-A956-4447-8745-0AB94D392DB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1C2B41-1511-4CF9-839B-4706810B29A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7EB5C9-9BFB-4534-8017-F6B8625477D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D3A37E-E5DE-4EBA-BF0E-ADCE39C8A8F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AE9B58-66AD-499C-AEA3-283AF582841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9D99C6-0948-49AB-9C23-CB2F404A753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7B6EF2-1E76-43CA-AE75-A176BC32FC4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2EFE9D-4108-49ED-9840-7E8FFE5FDFD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06E2C8-7E13-4BD7-BF8B-59A28010583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5BAB0F-EE23-4754-ACFB-2B42EB912DF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CCDAF4-0318-4EEB-A322-8FF7A1016F4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F13622-B62B-4BC1-B615-F97636F5C65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A1E9B7-D7D8-4F48-9375-1987B65F3B2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36EED7-E140-47F0-B0BC-4BA6472D796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DB6A99-C260-431E-AE24-2C7761181B3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3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E6D5CA-FDA0-425C-92A7-58E6E18F8A8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D6452B-1DA1-4677-9C39-EEE1231EC2D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A8A58F-EA35-4144-9DE9-AD8701E53F7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4112FB-E166-4B50-91E6-81BBFFBE7DA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04754C-91BB-4769-A70C-C4B55801FCD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BD132B-E7C5-4445-B71B-3356EE54D37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31FD5A-4467-4F5D-A8AE-F25CBBE9A9D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B71BCF-8C58-4236-8F6D-D985D3E14C2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4C648E-083E-4EC3-95A6-652E0385254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EB5DC9-6991-4E2F-A9C3-2031244F774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5057E8-65B2-4ABD-80EE-5E63FF6A02B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1680F1-3081-4872-9FBE-5D03137F034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78D97B-0BF2-4816-AE4A-463943AEB3D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8DDC1C-2014-42C0-99AD-FAA58899177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D5BD96-5ED2-4C75-B99A-3A4923FF05C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1C4571-7AE2-44F6-AF53-2CAEDD6FBAB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255339-843B-4EB2-B05B-46E38CA8787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995466-DFC1-4B71-AAF9-B6370638BFD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5B64BE-9146-40B6-ABB3-A1442881CEF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BA7F7F-20A7-431D-AF96-2923ACC4FB3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E5FBF5-EEA9-48D8-A0E7-BE912FEAE55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067634-8775-4A89-AC7C-451FFC582FC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574109-9BE6-4BAE-8163-0FD847AF910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EC6AA3-7FCC-429D-9691-D4EC8877A98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430A29-1588-4A68-A406-87FDA7D1159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E760A5-6BE4-4369-A12F-4CE9BE2A270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CA85FC-9988-4427-92BB-5E2E4B40D7D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49DC10-BA16-461C-A8E2-F4B45EBAA5D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03FF97-9A08-4F6C-9E5D-B1C4EA07F3A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CAAAB9-241E-4AA2-A4AE-5CC2819B668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1EDB8E-48E5-41F4-B75C-B999230292A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D6D101-5F7F-40C9-98F0-8669A5BED49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EE9690-EBEF-474F-9C58-2D677CEA5A0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A95F4D-0AFF-4CD0-BDBF-3D742E38105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2FD299-2CFF-4DA8-B957-91FCD78DE17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720348-E01F-4B0B-AF87-7487CC5C65B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4E33F5-7C35-415B-A2CB-9EB3932CFE9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E15785-B536-44EF-87DA-56BF8B251F0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A1EBA8-4861-4130-A887-3F09895D7A0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AFFBAB-5B55-4B17-B6EC-73B084E1B60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3870EA-2042-4E4F-BCAF-2B1C1ABAFD6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F15C4F-D5EE-4C2D-ADFC-493EB892615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721B01-6138-45DA-A639-BCE1EF1F58D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4F800B-B5C9-48FA-8AAF-0006753E9E4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1D1A1B-4122-4F9A-A9ED-7A3A9B285D4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5861C1-356D-4677-952F-117D9CDD416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D94A57-6607-4E9C-802D-A8593568D33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5ED272-3306-438C-A2CF-5AC5A1ED698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FA01DE-8370-401C-BC2B-C7692B40537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9805C1-254E-4A01-A398-B752D8ADE71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81568D-4EA2-48C1-8583-7A82C29C8FB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AB58A6-ACD1-442B-9458-95F201DB3F4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BBA48B-7DDC-4FA3-A96C-7C0175DCCC1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786355-060F-42B8-AA2C-7F3AD0754AD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7183E0-4A48-45A5-A554-0541D503232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23C984-8E7F-47D0-BBDB-143931CC0C0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7A6331-CC68-4209-85C0-3844841A95E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96E94B-F07F-45BB-BD1F-613A078B48D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DA1D78-E4A0-4BE8-AC72-7EAAED8D93E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A5B87D-7745-473E-9AF1-4992988C61C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C726C4-4E1C-4340-A276-A3E587A4635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A8BB7B-31DE-4685-B232-344BB089DA8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A922FD-255F-4FAA-B427-AA4FCEC5B40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A48F0E-9A27-4D89-89FB-7DDD7150D69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80B4E7-B0EF-4AA9-9F67-B8B3648B655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C6D413-684A-47AE-8E37-4ACA44994F0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7EBB58-A207-4883-B19B-7277F07D499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35E465-A1AA-4BA8-B168-76617388EEF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808E25-0889-46F2-8C62-06C869AD164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2B6F49-B052-494E-A243-9A262C2E17A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64BC73-395A-485B-9B9E-83D4F90C8AC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BE595D-18A5-4157-BC7E-7F3B773732E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3D09BB-8A43-4A63-96E8-66C069D4618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845426-2392-4F61-A846-7B0BE1456FB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267F57-BDC7-4E98-9156-E7797DC107C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23B1FA-07BB-40BE-8A28-6074B35BCC0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C59564-80DF-4BBE-B524-82B74025CFC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3AE988-731F-41BE-ABB6-138677CB768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A99A17-FD03-41CF-BB2E-A045E47E73E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3E70A8-0A9B-4927-A4E1-03C9D3B4196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1248A8-7EFB-4781-BB37-329F0D5E457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F3C544-EF5B-44D8-83FC-BFAF8B3D7C8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9750C1-B09F-42AC-B481-A9697C51883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E7774A-33E5-4B2E-A774-E96EDB48091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E93C70-9E96-41F2-8824-2762CBCE7AD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834BDB-91E5-49A7-9AF2-CB4C669A672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82D3C7-3726-4264-A7D5-A241C16C363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3D3749-EDAD-4D23-BFA7-3B787F7B0CE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AE2202-27C3-4DD7-A77E-CD16DC6A27E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D4ADCB-33A4-485B-A5FB-02742A57A33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BFF27A-D857-4D7F-B727-A94D4CC70D0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EC1139-B2DA-4C8D-B621-9C397EFD4EA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3442A6-E50F-40EB-9FA9-F4FF43E2A8D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449FF0-D966-4828-B52A-E69E53B1C60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8253A6-1722-44DE-A322-F5C66846FBA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39A563-C957-4DEC-B80E-02A0E155772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7D4018-F2CB-43E4-98DE-3C351E91CCE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BF47F0-4134-4F01-A3BF-7F0F193E5EB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12051B-B4F1-4823-AA21-AFCFEBDEC22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6B8D1A-B521-4F9E-B97F-5B9BD4CB7C8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4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0950B1-D97E-41C0-8375-825E703C01E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33936D-921A-4C9C-8C0E-7E8C6FCBF60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ED9A12-79C4-4F7D-832D-EB4EDB75667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9D712D-BC9A-42AA-B2BB-5A6E11B5EFF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1C5510-9EB3-4E80-86CC-D0105A800FC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6F3D95-F047-48FC-8D30-7D7F13A6926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9EEA2C-EE7C-4CE5-88B8-D32F2321E08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779C41-F3AA-4F24-8C5F-6D3D66B6C12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8DEE9F-F60D-47A1-8850-ADA4980A1CA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F146B3-0465-46ED-A1D7-DA063719157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BEBCE7-19DE-4EA5-8BE8-7B5AFF347F7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B12BDA-8025-4181-9045-0FCAC2CF856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CF00B3-FECE-41B3-BDC0-EE07A735B5F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FAA269-0158-4FC8-8489-BC755BA3698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1B6278-8F21-4D82-BC65-F3311D84F56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9BAA5A-5CAE-4C55-A9CC-312804072D2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788338-1898-432B-872B-B27758C766E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273735-E79A-4575-9703-93F1A5BEA0E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7E060B-8166-4E2C-8410-8148D8F6837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79F1D3-90FE-4616-AEA7-EFA7B7FE37D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860F6D-1164-4A99-B5AB-582BAF3770E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4AAB2D-5C94-4368-BF7E-D55938B26D8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EA9B0B-1559-4EE2-B2C7-67B7DA017ED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A137D0-E055-4A19-9F92-CE44ADF42B8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EAA824-3271-44F8-A234-8DCE630E362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414A17-1F25-45A9-9F32-0E718C93229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C56751-B19D-41D4-906A-455C1E234A9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90F797-919D-44CA-BEAD-99EFF85EFE5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62416D-94C9-4B4B-BD40-68575CDAFD1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5C7BB5-2F3B-40A0-935B-2C559B3BEEC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DE2BC0-78D6-4B49-B2F1-BA5A77DCE5B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42004C-BBDC-419E-ACC7-93C653D6D2E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97EB30-FEE5-4AED-A6A3-6A0A95AB405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3A4DA2-ACFC-428E-9AB4-940ED167BCB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03EEC7-76AF-4CC4-96A2-54B22A21F53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CA156B-768C-4299-A265-EEC3466A83A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1D17A3-06F4-4F08-88A9-6BEBD823339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811F3F-80F2-48A6-AFD9-C357545DA95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AB2C82-042B-4103-B900-614A21861BC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C90591-FF9E-45AC-AE48-14F440BB959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E00909-EEED-4495-A737-E56C65439A8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A0338E-4C91-43EE-90DC-3CEDD304483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69135D-53A6-4582-832A-17432D4F073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B5B09D-A556-491B-A393-B873307C250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799A26-AA0B-4FDC-9AB1-AD4C59F2187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CC5DEB-55E9-4030-9868-AB6FF43BDDC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5C5965-2C94-4228-8F97-12322A9D830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F9736A-E231-41D7-880E-1FE35BC0223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19D314-D57C-4162-8767-32FFEA2D03D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19F288-3364-444E-B568-0E4C11BADE0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7B1003-A7AB-4FF7-888F-2A1C9B3E796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43F1BC-66D8-455C-9A6E-204BF57F2E0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2B84AD-B2A8-4AF8-BA61-51675717336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649BDC-8263-491A-A5C2-6E71E87B5EB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BA725E-4016-47E3-B402-DB9B2E3DECA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3BE844-4BCB-44D3-A8C6-7B3DD3372F4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C271E3-37B2-4CA2-BECD-860622615C0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004CDD-3DE9-424B-9D47-0C84CFE04D2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A5833A-F5DD-4764-B493-4022AE40FDB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398C01-5222-4453-8BF0-9D5143E1966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26A466-C879-4AFD-862E-9E794D9C235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64F1F6-270D-477A-A873-ABFD313C8C9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7768AC-5247-45A8-BEF7-86BFE4ECEAA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43D7A8-3C31-4F2B-85ED-EBF2BEE30DA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472069-AA1A-4C3E-9884-6874983B129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A02753-BB27-4FBC-9E12-B7DADA9062C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B458A6-CDC6-458E-AA5E-6AFCE0CDA2E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6F973C-2662-48DF-A8F6-C539D5A9DBC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8F86EB-E100-448E-A44F-88DAB6DCA2E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079397-2B48-4476-B4E9-AA0E22D1C9F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3C19D2-98C6-49A0-B6C0-6F3E9F5B878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50652F-0107-478A-A06B-DC583843C8B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C26B98-B741-4A73-A611-FD04FA74C22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2F8C2E-4D74-4A46-9E2F-665923E1F8C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D50D4C-278A-4E1A-B23C-1CC160159D1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4C55B4-583E-4905-8A87-5138826654F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916D05-CCC5-4D29-B593-3FC14C0D5D0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FEB154-6A13-4553-8491-2B99634E309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37EE2B-2F77-4F3B-BDEF-817F90CFB1A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A0DE8C-1A63-48DE-A792-E3279A3939E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4AF2AF-E410-421D-B0A2-DA255FEA8A5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BF01F3-55C6-4A9E-AEAB-1C9D5AFCA5F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4F9097-68B7-431C-BBF0-426CE740BE2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0B8BC1-CD72-448B-B1F8-6A8A2767457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9FDA93-84E0-420D-9529-C8D5D53189D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EFAC92-1EFD-4C30-A640-7F724553928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D5FC8C-A643-413C-8365-FB2A1FE9363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E725FF-2EDF-48C5-826E-7A53214ECB8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A7C3B5-6777-4BC7-A562-E0DE8F939A9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A117F9-97D8-4BE2-ACAB-68880DFF3A4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118F59-5002-4599-9145-AFF2ED8FF9E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095877-1E73-42F5-95E5-B26E8C52FF7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A1C04C-EEA4-406F-83AA-C3A65C19801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744E6C-F35E-4369-A617-AAA08C21904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0807F9-A2BF-4EA0-9B3E-15B207765D6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8C41D7-4CE9-494A-908D-04BE1B28B66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1C97CF-3241-4A07-8C69-B5D140FE849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7CAB35-D0BC-47F9-896E-BC676FBECB4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B10CEE-734E-4192-BDAB-2D23BA06EC0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F8D72F-EF0B-4855-BA81-B22D15D78FE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5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6317FF-6DBE-4DA3-B002-8F8EE29EB83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97AE9C-FF43-439C-BF76-D1DC7093EC3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4B388D-F114-4742-8CAE-95BC19997E6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436C72-748A-4F4D-AFBE-991CFB480A6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F37570-7878-4156-A672-33528019574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0C33C9-2A62-43F7-B8A6-175D79F63AD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135655-B15B-4C5F-A0F1-E5D2E1EE586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7FFE03-6B13-41B5-ACA4-9C7EA1A85CA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C3F641-A500-4BAD-8874-A9F2CC49450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4BFED5-8AF4-47C7-85F3-09E73A701DE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41FD9B-26E8-44C8-B32C-329B836BAFF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12744C-AD5F-4EB1-8576-35602461062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7704A9-96D5-41BC-8A19-12CC364A88F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853DAC-1EA9-4AAD-B924-1C1628284BC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92BC9B-9549-4CA6-9EBC-9C1878A4D13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7A5C3E-D431-4CB4-A59A-3340FF9910A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024B90-87D0-4AC1-9B1F-2E68DC5E0D6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6E8A51-6B99-4CBD-8E66-85D3E699E45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4F893C-7345-421F-A095-AF96457C3E5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DDE89B-937F-49AF-B068-2F8EBD12314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14CDC1-6264-457A-A574-D5D34A40E94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33E8BD-15E0-44B6-8F07-432F5B11D8D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510A19-5A5F-4952-A00D-BAF43F6DB5B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2CF43B-D369-4A34-B2C9-B3B97E5CB30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8C8791-5F1D-4908-A48F-637EE14BFF3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1BC6CB-E4FA-4C02-8527-9B2EFD5C761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3612F7-2C91-48F9-866E-32FF42F5AC9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C87F1B-2070-431E-B6F4-47F3748302B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459C50-7F29-4927-81EF-544B441B479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416419-31EE-421F-8B18-55E9C78BC97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7C0714-4810-4A04-885C-A0BC3543065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F95697-386E-47E0-A381-F1FEDC345A9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BE18F3-9804-4E52-9442-EDEC8957E04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570789-6A37-473F-AF49-FB0DD3541E9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6D4EB4-5FB1-4456-A859-6BDA8901336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288BFC-3D0B-4946-A599-DB0F5E17A9C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FA4AE3-B1B1-4773-8919-E22AEADB801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BB0994-8977-4DA3-AFA5-48036378028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1A57D4-9F83-4E9D-8A4C-027EB874941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5686D6-BF2D-4EE5-9480-D322EE43862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A36401-34CD-42CA-A10A-A8B8879DB17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E87197-9EAE-4B73-A8F9-394DCEDAE7B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4F462F-FD46-408C-9D73-42F9EE1E621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6B0CE2-DC1E-46AC-9D8B-42F2B57667B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A59DA7-684F-4D79-AE7D-95B5E347F05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89A18B-8D46-4F47-8424-9903AC639B2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4BB821-5487-4A26-8565-2F046C73EC7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9C82B9-5EF6-4804-988D-0607DF690AB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C9C6F5-3F66-4FD4-B84B-8B1C881093B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A18401-916A-443B-B18B-E88CB65D1F4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EBDA36-38FF-45AF-AC0E-E851D714D68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9B0DB0-50DA-4FA1-8630-69E66D6ABCC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9875CA-1A5F-40AB-A0BB-64554B01A01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40B350-B8E3-4C3E-B541-19ADA168574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0069EA-2196-4E8C-AD4D-A023C0339B6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A854AB-A81B-4B4A-A9EC-2C705B7EEB4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16831F-21A9-4EC8-8589-5DE8133E089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8E62B8-2D10-43E0-BC36-4ED87C18B73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64232F-0C37-444C-9AC4-442E01738EC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1F0C6B-D596-47B6-9EA5-EA0BC976161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AACDAD-B74E-4784-AEB1-061C844570C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BA3DB6-3D9D-43BD-83F5-6F25D464990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0F4E8C-7F58-45BC-9239-A3CBC96C51C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60F07A-CB0F-4C4E-B3C5-2B34F3D3FB4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A7BF43-A15B-4D8D-89D7-74016A2B6C1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7EBFA4-E12E-49E0-B939-D828F78FC3A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9F60A4-8192-494D-96E9-135C059B24C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686290-2337-42F8-B8EC-D2E10FC6223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E2BE9F-3E9E-4B80-AB3A-0C646A76EB9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251F95-ED8A-452C-916F-313C24FF538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00F8AB-6CC4-498D-BDED-47E4D780A56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71165E-D223-4BE4-BADB-BAD1EB04B4B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1D93F2-E412-474D-AEA0-8F4C68EC550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F5E864-A1CC-42A3-AD70-665E74648E4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2A6C03-23B0-497E-BFDA-D5C5A559176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783411-E372-4A97-A917-98FE4610862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A77567-8D64-4B0D-988D-0665C53DD5A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326A7D-CCB4-40F6-BB04-4FA9F117355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C47875-227A-4099-A748-9AF285C0F2F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84D7C0-1F26-4B58-8460-9096E973B44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07440B-10EC-406B-AA50-6BD2DC5D55A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CA58BA-BD7C-414C-9800-2D090734366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75D75C-4BD7-4E08-BA1B-34657CDC92F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F194AC-3184-4BD7-86D1-24515C66CB4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685422-FAAC-4DDE-BEF0-9E5C67DE9A2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709FFD-7F5E-4B00-9250-1E03E7CB722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F6E100-CBEF-4FE7-AAE5-28F81F8F1A7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00A209-32C4-4C5A-B2E7-9AE296EAC3D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34454B-E2E7-4C56-ACA5-50F4790D614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45C848-90B9-4276-B4EF-96A1E940BB7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E5A761-0A55-44EA-B018-86D9D1D9845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0AE3CB-0C61-4A72-AF2A-11748F01342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9679D2-92FD-4081-9BCC-056A3A355E4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A3741B-052C-40EA-A163-711FBABB443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ED1C1D-2AF8-42D5-8C67-C4CE2223526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D9F9F8-6A8A-428E-88A2-37BB72E27A8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50A5C0-57F0-47A6-B431-6347F73955C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C1421D-80AE-4CDC-AD24-FE607BF3A77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647DCC-2FFE-4B9C-AB1E-E9F0C8969D3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8EFB32-8005-4A86-B2FA-3705E6CBD89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6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145A1F-DD16-43B9-A222-0D44C60D037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4D433C-AB18-47D2-95D0-3F977966D66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563432-F17B-47A8-8AFC-AB17EA16FF0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8FB4C9-39FA-4DC1-8BE8-292F708924C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08977D-F067-4F34-ADD3-09FA3013153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C9A68B-E7D7-4510-97F1-876A67BE56E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2C54F2-A067-4347-9FD5-3A2420543D7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6F626C-9A64-4DD9-BD09-D17A9C2736E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558231-F38A-46A4-9309-97EB5123D38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936356-9958-4C72-AFA2-B7453DA0BBD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49904A-7B34-4751-AD43-21B5A21FB05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FCEE16-47BC-4DD6-99E9-318AAFA8B52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EB1C0F-26B4-4BF7-8094-177AAE59A96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4478C6-6441-4738-A822-29866E00002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5D520D-80E8-4BE2-B7FE-A64AC3232EC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2EFCE3-7F1E-4DCA-92B9-2A23851C8E3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A8914D-0746-4466-AB13-7F94A8034CA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763B4F-78D3-431F-9A93-6E9814E2BF6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D7AA52-F5EC-43AC-8E7A-8B75697BD56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0A91B9-C8A9-4666-9429-19506AE566E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F67727-3441-43F0-BC33-9A90787F912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6DE2CF-F051-4C4B-9923-4D0AE0AF31B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062DB4-CB22-4C19-8E0D-B0CBBF2C108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EAEC2A-68B0-458B-8974-C7DCFDF6329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776BDC-7DBE-40EA-88D2-39E57666FC7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BA343A-84F5-4F23-BC42-45D486F6B07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741B3F-C33F-42A4-BE5A-650BDD24AA6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B5EC28-72F3-4239-BE64-F0030EB6911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F83702-34E1-4307-B01B-BE79CB549C1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981527-17A1-4155-9DD5-83E37EC30C2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4B9D2D-5730-467F-AA57-AB13A633C22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275FD7-328B-44AD-A139-1E928E06CE1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38A151-FD13-4E2B-80F4-A455EE841A8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1A046E-21AE-453E-B028-87D375061A6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F4E4EB-C6B9-47D0-B52F-AA576FE7130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F26B4C-9FBF-487C-A63C-3FC30A24C72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077504-1015-4711-9C87-2EABBA4A90C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FD8DDD-756B-406E-B51F-AFF98DC305C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BAE16B-8628-47DA-9B2F-74A8B3CF53E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1151D4-9F96-4BE0-B28D-87791AF8E66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DCEE8F-7EB4-44FD-ACFE-3EE90A1A1D7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810A98-5105-4DC6-8B6D-45A63A78981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8EA08C-D12C-4980-9499-5E985C535F1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F25240-29AA-4CB3-993C-68E80ED46BB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3CEEA7-7596-4BC1-9598-DDEDB3A8272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AAAE9F-F0CF-4F3F-B6E6-A1ED076178D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634833-74DA-4B27-ADDC-48300BF9176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33ECD5-24E6-42B6-A1F9-FED7367F5FC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971284-E864-4D1A-A1B1-7F71099545C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BF165C-CDAF-49CF-B5F3-438FFCF8AFE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3A7CD0-C7D1-4F6C-91DA-2B5BE61E4B2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772963-40BA-4F09-95CA-FD5D78EEBDC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E32981-DB57-46E2-847F-D743CA9F3B2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81E84B-54CB-4167-9024-8B64E4458FA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071C8D-5A5F-462B-9DD9-BB50887FF5F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3371AF-3317-402B-9B49-63B1FC614A9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A45654-5B66-4C74-AAE4-FAB1AB527DA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5B989C-AB41-4E98-A380-F4AC66CAC96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8D4FDA-FF89-49B7-B924-5FCFE4DEDC8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55D9A1-06D4-48A5-B813-B76306ADDA2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E7A1CB-5041-4A37-8BCF-DCA0F8ACEDC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0D4AAE-9C59-4551-8445-F354059ED51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08DB0E-44A3-41F2-94D5-5057F517D6F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A273D8-D016-4AA1-82EF-718CFFA6BC7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E2FF4A-AB5B-4270-83B2-151706BBBF7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85A6EE-C1AE-4283-BB38-80F80336346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677C2C-A941-48B4-A172-97A195DBE59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417CD5-6D7A-4DD8-8F69-DFF990F943C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08209D-7838-40C5-BD96-679078A944E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9EF2E0-D8DD-4FEC-B724-6D60E45A065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E37EA1-BF93-45C1-B111-74E5371A68C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712D6A-EC4E-4426-B136-F23AE29DA3E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3635D4-A5A3-4D35-BBE1-6FE18B3B07D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86E6F5-7614-4A69-BEAA-514526198CD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A73880-2C78-4E45-A8FC-7CBAEF98DCA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8024EE-46E6-4DC5-9FAD-96B9DA11C57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0B1D47-20DB-4436-A1EE-956031F090E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5DB0FC-3BD1-4CA1-A41E-FB8858C6B61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EB660A-D29A-40A9-B361-B1CB3333A49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237B05-CCAC-4BBE-82B0-8E9C6B1D682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9A8F19-548E-442B-9970-821C39F38F5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3D8C14-472D-49A8-B7FB-58327789971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943349-390C-4389-A2FE-E21086C2620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16679F-3192-4301-9C71-C21E7C297D6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18D33E-002B-4868-941F-16C1684DD69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673CB0-7C2D-4837-9BB2-7D4BE8E6D5C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4D9D0E-0ADA-4DEF-AEDA-8A8238CDA8F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677477-2052-454D-8BC8-569DF3101A1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45905E-7AE8-43CA-A101-908056CD767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EDEFA6-67CB-41BC-8DE4-B6AF18EA659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5E5020-3F4A-44B6-B9DC-CD632526F40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613B84-0A84-4496-A7DA-DC6397BA1BB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103A53-8540-482E-8C30-2A9F6261F46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2981C1-2C02-4CCB-84CA-787A9D572CB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6917CB-2A9D-41E3-B00B-05D6FFA4D6B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15C751-AE1A-404F-8CE8-DF90DF23C26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E77455-4ABA-4D03-A923-CCE6FA52BF5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E098D3-3717-4D0C-9892-9C71C77ACE9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88647F-9E87-4D8C-98EF-7F80575F7D6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A54D1C-F931-4FF2-BD57-A8315526246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7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6E2A71-08F0-474F-871E-F40B05F0207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6873F9-6151-4186-BED8-51802B184E9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5C0AAB-90AF-49A1-BF15-EA8B4FF580F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B67AB5-C20E-4BE1-85E6-F93F1AC0C1F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FE727E-47D7-49F0-8430-0C026E4A8D9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2743C6-B85A-42D5-950A-D63B85CB478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03FA26-8287-4BC5-B1B7-6EABDEA5D29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635BD2-7537-4A82-A0CD-F3367D2D522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C54F09-B372-49DA-A6F4-92B177B0134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364009-67BC-4966-865B-664BC874B1D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7CA526-C298-4923-92E5-1689F9C8579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DBF86B-3272-43C7-8E77-9CD3AF374B6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E50008-FD26-40F0-93E7-E7941EC379D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4AC2D9-31D7-4ABF-AE24-8BA40BDA22A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0FF8D7-6EEF-4930-8E2A-13DE4F570ED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77156F-B27C-486E-BE2F-31C6C26BE23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98DDA1-EBB5-46D2-B84A-5A677BA74E9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FD4E22-8F97-46B4-A5AC-C26B3FAA278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865A4A-E834-40C3-BB55-E7EEC6CAD2A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406349-6A9A-4FBB-AD96-C12EC76A793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F0EB37-BF6E-43FD-B1B9-062B5AEB765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2C3042-862F-4BB6-88B9-7507A6F5A61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AB502C-11B6-49FA-A1D6-93BA3FFF3E3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2FDAD5-B109-45E5-AEC2-B817BBC9EE4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37F83A-5EBF-4265-B4EF-A8F02864635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290851-1019-458D-8723-7646BA50F17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381E3F-3587-471B-B9B8-22484CC184A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8DFD6B-5A4E-4372-94D4-2D6717D1EBB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C70DF9-F563-41D4-9C91-A60C2ABA5F4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8B4F97-C57D-421F-8E48-40A90143854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88B8D8-F346-403C-8ECE-EBF255AD40D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7EA976-C9D2-4229-ACFB-9C5551919D4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74F169-6953-4D15-9143-76B39CD981A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343A3F-BDDC-4AB8-ACF2-B7E115E0437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33E203-2717-47DD-A75F-C8FA15A74AB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93BDFE-9A15-4D62-8A16-224A305DBA4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8A8980-8501-4B0A-B1AF-7F5B7A44CEE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0D2FE9-895D-4588-BC04-A23901CEFCA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1C6AD5-2B43-40F9-B69E-8910FB51C50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5382D8-DA75-4E32-B522-FC72E267F06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87DFE9-3989-42BB-8CC8-FA23FD472E9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814B0A-91D3-4FF8-98CA-B4B683F37BA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F7A672-831D-4709-8258-7FC5A6E5D17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09B1E7-A091-43B0-9999-C4F3AA9069E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F93012-0D50-46FA-A491-821D5AE71CB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E2BF5D-8883-48EB-A6A6-50C48211796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85E180-3842-404F-ACD7-DDA9B04102A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532D7E-05A8-4596-8FC8-C55C6B33207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DA7485-841A-47B9-A220-8D952B26565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968696-F029-4AEF-BB95-413DACC64FE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A517C8-840B-43BC-9246-209B5CF8EAC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D1385D-9613-41CA-B690-D93C69C94A9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85E546-8B16-4912-ABA2-162B735C62A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BF3068-D66B-46DD-BEEF-C271B6357D9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612CFA-7941-46BD-8163-EAB61BF8264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288A36-7AD7-4F7F-92D7-89C2B1DE2DD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E6D2DB-9F20-46E6-9A2C-BF0844D78E5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1162E8-125D-442B-8603-BF18B696AF8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A277C2-F742-4A61-826A-57E0A141596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29C1AB-3B46-4975-8654-E8C4DBE26BE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472BB1-8C12-4815-AEEB-9081F88362A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BAD2D8-ECFD-4222-B85F-CC1463C9731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357F33-1806-4AE4-A4C8-73417FEBDE6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D0FC37-EEA9-465F-A7E4-D2C0B7BEED7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CE5C8F-F166-4D78-BFFC-BABEA2EAB5A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4F9ECA-34F4-47E1-8080-0A9B6843C8C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1028B4-BF25-4296-939F-0188F840700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67A295-3A77-4BF4-BDB6-77B5464773E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4D99C3-7842-457F-84AA-2ACC3B97E0B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EF9F89-11A5-4C70-AD21-53FAC17C6CB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FD670F-E144-4F25-AFCD-BD40E83099A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6F6A87-37BD-4B6E-AA8C-C1E227221D7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D9E94A-0001-4571-84AE-DEDF79C6850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E0AF42-FD0B-4140-B0B7-023D554DEE0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2033DA-0842-48C9-9DC9-7CBE994D90B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840B37-885E-4B5F-A421-2923A6D87F4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052A0A-0FA6-4B34-AA55-0ACE6CF914D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FBB8E1-B8DC-4BB8-927F-CAE9A977AA4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C13D98-BE28-4309-9A39-CAB4200F989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B26F13-DC76-414D-A91E-B794F837CBF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60DC89-62ED-42BF-8804-D14822A2AB8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C28D1C-68EC-463B-A5B2-61F1D2D8C0D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E3EC5E-9761-4592-915C-2903810B8E8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740E52-E714-411B-8CDB-0D4989FE94C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A06DEE-BAB5-4816-8640-9CC675D2045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9E5B6E-01DD-45FF-8B65-0B42DA57733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E102AC-355A-40E5-9EC3-0153FCB8599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5AC2A8-F7E0-4F81-B26C-4E73BF79733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EA619B-88D5-4C59-A22B-56F60D7503A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F184CD-5920-4FE0-B887-0367AAC91C2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C81C85-5149-4314-8DDB-EF3E9F19019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4197F5-8DDE-459E-82AE-BC5053BD6EC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25D482-23D5-4B6B-976E-46C950B9DF5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E31A26-8305-47EA-A096-81B151016F6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349D99-7F2F-4679-A910-2081E72C45C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4F9BCE-F16D-4C8D-9868-82A4E5CA646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6E66B1-CE77-4021-AAC2-BCB3F9995F4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243DF9-D08F-41E0-8E16-97634F7D65C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8F3B6B-FB61-4527-9397-99508C18D47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512C9C-43AE-4132-99F4-9318020080E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8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8613AD-0F65-4EA5-935A-EA1171F92F6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803202-1808-4D05-8688-1CF5F8691F3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E7D1A2-96C1-41E8-9012-16401DCB3FC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0302DD-19B9-47AB-87EB-3E6E1ADCE40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32B99C-7158-4050-A7B0-9C4EEE84574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2DD1DC-4FC8-4416-B1C5-A114344DD83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1D8909-FB27-46E5-BD31-E6E48C9CE0C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B01E6A-837D-4AA2-B59C-849D8F60417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62B1E9-154D-4798-AB14-0905C0EA05A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088860-EE8B-4443-90B4-39ADB1F79B6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13D3D2-4A88-46BB-AE65-99BA7A573CA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3E6E77-6464-4269-AB57-1C0A42E512A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9EA2DB-FBF0-4F05-9CC5-34352884155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CD1636-A6B8-47A8-A448-6B7857A0D26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5E8FAA-1308-49AB-A79C-78BCE19FD16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836403-CCD5-4240-B222-B88A6C43414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2FAB7A-B9A8-408D-96CF-5AD309F9D05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743355-B64B-40F3-A5B8-B488CC86FF1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2FBF25-42FB-442D-9CD4-C3806AB9F25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28BFC3-E14A-40F6-A8C6-4A070066984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DF8FE6-495A-4552-8BB0-11977BD6F46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08280D-15CB-423B-98D1-48685E24252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61C57F-AF04-48E4-9274-F9F87B5068C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5E11EE-338D-4EC1-B26A-05850500BD4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A92215-A0D1-4C21-877C-A4731991004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99944D-F660-4397-9D83-437FD0161C7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779C17-77C5-45E3-B88E-EC578E3B69B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81143F-7B09-41DA-B01B-46254A9CF7A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5D3F05-E9AB-452F-AA18-B229234629D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549853-32EC-475A-92B6-7F14205AE8F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20A8A3-1B36-446A-A0FA-FC02CF22A5D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7C454D-8F7A-4700-A76C-153C05983DC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D62BD5-018A-4BAB-B9E0-10AC3DCDC5D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876953-1754-453D-8CA1-054F5A9E328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29822B-838E-47A1-BFD5-192139D0956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D0B7B5-113B-4FF8-BFD4-7880DED36F7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BE7492-4319-41DF-BAC7-86D29C20371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B2C117-BB6A-4375-AF43-BF6A900071B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E2941D-B5F3-4BE2-96A5-837DF4ED5BA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938703-B9DC-4ED9-B1AC-F7BC7EDEA16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01A379-E354-43F3-B199-FE7B1B159C7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6FA71C-88CC-4A51-B5B6-40931FA9866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8ADCD7-B8DA-4193-967A-4F7CF938F05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9C3D36-3857-4447-A6EF-65F0AFE9AB5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306947-6782-46B6-8539-D9DD074DCDD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346546-4EA5-4DB4-9FC3-42252B6548B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5A080E-FF6F-4C7E-A172-43CEEEA014E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674486-A8EA-4B58-8675-339D5583197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2AB448-DC79-484D-B3EA-ADBC5ADDFC3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3D846E-5160-4E91-90D9-5716670A478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F19FD3-8368-484C-A641-690A0B48A67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E10108-ABD2-4F5A-80AC-E1D71B4A813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99554C-DEB8-49F0-A3A8-B5FE2F7564A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2F8C5E-4EC3-474C-BFF7-1FBFEC4CD29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296F47-B902-47AD-9287-BBED69E259C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55BF24-069C-4631-8F03-870848AC546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354648-B6FF-4B39-8685-3A82D996404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C0F9A7-58CF-40C4-BAA6-518CC221D05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6AE5BB-2832-4E3F-A87A-7C0419B50E9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21C45F-120C-433E-944E-11FF2129B03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D6BF49-078A-4ECC-9389-674D48A2E26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46CFB8-E102-4F88-8472-4CBFA3311C9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40F52A-900B-40CE-9736-3BDCD93EC69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9B8185-F9DA-452F-A47D-174AA8E5F0E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0EFD2D-AB74-4152-93F7-E278C398EDC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C6F909-7CF5-455D-AD3D-2A7BB83AE6A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9B829C-3013-4662-B18B-6C7BE7D6AFD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D0215A-FFC5-4CCF-8A63-C444493624A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CFD9B6-8EE1-4AF9-A378-95A0A51168E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C899B1-A0E0-4926-87B4-14A0B57B44B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1163FB-88F8-4D04-9EE9-B46C23C2300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E7A2F4-D007-49AB-A89C-CFDDB2500D8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3AE359-993A-4417-B4EC-31BAD68DCA5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AA01EF-2DDF-4733-BE6A-510FB390158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662D5F-08C8-4083-9D42-EEDF7945955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2940F8-2203-44E5-B553-B5129C0B3B9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26515E-6DA1-48A3-B776-B172AB8CDC8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51648F-23C3-4273-B405-068918BCC58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6FE542-AAF0-4281-BFEA-E734E452415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03397B-5EDB-422B-87D8-A5B04570F88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9AF9E7-79C6-4604-B882-56772EC2C48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0D2FDF-3444-4E57-B9B7-997710C92F3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066792-2850-4CBE-A503-AFCF54E6972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59909F-5C00-4A1F-9F37-1E2B8AAFC79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F5CC3D-44EF-41F1-A518-CAAE6436CCF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02C94E-86D2-4BA1-B2E4-3319A116A76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96C72A-1A27-43C2-8D43-43B675131D9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C34E1F-CE1D-4D65-8135-AB1AAE5D5F4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8CF4EF-4B37-4327-97B1-0A07760CEE3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CF1F93-3D74-4460-83B1-D7EC5C7EE95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FA58EA-1146-4337-AB3C-23E93234104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1820DE-CF11-4E9A-A91F-43F69856B81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BFEE0E-0809-48B5-B2AC-68672B840D2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E7B43C-D26A-4398-B168-97395E46B34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216A07-36E5-450A-A517-71E4388E6C3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B4C70C-70DE-4A20-B29C-1BD209F788D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60E2DF-F926-4DCD-A16F-3D23BD6D07A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A57E1D-DA51-4D30-83FB-190FCBE08CF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EA4A28-007F-4BA8-A695-90AC62D2FC5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8F1A0A-AE23-4FE0-959C-8F9A147E98E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69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ABEF54-ED3A-4026-909E-C1ADFCF6BB3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C2B594-C3AC-462F-94A5-B9FC18EF7D3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3D111A-D6E1-4C41-B3E9-A619314A2C6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193FD6-DF1B-4FD1-AA2D-D7EB47396EF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7AD97A-B2EE-4249-8D94-E46A3E0E2AE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CAB14E-99BA-42DF-B7BB-75D488E5BFF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6F4010-7CBB-449D-8776-34B64C07A67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5734B0-65BC-46A0-A8B2-23E73BFCB55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EC4600-2660-4951-84A0-D46658051F3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79D508-FD01-47CA-BF67-7DE28143CCB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20D5BA-3B16-4A65-8FB7-FD94D87E3C7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82A587-C6A0-40CB-9EA3-6CB34C4B194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A7104C-9C26-47B7-91F2-7B5A4DAF828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A1CEF5-3EFF-44F6-91CA-DC1F00F5AEE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301195-E5BB-44F9-BEC5-69D384ACE2E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326369-4746-4D77-99F6-8BDFECD03C6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4AE554-76FA-4F63-A3E0-A423FDA4938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4AA2A0-DB2D-4FDC-9F3B-5F6648466D7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59F149-9B4A-492A-9992-B0A081F460F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455405-511D-457B-A821-D2EDE68FCED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ED6CD8-8498-4FF0-BE31-B37259B7C24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AF3468-D53B-4745-8EB5-E82BCD4C536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D26FF8-38DC-4E50-8DB2-D31F45A0BD3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9C58EF-5459-40AC-8778-ED8366928F9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2E940D-4749-490D-888B-64D8093D4FB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DADB82-F23B-4086-9699-680068E3C91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9B5277-8546-4D7D-BC4E-7308ED7E80A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763996-72F4-458A-A636-04B9FE6E608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8D8887-EB44-4890-AB6A-BB6C31A9B7E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502A12-C21C-46B9-94E5-7EAB9757D8F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573515-90AA-4FA6-8576-CC79468A283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C0D612-E6C1-4ED8-994F-AC12304D82B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7CBEF0-48D4-4E49-8487-B599356486D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DD5A71-70A6-46CE-BF73-1C9C5F6A576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0768B3-6333-440A-9359-578D12D34B3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C6CE64-D7A4-4092-82DA-65FDC8E63CE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2E351A-0339-4569-AAC8-6F48CE0E45D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4ACE70-62E4-4EE7-8E87-4ED70CA2033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A00522-26C9-49AE-A57F-8E362ACE99D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E96ABF-D40C-413D-B41A-3EB458BE959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A2B8F2-0FBE-4807-A97C-FBC03DF3619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642123-9005-404F-8A35-8856AF70DBF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929FD0-BDC2-4C02-A012-553E9E1013A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DF09F7-35F6-4451-B20B-A9F58FC8487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EB91C2-AB93-4DA1-A417-FF3396C1022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304451-D883-49A3-8D6C-1A52C67BD0D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01A1E3-B7EE-4DFE-9843-EAC9F5B2618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588E0B-E10A-41AC-81ED-60E66DBB041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934D98-A47B-4EC8-827B-7D3DA6A2FED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241B4A-1A93-4769-91BB-0AEAB737281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7AEFEB-77EB-40D8-905C-835A5A4B210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F075C6-D44A-478D-9FB0-D17017E9196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EFAAB2-D74D-418B-9D83-337F7C326DB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3A8ABB-F0B9-4AD9-B0F0-84FFFB1A788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01A899-5A8E-43C1-80B6-AD7B1582A65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F0BD3D-4CDE-4D1A-81D7-F331A81A6C1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40EAD6-FA4A-44A1-B71B-D3776A25BFF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CF9447-1877-4D8D-821B-015596FA5EC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9CF828-67A7-4E24-AA4D-622792CF58E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85C23F-3C7C-43AF-A1AB-0FE1C0A05AC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EE23C1-5AB7-4B56-913B-1FFD9D390A3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BFA7D3-B6BE-4952-B6FB-7C03C5C9D01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D55115-EA85-40E5-853C-AE75871E08B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5A5560-0984-463A-B612-8E6F2AEB057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F0574F-7620-473F-940E-4014181BB24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83DDA0-224D-468C-98EE-773118DE9C9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14271A-0100-490C-9901-6AB51E0D395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2718E5-2311-4F44-8793-ACEFE4AD812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AE44CF-B5AB-49D0-A6E3-453C2C34E6B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901B78-5604-46A1-8B58-BD4B894AF98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16C1F9-6504-45DE-90B5-34CAC6BF480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B84F0F-ADA9-4020-9F74-2DF16B03211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2E6E56-5884-40C7-8547-907D2A0C0F3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14D3B1-499A-4A6F-976B-C4A777944EB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71555A-6F6B-407F-95EE-F30D48DB90A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930ED9-9CBE-42D9-B4BD-C2C68ED65BC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6297AC-B2BA-46E6-80B8-B68720622F3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3356D9-9EB5-49E1-80B0-D469AF13878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43C145-C032-4549-AE70-50B0D61CF79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45FD95-0B94-43C2-B857-6F7CE13FF43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83FB06-2C96-4CE0-B457-3E18F1F04B5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D2046A-DA19-448B-9E55-3008284A5B2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D6D34E-6F37-4A6B-B427-D0687CA95FA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D4B8B6-21AD-4FFA-B4B0-2931F4022D4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A2E116-3878-4F8F-BEB3-F22297B2057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A9ADB4-48F7-4B7B-AFBB-A3668779DB1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F309CF-84A4-407D-818D-6B73DB6B87F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0456BA-745C-4FE6-B720-ECDD03F1B5B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C97CD4-3E0E-473E-8150-7FFF2D12E35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1AF238-9207-4063-946C-B2E54D9E7CA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0A7C3C-38A2-482D-908C-A251F187919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8DDFA0-854E-4B63-B2C2-CB0384AE35D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4CE5C6-CAAD-4C09-BD4C-23DADD88FAD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5D6269-C29E-42FF-BC33-FA2C2393AD2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3B82A6-36EE-4AFE-8F7A-F492E83A463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641D1F-3C13-444E-997C-84A760D7202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3B817B-55D7-4867-B8FB-EC4987D60E7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4DE325-B7A0-4D1D-8871-75EB5F1FA0A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BC13AF-EAB5-41BF-99DE-B6CCD01B575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95FFE9-B698-41B0-8774-5C71F45742C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0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B9A9E4-CFFE-460D-AD15-60BFCAD8E5C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524B0D-3A60-494F-9537-E89B2767C96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D5AB56-9246-43AD-8782-05C761751EA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5E6536-171E-441A-9013-A02AD949CAA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B8F006-4BC5-438F-AE9D-BA3AF52AD9C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D8D8C1-35CB-4578-9438-96A68FF284A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F6ED4B-3422-43D2-A247-0DE6FDD0F7F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BB1BF1-8894-4070-910E-2321113BBB6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1E503B-ADC9-4810-92B7-03D0C6C53AB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A4FA9F-1CC7-4EB4-B111-37FC5615162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15CA59-3767-46C1-A13F-3470FD65F01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53CFC0-497E-43D3-9007-FB6CD75E985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40532E-CE8D-420F-A4CD-05FF0B8AA3B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2250B6-D26F-4F63-8FBF-69229536702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F337FE-8057-47C9-BAB4-329D52E9D99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7EEF75-8835-40EA-A01A-402E41B530A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1DF17B-740F-4772-834B-CA578E3A215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3C5458-CD07-4884-A77B-05A97A4A2E6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3781F7-3BF3-49CF-AE3B-0C3255770A7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0D4EA7-F698-430C-877A-E49D1873495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9C976D-7C1E-4E52-BC60-F2F0D50E1E9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603D34-9E44-4835-9565-BAEBC592471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835654-3A2E-4197-A140-9832743C046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6A74EF-ACC1-40D4-8385-750DC745EE8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9BEDBF-52A4-4CCF-BD60-4DBD90EAC1A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B1EF14-FE26-4F86-A66D-FFF046BEF02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FEF728-A591-4707-97C6-F17EBD330DB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753B50-B1EA-4654-B078-C1B01075433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D9F8A4-D4A4-4AFA-B8AA-1DF3D580656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C9FF37-2F5A-4148-A884-873D74958DB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53A2AB-29EC-4C66-B968-75569AB5EAF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850D1F-A755-476B-876A-9D18387C6AD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5CE3A5-2722-4F49-B4A8-C037960288F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FA81D0-D84C-4B82-A96D-F82FF89161E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63F81E-A43C-45A7-91ED-A45A5F2FE57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A180D9-77FB-4165-9BBA-3FE4EDAA170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41C283-E197-4E2A-82A9-D57472C4C6F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D47001-2BAD-41DD-9849-CF9A6E7BE03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763639-F938-4EE0-B155-6D221B97F22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F08870-582E-49A8-83FE-EE27B1785CE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05E9CA-2332-4033-B7EA-1CB9FF0956E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6A45D2-0E0B-4A1A-A2E7-69745507E48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C0C49A-70BD-491D-B6EC-7E20C9B47F9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A61EB5-3804-4363-A2C2-E82FC185689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A236B0-D5E4-40BB-92AD-938230C560F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A31106-398F-4326-AB95-2B8A02B766B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DB056D-2AB3-4020-9278-75B7E8F7FB8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AD34A9-FBCC-4475-8029-398FC34FCA9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B0EE56-0585-4152-8893-0B7E901A1AC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6F9146-4DB0-4084-BA47-BD8918F03F8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DCE707-EB4C-492D-BF26-AC189840DD0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51432C-1CB1-4DE4-AA84-28765CEE6CB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B9D285-F251-4BBF-904A-210B5C19E2A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C63A67-BEDD-421D-94EF-FFFABEFBA01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7A4989-0040-4430-AC78-BC2596551B1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61245D-7EC3-4C2A-AB9F-BF86F74F753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42FC32-6C1C-400F-9507-3A320AC00B7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D97616-A0C4-41BA-9C65-0D87FB799E8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6CE30C-A39B-478E-ABA5-27A9F8670BF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7D53A2-D0DC-40C2-91DE-E52FD5F60F8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3FB5BF-79B1-413D-A222-0B063CAFF22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70BBB4-DA71-4F64-9DB1-776B93B5203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F63846-1E43-491E-A05C-C00DB8F4D59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C01CD4-B19F-4935-BFFD-9D2B78E0C47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2B37C3-15D7-4260-BD47-6020D161541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B60DA2-1CEF-40BB-B044-53056F86541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663851-315B-4982-905C-70539E19746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D7B305-E120-4BE5-8D12-B823DFB5850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2C5344-62D0-492C-A5B1-353375D296B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F667BB-7204-4AB9-AC05-2A251F0D626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6FB6B6-3C5A-4988-A704-B99BC726B0C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D48EDF-6AB5-4129-8703-CD1B5735B87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B6ACF2-6EA5-4B58-B78B-145DECF2CD0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97600B-FF5F-437D-AAAB-8F2983D7B62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CB0B90-C3A3-4100-9097-FFD9EA791E6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AA8844-5DD3-4B7C-8C8D-4B957775F07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01F086-BCA6-4A1C-A3BA-3F26281D1F3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257788-00C2-44D5-927B-4A0ECD12FF5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37613A-562B-4BE8-A1CF-AA987B8D13B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FBCD4A-FE27-4081-A674-AFFFFDF5F83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243CD0-A33F-4A8D-A3CE-94DDF8D8E7B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9ADA41-D1EB-4258-B033-1E20CC1A249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28D043-75EE-42FD-A994-1B6C8BDDEB4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8EF95F-6561-4EB6-9870-6A18EC9C145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EF7C24-F96E-4D3B-912D-0606F673F1C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3FE6D2-3F12-4D21-9E42-2AEB854B56D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953EFC-40C6-4B7E-BE24-F5F07434FB4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EAA2FB-0846-4660-B1E8-0B8A966836B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932020-F25E-4450-A975-D360E0A4154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1B2862-02CF-451C-B791-CBF21B7D02C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529B42-9EC1-4175-A80A-C1371473232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F06DCC-591D-4EAF-A4A5-2887789D82B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80629B-005D-40BA-BFFC-BB636E2AF26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F94A8A-84A1-41FE-9D41-B46A7FCFEBD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EF78B4-EDB2-42AF-8EE1-DF73C70BF37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44B9A3-C1F2-47CE-B2F0-AD2677206D0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F7477E-CDB0-4BA9-90A2-FCE66C5DEB7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C0B686-4B14-4D67-9BC8-5E81EFC919C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046A39-D6DA-4007-9523-DF4E848C333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564AB2-9343-411F-9080-7CE8D9D9C4A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1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9B66A8-CC60-4F97-A2B4-427DE69C34E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3CA14E-6D44-4CD3-B665-407C0868DC3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F31AD8-0049-45E0-AC8B-D46D19BD4F4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7CFA5D-4A11-4B99-9D76-D12E804E441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588F72-E260-4616-BF5F-3AC0AEEC0A1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95E6E1-3051-4CA1-AE69-25206E3DD53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DB215F-6403-47E4-987F-B102B180D51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DD7189-D256-406F-AA1F-FC676DC9504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5C9598-1789-4612-8884-F47543204A9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6006CD-1289-42E1-A726-422B8B5B1CA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D94FFC-8BBD-4E84-B3EC-66D0875960C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EE8E5D-62D5-4959-803D-31CEFF72C18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8985E6-8541-4E12-AAAA-A22F2E83F95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4C2103-3414-4B14-9F78-453412816C7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636306-3FC1-4897-A1E0-6BE1D9245DD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6F7BD9-B106-4EA3-985E-9C14FD8E48F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936AE7-2A1E-4EC2-B51D-D4E07E82D6B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3E3BE1-D600-47FE-8D05-A435644AF7E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5BFFAE-00E8-4610-B7C6-F046DD0A26E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E59355-8160-4517-B067-A8209F73013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2FC027-41D6-423C-BD2A-146F179D241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1C9C4A-53F8-4ACF-A1C2-20A5C384297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014071-86AD-4038-B61A-AB76230E9FE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BAC05C-B36B-4704-8691-97D48B4A10A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F8D4EA-3802-4786-ADCD-590D8E1A952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1062AF-D197-4A0A-A8FC-B8590B9520E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EE2B8B-50BC-4E9D-BC71-FFD89240525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C8B12C-C58B-40E8-90D9-EBED05E15DB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C1B4A4-1569-4F91-A30E-C1FDF0CDD56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2F100B-506C-4EED-B010-1CE4BEFC1D3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64332F-7A32-437A-B3C8-8C35A2CB9A1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26358D-8014-4423-B8D8-9D73D115559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9BC171-B9D4-4D7E-BD5F-D0A2E739E64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A8DDFE-BE94-4304-AA6A-A73D68C990A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F7504C-BD8F-4122-94F8-02E2EFCB398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2E9537-8228-4B08-B10E-D8EAA9F9552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C14E69-4949-4DC4-B4B5-9760D9159AF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DAAFCF-8FE2-4E57-8279-B36F51ADC2E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8940AD-7198-41F7-95D5-30D10744E76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8BB223-70A7-4D26-8259-255C0633FB0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13CB5C-5116-40EA-A089-D59CD11385F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EE8825-3C07-4C6F-8547-A2FBBE0A3EE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7DA29C-65CC-4001-8522-0F4BA13661B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11793B-C83D-4CA5-88D4-C534667D1FD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47A6F3-4931-4F96-A811-409182BB8A4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071C70-E7C0-4860-839B-975F9B67C45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C35095-9C58-4E9C-9388-68CD9760AF9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9A81FD-C46E-4C55-B72A-660B1226963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6EDA56-DD5C-4BF2-8CD9-59314E25987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168990-4038-4A8D-B96C-EEA4825E0E7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C2C239-A93F-4962-A3C2-7157BF1E58A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76D4B8-8A9D-4567-895A-EEC78D98090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19711F-3F06-47D1-BE52-24B769B4666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019796-B2EB-4D79-A64D-1B23B38F471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08041E-5CAA-439E-B72D-AE3D2ADBB18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F1587A-798C-410B-B6D7-8C33A898938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5E365C-4650-44D8-AFE2-56CBC3E6DC0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6C8FAA-4639-446C-94A7-EE8B835F84B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53763C-592F-4EB6-99F8-17440CE962C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F72065-9701-4B84-8008-B5513DEC0D3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B442EB-AF75-4F1D-B5D0-EE548E7D081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481F07-12BF-4D78-866B-D24F95776DB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5F95D0-A1FA-4261-84E1-F5552FF931F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271263-4D14-47A5-B3AF-C68AA384CFB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F96215-E572-4002-B0DE-C1E5DBD1946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1557EE-4AC8-4924-9DC3-570859974DA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54741C-CE82-406A-996C-89C94E2B555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2583F1-E6F8-4145-8AC4-0C7F2DDD58E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5B9FF0-58AE-4EB8-A562-94FC318F2CB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7A0AED-8A21-460C-9F32-1320D5F2ED6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5C8953-CB9C-4051-8D13-2F8BBBEC31E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9184D8-A530-4DBC-8453-CF9E05366C9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D4E5A2-D864-40EA-9B16-E84C78E230E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20AE4F-D984-4F3C-9FC6-7D47A217FD3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12A17D-C2C1-4746-841B-5B0DB3C5BDC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B1C67C-8578-4006-889D-F53D80580A8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6FABEC-5109-4D34-AA2C-C01C305CB73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2F1E79-F652-4929-AA3E-154B730AD72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33B94E-AEB5-4719-BB18-A4314102D04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CCDE1B-59AC-4FEE-8EE1-DF616F5EB21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079888-790B-4EFC-A9A9-B7CAC788652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EE9C62-1A9A-4F66-8A73-87B41AD11D8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64359C-095B-4C56-A90C-FF3B30B2208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C5CF93-7AB0-4AB8-99C5-8D405815850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C357AE-3900-4676-B556-B7FA48E1D57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48730D-E5DD-4A1F-98EA-E92C7385CC6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971828-BA18-488E-A374-36E81F0C818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21D199-D77C-4083-AD5B-7AA84933770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E7B0F4-CB01-45F9-94FF-A8F249F767B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91F6F1-2E38-4EAA-8939-D4BA247DE48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CC4500-6ACE-4F13-BFA2-127C032756F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3217B0-5AED-4C7D-90A6-DFDC2081E15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695C47-3B62-46E6-8CA7-69EC7AC091C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845038-A519-43BD-892B-B435B07FCA5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6F15B4-D36E-4606-B2D8-71A1E107629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CBA6BE-D0F3-4F49-B32A-DBBEA582D6D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E7288E-F67C-4373-B50F-9BD1259CE00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42EEBE-8759-4532-87C5-43712F8EFC2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566624-FB7E-4D53-BCC7-A9E00D3553E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663A21-0896-47DC-94CC-1028F2B1B9B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2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56458C-9842-4AB2-99E6-797B15DD019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26808C-C2D9-40BF-99FB-F3E81D4730C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2A6C8C-F1C5-4EF3-B962-E1F0822A536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55649F-C2A9-4D19-9E5E-5CEED20F837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FE7B46-1B69-4BDF-9920-2FF3B72C045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8639FA-7873-4219-864F-CA9491D7155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063012-EAE9-4C0F-98A4-7658F55E826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F57FB0-3A62-4DE8-B221-EE794A63DBE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5367D3-7BC2-46B9-8AE6-9B57EB8E4DE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F5C235-9358-4091-A98F-C06CBA887EA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161C14-E927-4C4A-8D97-310C4D3930C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922B8B-E488-46E0-8847-F220A63DC1D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6A1751-DCBC-42C8-ABE5-0BE6873E328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9B37A3-9DEE-4FF4-A684-CB9AD5788C8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252649-64CE-4D5E-AC00-97D7508B899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54718F-30BC-4E43-A2F1-942B34E182F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510513-7BEB-4CA8-9867-3F46BB7A295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49C57A-9438-4D03-84AE-A8E759DB752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79F3D2-2CEA-46AA-8A3F-8420F21148C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7DEAAE-8415-4F7F-8141-F7AAEB4796C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99667D-F36C-4CFB-8F4D-0C40826B975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827D28-0E9F-4CE2-BEF1-952EAEDE841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0735E2-1CE5-48AD-9B95-D6C55734647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43BEFF-6246-4D27-9AAA-82A26D96951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EB0AA4-86B9-4884-915F-80114CA9597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57DEE4-E46E-4341-850D-72041AB25C7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C1B2D2-2FF6-44A5-A797-8804EDB07DF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5013F2-8B22-4C3D-AC4E-89C01A941CA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8DA3CB-5C75-4FBC-A452-3EE620923D6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25995B-144A-494B-A6BD-1B38788DD7E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BFFD18-BDE5-42E1-846E-C04A574FCCD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D05563-5C69-4056-BA97-8A21EBB8DD9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5E84B2-A0C4-44C7-9867-2D0642E809D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B2A9CB-80D4-42B4-9A50-CAE1F8C013E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9BC541-DB1F-478F-B4B9-5B63038F7AF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087124-E41C-46D3-BB60-D370F30914E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82AD5B-902A-4D24-ABA4-2547846C1FE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DF6681-AD30-4884-94D3-377C9FE64CC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D009F1-E85B-45B8-9FE7-F99637EF58C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C89975-4D03-45ED-BE69-DE2E56392C7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D3A12B-F830-4EFF-92A0-D3DB44A57B4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0E548F-2952-4069-BF4B-3B9BEDA0473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34A01D-239A-4464-9502-BF8380EA7E6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6CA085-EA65-4532-94BB-79F322A83C5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B4D945-53EC-489D-91D2-293B77320F4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9ABD15-47DA-45FA-A01A-CA3E52D9EA6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983033-8B9A-43ED-96DA-4BAEB4C2FD0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BB2A02-BF1A-4A35-BA25-5AFA0F08A6E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51FAA1-C3F9-407D-B202-A9CA3814325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1CDA52-46C8-411D-8372-13D5BB9BE16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C922DC-9CAE-46CD-9573-592061E41CA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83D818-B36F-4F46-B49A-3458699D045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A64867-B759-4058-BC29-A1DC7AC5860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B1DA34-7326-49D2-8DED-DC3744A63F6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EF15EE-5FBA-4B65-8559-0A3B0AAE9AF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2A63CB-51AA-40C5-BF1A-028291B749D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3C4217-C5C7-46D5-AF57-CE39E881509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15066F-3520-42F7-B50E-DC7C204DADA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22EA69-41AD-43BC-9813-82F72E240DA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F37FE1-D413-42F2-927A-A929103B583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D1E591-CB5A-4203-949E-F351E906288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A10B10-80BB-412D-9EBA-575AD9D4266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4393F8-8A84-442F-9A75-8F64A06258B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A155DA-450B-413D-A046-B5B85EB9EF7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35B365-D4E3-4108-8230-1E33BB0578D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8E0986-F31D-467E-98EE-40331869939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3B0BF0-B3C0-4684-9689-D8F6E9EDCE0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435CED-2880-405F-8E94-7CCAA430904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18B860-2196-495E-8799-37B4212D6ED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C4F435-674F-4FC8-B680-5C071D6B2F2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F9BD22-F2A3-43F3-A61D-742F423B98D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223900-E548-405B-8B0C-8076FD8D91B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FB0374-42C7-4074-9BF4-0F108373D1A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3B0F44-1794-45FD-8A84-ADE5BBFDC9F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4BCFA6-3E46-4DA0-8D5F-4D7D3851528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C9241E-8569-4A56-A823-162EF685568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BED176-B6AC-4A1B-BA3C-E8DF954848A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0E94C1-BB81-4144-9EBB-2DAD5517ACF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76E619-1F09-4F87-98BD-0B2426971E0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BC8168-30A1-412A-B11E-A2E7925CB1E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5CA2DC-F739-46A5-8519-CDBD6785AA9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05B85A-D214-4B15-85BD-18F1E4FB0CB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E12F47-5999-4D91-BCCF-C8A1B5D8FA7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947DFD-BE87-494C-BAC2-05F2CFA7D6A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47EE6C-4CD0-4728-8285-87407D7E366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F3FBDE-3DCC-4C04-B5F0-CE80584DA44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6A8E5D-7195-4E54-A033-27F8CA12B47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C51DEC-6475-4F38-8636-5266338C1F6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7CB7DD-1484-42C3-B9D3-513EBAAA263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BCD369-41EA-4E2E-AC7D-36F484E7D66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A12B24-9F12-4002-9409-25431C415DE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394AB7-457A-4EBB-8C18-82AFAD980FC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A51309-ADDA-4A8C-8B47-6AF93D6F82A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E29D5E-B28E-4267-B950-17EE1492FBB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9DC78B-BA70-476E-A478-E65FD7CFB3F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C82F79-01BE-4B8F-BF0B-EF60A989550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C6AF92-CB99-4C5D-9379-71D8E2755D9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AF40B1-1F2F-4C33-A083-FF5AB8D4BB5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439F7E-DD0B-44FE-B242-886186FB772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4491E0-46C0-489B-958C-B9E8DC0D1B4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3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B0CF23-4840-4951-8779-7C62B70BE06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4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DB2F4F-CE41-4231-998D-DDDD4230C14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4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AB4C65-8CBC-4B12-BC82-04C1F3DD00D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4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94C1B3-5E8F-4AC8-A744-9CFB6FE128C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4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92F0D1-4D19-4BA3-8871-FA222D9DBF0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4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D50405-72C8-4571-BBBD-2E49F2F6BA3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4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48C9CE-8252-4131-96BA-EFF86713492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4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A3E6B0-B21B-4708-AA42-B2BBEC5D5AF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4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340404-94C1-4A0B-9488-AA0C79894DB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4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57FD19-D30B-4BE4-9D24-548C2AA223C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4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B407EE-B4CB-489D-B438-32CF19A040D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4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3A39EC-21FE-43B4-ABC7-5CD60C988CF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4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6F8DF8-D13B-4119-8455-A9E99B80C7A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4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B3FFBE-2651-45B3-B1A4-6A31EBCDC5A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4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D15E0E-67CF-4E4F-A4F2-C1ADF00B42D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4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590F14-A9C9-4AE3-8F82-081F2D1B374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4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32F784-8CBB-4AC7-BFBE-D158F80876B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4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DA45BF-4848-4B75-8A68-29AA35B63EC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4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3D8F80-4F3D-4F6D-9967-511B1F74AE1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4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27E817-C6A2-4E54-80F3-331E2ABD8D1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4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BBA31B-849B-4932-8DA0-363F2B10694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4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3D7774-84AD-4473-8AF8-18B663BF0A8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4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C3275A-8380-43F0-8483-A55F4B50F67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4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D3373D-AEAA-4DE9-8F9E-27F32F6D080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4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6AFFF1-A7DD-4485-8D6E-1776D4F9BA9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4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ADF7CD-92EA-4DDE-9714-398C1D238E8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4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FCF9E0-FDDB-4CC8-A4B1-9909D881C3F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4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1FE452-BEC2-4F9C-A129-068D491A0D9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4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1CDC36-E26C-406F-8D35-BF48CBAEC19E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4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3EB165-500B-407B-84B8-3A1C7D009B9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4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C81525-348C-4A76-ABB6-1C7140B3563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4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F8699C-25B6-4C04-8E6A-05F407E343B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107</xdr:row>
      <xdr:rowOff>0</xdr:rowOff>
    </xdr:from>
    <xdr:ext cx="304800" cy="304800"/>
    <xdr:sp macro="" textlink="">
      <xdr:nvSpPr>
        <xdr:cNvPr id="74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5495A0-47FC-4254-B55F-D2AE75B19FE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101BF5-1538-4F37-819D-00D0C983085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674A79-40EA-493C-9B06-E2408D0CD56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B4EB20-5A84-4608-BFFC-E2C22BE100D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74D89E-ADCD-49DE-90FD-C798F2F2343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2BBA91-C03E-4320-AADF-2D777969A0B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64A740-4458-431F-98A5-B8C83C88338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31C68F-8B46-4BB5-8B8A-13F773AB149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95406C-7D3D-42D1-82A9-38B961AF41C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4439D5-D01F-4DAB-9B34-545E40B066D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BD7212-EF56-4108-BE33-513A4728E61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EFD305-486C-40B5-BC91-DC58BAE7CE0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6DE883-A82A-4F6F-B34B-212AD327A78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F2CD3E-2A14-4AAD-A6C9-67A4FB69FD3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57998D-0C63-4504-BCCA-37AB3B0E241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F72002-B016-4F99-B763-EFC5D275553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FED12D-A197-4652-9176-16F3ECA5C0D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7A65AE-6D66-4CC6-8899-628B3E71A97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D38D77-E416-4A45-B992-74BC644898E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3D99C4-A633-4BDE-BFCA-673D49B6D1C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763A6B-F60A-4E86-817B-BE912B41D17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A162E1-71F4-46A5-BFDD-FFB2BF48ACA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0FBEF9-1AC8-43E4-B65A-5F3C344204A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7B6E42-895B-4E51-B052-9290D9D7D86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94931D-5FA8-48D9-9427-794126AAFCE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4C3C2B-35F2-4EA5-9B8C-11E2A89B3AD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7DD361-25D1-4951-A630-CD1D7D3E3BB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9407E6-5328-4025-8CDF-05428FCCD78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3544AC-3390-4DD0-ACE6-0053AA43754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ACCB3E-F213-425D-9500-66AFBDE7FA8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F22AFD-BCAA-4A6D-BE4A-62D5F469857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17BEA7-5201-469A-A30B-A74B73D349D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234756-8456-441C-B45D-8966DAABA6E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F055E4-8D7F-4721-B844-BD6BD4ACE78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456719-A403-40EA-986D-A54B10B1C31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EE92B2-AA08-43AA-ADCC-953EE9268C0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9812A7-6C2D-482E-AE24-39F784E2BC2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8E7ACD-4D32-44F1-B7B1-7A4F9C52403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B5C52D-C622-46AF-9D61-9C1954C06F1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556B70-658C-47C1-AF31-94FF77BB4253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32F015-523D-4B7E-9B29-5A8B30A4F33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4E60D8-C1EE-4EC4-AE9A-2CE73EFF986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7989A1-C217-4A38-AD0A-C1D50C49AD7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DFBC6C-2FEE-4339-AD58-F9C02DAD4EE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25176B-F47D-4D1C-833D-F1A295FEA1C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835013-06A7-4338-A3D4-3D185CE790D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EA3F23-96B2-4DA6-9E33-75C70EABFB0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C1C1AD-051F-42C4-A661-07B8CB90874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A49DA8-FE85-402F-91BB-B35DAA87435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BFD1DC-0EB1-48CC-81AE-E176FD82035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4164AD-3F4A-4643-9FF4-91CA15B2F4A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099006-44F9-4CDE-9FC6-274D4E90520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AEC84A-3EB6-45FA-8E1F-09AFF3E5436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55FB1C-BADA-4466-8464-D27848FFC14B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681D2A-A8D2-40AB-B9A1-081A193E2D3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AC0794-3053-4CBD-88AF-0D7DB8EA0615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E98643-3979-47F6-9F89-40508932E33D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6FC23A-6004-4064-8913-68E86126CE00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75E917-60D6-4D14-978E-4E4DED90E0D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E761C0-C744-44D2-8AC8-6FA08E5F5EB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3C2A4A-25A1-4644-966F-B3297A3A771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0C14A7-9A1D-421F-8751-BAA4EEBF130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22E8AB-695F-4790-899C-8DDB74194B4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019A9B-98B4-4E49-8FC9-B425CD7E22FA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FA2F9F-0911-4BE0-83A5-229C7C4065F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6B4199-FF20-44C9-BF25-5D7BC19B989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A87566-79B3-4E55-A9DB-DD037ACE776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C1414D-6DF6-4B95-881E-7118F5F3315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4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4CE7C9-02E7-4541-BE82-29D15C40212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5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899326-6565-4011-AE30-522A7FDDB178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5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BAF458-3A5D-4BE3-9414-D8E9E083767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5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52A969-B735-4AFF-9AF2-B91ACA8E8221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5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A8A2C0-12BE-4F37-9E00-08661A3B25D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5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69D524-ADA9-4FB0-8E69-215556CBA284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5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D35D3D-39DA-4ACC-B2BD-B6D0DAF5EF5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5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F075CE-C20C-4846-899B-42CC67D48E6F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5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626D5C-B200-4DD4-B428-2D953CEBC7B9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5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393578-9AF7-4399-8A7E-9BA49597CD26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5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206598-335C-4AAD-9B35-C92F1131A312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5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83FE9A-8388-46F5-862F-DEFC5D421EA7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10</xdr:row>
      <xdr:rowOff>0</xdr:rowOff>
    </xdr:from>
    <xdr:ext cx="304800" cy="304800"/>
    <xdr:sp macro="" textlink="">
      <xdr:nvSpPr>
        <xdr:cNvPr id="75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BAEB7B-C6DB-421D-A0AE-7881241291BC}"/>
            </a:ext>
          </a:extLst>
        </xdr:cNvPr>
        <xdr:cNvSpPr>
          <a:spLocks noChangeAspect="1" noChangeArrowheads="1"/>
        </xdr:cNvSpPr>
      </xdr:nvSpPr>
      <xdr:spPr bwMode="auto">
        <a:xfrm>
          <a:off x="155352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5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5D3B8A-5FA5-444A-BF41-B1F027425F4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5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E6146D-CD44-4904-B4F2-FA689A18925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5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D1DF8F-5400-483F-B024-89F386389BA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5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7718AB-1341-4DAD-ADC8-976DE661483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5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8CE0F4-3F8C-4D67-9046-0CF10C88588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5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BF7EB3-0E47-4803-9562-D7D86F2104F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5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08D93A-DC3B-423C-BBFE-90D67C19CD9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5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C537AD-32F0-4805-9340-74455B9B825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714375" cy="304800"/>
    <xdr:sp macro="" textlink="">
      <xdr:nvSpPr>
        <xdr:cNvPr id="75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B22B84-0693-40E6-B0E1-1769C55C798D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5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A62A07-AF0B-426A-93FE-CF549D75C355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5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9B3A6F-8580-4D60-96D2-7046A92EE2A4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5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488064-D51B-40FF-9731-95CA7C4B1701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5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01CBA7-AF74-42BD-9F24-3C5C9A9BFE2E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5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9E022B-0857-458B-8DC3-7BA378E0AAD0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714375" cy="304800"/>
    <xdr:sp macro="" textlink="">
      <xdr:nvSpPr>
        <xdr:cNvPr id="75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37E06B-C817-4BC6-B728-641593F03536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5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999678-B64A-48D4-A99B-F8AB04517995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5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D17078-6FBF-48CC-B12C-CA0EBA4019A1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5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F0CAC5-6F63-425E-8EC3-DCA0F1D5BD16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5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54FA70-E704-4C6B-BD68-BD33022B0A73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5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FF1A0B-3A25-45AB-9B24-B9EC5F9EFBD7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5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B10085-A639-4E09-B1C7-AB5820FC7B98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5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DC5A60-BEE3-44C5-A81C-1009D13FCD2F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5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D6333E-0DF7-4FC1-AF4E-042833FB0F39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5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1465DB-8D51-47F3-B3A4-F737862AEF29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5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5334C0-B3D3-47D0-B4C5-9AF48EA124DC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5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9200EF-4D83-4DFB-ADF7-574EF9214A4D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5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418979-1E67-4E31-8EF6-748941CBD452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5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9BB644-DF32-4B6D-9AF5-96C4811E744D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5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CAD7C0-CE67-47EC-814E-829311F3CFCC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5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D3110C-BFDB-41BC-A163-E5B083BE5F2F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5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3BD6EC-0D7E-4987-AEB1-38C68B5ABE84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5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FF2B75-A03C-4EF7-8D9B-6883496CA286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5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9FF78E-BE44-4CC0-B5DA-D7AE65E4BADE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5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FD8675-9B0B-4AAC-AE0A-9E34F1CA8079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5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3C3C8D-61F6-4ABE-BA41-5E6C056804D4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714375" cy="304800"/>
    <xdr:sp macro="" textlink="">
      <xdr:nvSpPr>
        <xdr:cNvPr id="75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1B5308-8E62-488D-AB26-0DB3C748F64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5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BD8ED9-5C9A-447F-91F5-8AFC17F443E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5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40DD3A-9CA1-4D87-A8C7-EFA28EADDBD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5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D3D0A4-C33F-49A0-AF2F-21DFD0C207F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5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B7121B-E1C0-47DC-9F87-0F3547989A0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5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E76672-BD76-4E60-B012-1F18BE610BC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714375" cy="304800"/>
    <xdr:sp macro="" textlink="">
      <xdr:nvSpPr>
        <xdr:cNvPr id="75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6BD420-D926-45D9-8120-76D253A4728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5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C97F54-05E3-4B7F-A5E9-5496A0BAED7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5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0F14FB-22A5-4914-AFBF-13C894A23F56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5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CD1373-5607-4C6C-9285-B89834C623F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5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0B67D4-11A4-4032-A992-A6ACB0418D06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5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DAB4EF-52B4-4255-9759-D0942E527A8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5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38E943-6103-4FE1-B2B5-5C32C645D28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5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DED2D0-E1D2-4043-9604-D0312631C0B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5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CD2A12-5BE4-4922-ABDD-400A9B83D38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5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72E38C-5610-4A27-B201-CD19BB1013C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5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28B2F6-E39F-4FEB-B7D9-379CD84B122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714375" cy="304800"/>
    <xdr:sp macro="" textlink="">
      <xdr:nvSpPr>
        <xdr:cNvPr id="75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658A26-EB14-4A19-BAED-A3C13085233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5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6B90AA-7951-47EA-B824-A55A3437372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5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5F385D-8D33-42DE-8DE8-A4173EB88FB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5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4FCF9B-92A4-4E10-BC63-B748B5D0D0A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5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2D9283-6FC7-41AB-8D91-DF6671442DB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5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13FBEB-1F31-4F13-80F0-B9676AF2B36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5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F5DA57-84E5-4149-A13E-A6628892F3A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5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695F78-1FA7-4576-A337-EE119E77C9D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5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78C614-F3A3-48C9-948D-5074AEF615F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5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20641D-2D9D-470C-94C7-43E208B533C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5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0B4A5C-D506-4EF3-94B5-80727297734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5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3610D8-5801-448C-B5F8-7B4ECAF4312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5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8FB9D7-EB9E-425D-A77D-87629D399A3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5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4FD55E-D1E7-4710-8235-10365FD400C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5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04B192-6005-4275-8B87-DC26B3F8968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5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7222AF-3E1D-4987-B029-237BE62B254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5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C6C7DB-ADAE-41FF-8165-D35C07E491D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5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3C2650-3937-4FA1-9834-299F4B0AE59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5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D73DF7-41CA-448F-B22D-5169193BCBF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714375" cy="304800"/>
    <xdr:sp macro="" textlink="">
      <xdr:nvSpPr>
        <xdr:cNvPr id="75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E29D0D-B2BC-4CF2-B7CF-22FC4E066FE5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5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F7D832-1BB2-4D31-A46B-C44D0A8AA7D4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5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8FEE87-B11B-486F-89AB-C4638C3A53B3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5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3D09B0-E70A-4C17-8E84-60B4B7F1E689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5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430977-C856-439F-9C9B-DF7DD8037E44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5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97F231-8743-455B-801E-C198DCD7897A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714375" cy="304800"/>
    <xdr:sp macro="" textlink="">
      <xdr:nvSpPr>
        <xdr:cNvPr id="75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EC01A5-F96D-4D3E-AAA0-2DF5B55F7ECF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5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7CEB4B-A7BB-421D-9DF9-48FB54FF463F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5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3D1334-2CDE-4291-A07A-98BA4B7BD01C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5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FBE76C-2850-4D69-909F-F10DABD7876C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5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421F37-AC95-4568-BE2E-1125F8558BBE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5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7234E4-E7BC-400E-806C-D2E3D4C9A8E9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5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1D4A23-9BEC-4FBB-8E16-0DE5D71712B1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5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5D14F2-980D-4C4C-9A5D-0C15375D1F0D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5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DE3BE3-429D-4E81-84BA-8A86A75907B3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5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0F0B7D-4DDA-4869-90D3-B8713B64C693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5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C32F54-DDBD-49F9-9438-BFB3241E2558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6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4B85E2-1732-4127-80A2-8CD88A002259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6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B81A4A-7FFA-40A9-A8BA-54123D21918C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6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6A3D47-353F-462D-A9EA-0ADACF2B4071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6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C81837-2B96-473B-A677-BC42680CD68F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6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4D8393-DE32-476D-ABE8-CB22A64B72F0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6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3DBDB3-8483-45E2-AA12-6524FF022E46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6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778932-E673-4FBD-8CB7-AC6430C9FCD9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6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B36E3D-39B7-4261-ACE0-2083F8113BEC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6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1AC134-B08F-4C22-8CD1-19DA9F835788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714375" cy="304800"/>
    <xdr:sp macro="" textlink="">
      <xdr:nvSpPr>
        <xdr:cNvPr id="76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2B7232-27AE-477A-B35A-54EA7B7B52C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5E78E9-4F5C-492D-A896-AF8C55512A3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8CE639-98E9-4494-B9EC-5165B4ED97D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6772F1-4613-45D0-A002-B543C0D1492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9D86E5-6998-4C98-8F11-EB4FE1338FA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82ABBB-F077-4D78-B405-68843268439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714375" cy="304800"/>
    <xdr:sp macro="" textlink="">
      <xdr:nvSpPr>
        <xdr:cNvPr id="76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C0CD34-BEFA-4EF0-94FD-DDBA1FAD5D2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1AA7DF-FEFA-4106-BA80-AF63E78393B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15C882-D393-4EAC-8440-3860B763379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C600BA-D7D4-4373-ABB8-59064392B4D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91781B-EAA3-4038-A7EA-61994AD1578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0C9FFE-56DA-448C-94E6-718FABFF946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0665EE-D1D5-41A2-B078-E4A169CAB47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6AD9DD-F199-40B5-9708-86ED17DF399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E52A60-E5E7-47D4-9BD8-0634626EA28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DDC05E-6DEE-467E-B1EA-B8D6ED72270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DCB57E-5C83-4902-86EE-7CE9DBD7ABA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714375" cy="304800"/>
    <xdr:sp macro="" textlink="">
      <xdr:nvSpPr>
        <xdr:cNvPr id="76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CE171C-3AFA-41D3-9167-2A8C594E0B5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6ADA72-9A01-42E4-9D9A-1B876ABD21D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83594D-6A34-47AA-A282-EA37AF0EA5E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E34F2B-9068-41D6-A82E-B12AC9429AD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EE75A8-75B1-4A46-BA7C-ADEB6A4C621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9BC668-F5BC-4628-8411-80AE15B4D68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456471-1A8E-455F-AE51-FDF084956C66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45BB34-5553-4113-9676-B15839DFFAE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94C286-8AE4-448E-AAE5-F23DC52D59E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01A7E4-6F83-4710-9E06-45B41DB0946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3B493B-8804-4C00-BBFA-7B2C290F4E1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FD513D-ED9A-4870-95CD-85043F31C32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843AE9-0A90-4C55-ADA7-E093BD9ED21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45525A-367D-4CDD-9B78-1C31399F1F3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67F2D3-FE6E-4548-8700-8A16E188742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4EF0C1-1775-4601-8042-E9D458DB33C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0970DC-F20E-4418-B8B2-83E753CEA62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AE9554-2FDA-410A-B8B8-7817C596A99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247183-115A-4B25-8FAA-A8F7701FC4A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E90F93-97D6-4FC2-A257-7E8824FE208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EC289E-F688-402E-8026-B059369B16C6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8D90FD-C7EC-4C26-9EC2-ACD1DDA91C7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7693D7-85B8-4E07-BAB7-9A0E7DC89F5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451CFC-8524-4D9D-B1C9-C09B523AF4D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4A39B3-3955-4178-8264-215F5C6FBF9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70A4AE-06C0-4A35-A193-CA0DFDD25E4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A9DFDE-41C4-479D-9CAA-4FF06877F63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3AB961-672B-47CF-AB7F-6B4615C520E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E21828-F503-4521-AD7F-EDCC7E2A2E3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882D18-62F8-42DF-BCC9-8BB28E7D0B4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68591F-A64B-479F-A1D0-ABB48886ED2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2EFD8B-160F-4E32-AD3F-66ED31258EB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7B8B48-3303-4E4A-8447-F47151820E5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F4A7D0-AA35-42B5-8801-58868540ED5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064C99-6764-42C3-BFC9-B520CBDF951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E41CC5-314A-4860-B723-BD90113E80E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4A92E3-EFF5-467F-A511-B2D9E019DAC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1A73B9-7CB3-4BC6-A17B-C66180F3D75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C0306E-3565-476B-AD03-9264C77ABDA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13580E-9488-41E9-8FFA-0DD8ADD181A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0337E0-55C8-4E1F-9E79-81B9682D4F4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71179A-5552-4B95-9A33-C4618C142ED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BA5228-6604-4389-A1AD-85C72B5CA9C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B1DB20-77A8-4A45-A517-A0A7A0999A2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70765E-1952-45A4-BE00-7855F80310E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9023B3-57E4-44A6-853B-BFD016FE112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035682-5F73-4D02-A267-9699FD1413B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914A0E-3DA0-4499-A5AE-C97982D4735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E8E0AA-ACD9-45A2-A8AA-26CEA389323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A59B40-E617-4CD3-A995-D7CC72564E2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E12F92-35B3-43E8-AE58-15D8DBBFD50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FD01A5-7DF9-4ADD-994C-81C676CD883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2DE78F-2301-4015-A0F1-4F71A0A9C4B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2BFEDF-152E-42C4-A0EA-3F526581C77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CB34CC-7D04-4C9D-AA8C-CA5F380234D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DF372C-562F-4BBC-B782-F5B90D00AB2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4C9F0B-3C49-48D6-A55B-AF875578341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A427CA-F151-4FAA-88EA-EA3D6C1BEF2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B9F91D-4D5D-4F21-B338-FFDD8A932B2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9B1621-6C5B-4664-A90C-FAC286F8A7B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4E8A9F-325C-4178-AC74-AF23581D1DC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C8A84D-9523-4555-A162-B1B52B81B90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E94C58-44A1-4C26-853B-EC2ED465992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05C1C5-C38D-4A03-97EF-8867C53E0DC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F4DF70-856A-4685-9A48-2AA764F9B96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6DE23B-3FC3-4852-9C12-93BD7915A2C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4C89F5-DB64-4DC7-88FF-4033B070AE5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BB3A7C-9539-4C65-A7DB-12B735EFA53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8368FB-819D-4EE9-BF08-F3B58B8D5B4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DE3AD2-B046-461D-A657-571EA0A987A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7BE57E-AEF8-4AC5-B953-AE55212437D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4248AC-E40D-47F0-8F6F-2B7EE922A4C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A70158-BB75-4DCC-B275-7ED8A9050CE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6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1325D2-F96F-4F6A-98D6-71C87F75C87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7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57B424-7EB9-4FFF-8594-B6A017185F5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7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2F5C81-761D-4DDA-BDF9-7984F4DD76E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7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3FB430-A1E2-4B29-909F-614588B52E4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7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2E603B-5103-4FE3-9749-5CEE8D03717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7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D4D790-8489-444F-B946-6D9A124FD16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7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2A6834-6750-41C7-9541-0E2D5305288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7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E9E4DE-8627-4B2F-A7A6-07ECA081C8C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7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290F22-2052-456F-8355-2B0EEF95249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7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5D5208-AFCE-4274-AC79-86DB7117892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7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0F26BB-C05F-4FB9-9B5B-40D9449A68B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7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EBC194-F458-4AC8-8C81-F76BB8459C9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7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270DDF-4F46-4829-B1F1-F18B28B1206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7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474E78-DDCF-4519-864B-21179836790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7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DA1577-1B5D-47F6-A22B-480F5AAD3C2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7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E8F1F1-7418-4D5F-93F2-7941CB026B4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7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E750A3-9DF5-4670-998B-90A5B60676F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7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B95A20-0646-4561-8374-42CF5BE67CD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7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987B0C-A7C2-4E8D-8ABD-5BED0ECF5F7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7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8823F1-2B8F-47C4-AEBB-8AB2D45E2AC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77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5C73DD-1003-4079-85B8-9C2D5526644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714375" cy="304800"/>
    <xdr:sp macro="" textlink="">
      <xdr:nvSpPr>
        <xdr:cNvPr id="77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2DCE3F-CB7F-4D85-8EA4-5EE8ACBE7ED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72C241-AD8B-4A42-912A-D273083BD70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989E42-A95C-45A4-9FB8-80EF2742790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0431A9-6A1B-4BFB-986A-218739B6876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014273-72DC-43B4-BDF4-354C4F49E43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5421DC-24ED-421F-852C-367E6E70077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714375" cy="304800"/>
    <xdr:sp macro="" textlink="">
      <xdr:nvSpPr>
        <xdr:cNvPr id="77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B70C09-72CD-4B44-B793-967DE3A40EF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A6D4DE-EEC9-4914-AD26-E1B92AFE2DB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7FD77D-8979-4AE0-B3B5-0119415296F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FB6678-6647-4592-A1AD-BEA49CD267A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CD6D7B-8005-4836-9796-55B12C3289E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A14798-1A8D-4A49-830D-FD3FD051558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E39DC0-E42D-429D-A910-21A5BA643FC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372906-CCB8-4226-B5C5-1B88C3D01EC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334339-E015-421F-9E8D-904B1F5467B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C15E27-C7FF-41E1-AA34-539C5C94828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DD8E34-17CE-4C67-B590-FEFE7C84EB16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737B60-7090-48FF-B51B-F26181E98BA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CBA7D1-5AEA-4485-9320-C0C6BA94C61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6BCA10-E944-48AE-B7D6-D43345106A2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F90F7F-DE7A-4B8B-B7AC-226289CB524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E28DF2-5D92-49B4-BBD5-F58A2873B46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AA9507-0D9F-4C6D-B11C-023009025BB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61BD46-1AB7-4642-8D1B-B61D50E2DCB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2C3F24-79A5-4D3C-A1A9-9B73BD800EC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80A1DA-88FF-4234-BFD1-EB5DFB95286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99C2F4-91F4-4A19-93A9-0C408FD5DC7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714375" cy="304800"/>
    <xdr:sp macro="" textlink="">
      <xdr:nvSpPr>
        <xdr:cNvPr id="77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1B4FC8-4492-4BB9-A7AB-9CFEAE7E199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EF5D3A-C08D-4FF0-8817-EB51147691B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1E8D99-B4DB-432F-B0F1-F9BFDA53B3B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80879E-C735-4394-9795-3B4EDBD38D9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FC5252-9AF4-4BE9-B60E-A920C28AB93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4605FB-0224-488E-9FFD-D9E01BD62BE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714375" cy="304800"/>
    <xdr:sp macro="" textlink="">
      <xdr:nvSpPr>
        <xdr:cNvPr id="77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2D45A8-A6FB-4E9C-8A21-077371D4C32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1B9D5B-499C-4C58-93D6-6A8593EDB3D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6C944D-F78F-43F0-8D1A-CA5171FEAA8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993019-0D56-4C1D-8025-894E664550D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75E89C-EF55-4281-9371-E6731230BDE6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C7CBD2-666E-4145-92EF-892D50E0893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AA6EE4-57D9-449C-8016-6C2C53FA725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58AD77-7CAF-4C2A-ADB0-97ACB0A802A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6ECC8D-E269-4B95-AD6D-753970A0153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75C166-243A-402E-969C-37BDAF79ACD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2EEC21-599B-4DFD-9285-CF8DCBFF715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2FDAAD-463D-4CEE-9F64-B74A28E83E0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F9AE7F-39DD-4F7C-BA01-36324DB60C7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2108ED-7C1D-470A-909C-26BA51A0828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414577-4191-4484-B94E-0B6276835C3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DEF268-CC1D-4903-8C6B-3C9C4C886CD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1D09CA-E653-471C-B03D-26A07145920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EC482B-F671-43C8-A631-356DE788550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D9D563-5942-4503-AA89-11BE54003FB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86A27A-07EC-4F05-81CB-59231FD8079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77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F5D11B-A30D-44BA-A6EA-3711C935D6F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714375" cy="304800"/>
    <xdr:sp macro="" textlink="">
      <xdr:nvSpPr>
        <xdr:cNvPr id="77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B3D46B-43BA-44B9-9F30-0F9466B7982B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7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DD2B65-276D-4A70-89F6-AA2BE0809861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7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BAF0D3-F3A3-484D-ADCF-0C8FAEDA72B7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7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3E3539-01FA-460A-892A-6E62AAFF9FDF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7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D2510C-F1BB-4760-9F94-3D4FFEA806E7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7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6EED52-6831-4F01-8DB0-F17E76155282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714375" cy="304800"/>
    <xdr:sp macro="" textlink="">
      <xdr:nvSpPr>
        <xdr:cNvPr id="77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F528DB-849D-4DE9-9029-6A97D23F79DF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7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9F1EC5-2B1E-4590-97B5-2932B838BF84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7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5401E9-F1DC-47A7-AF9D-A4236A7C404B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7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838E24-DE29-4EF3-8E07-BB36398E60A9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7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CD5873-C2D8-450C-B4CE-40271B0EE5EA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7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E8C35C-EC75-4C92-92E2-88ADFC039A89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7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CBC8F0-2072-49D4-95E0-F09EE40159A9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7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EED295-4B63-4421-A9C6-6D460DF7A953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7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24E6A2-D617-4ADC-9642-B2C00F9C602B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7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E58AA7-EEC1-48E4-9E0C-47FC97067898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7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BFBB89-8547-4459-8BF7-5F19F023034F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7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6FEEAB-477B-4865-803B-9C60009B05B5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7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7292DF-C55B-41F1-BBE9-370105E21C15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7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7AE027-B687-4A26-A9B9-FB67B7B98134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7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CBC09D-D6EA-409A-A697-DE83FB175695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7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F831C7-E763-48CD-BB05-6CE1D2D1C52D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7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A66C26-037B-4166-B76D-827BB45B450F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7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9EDE8A-43F3-43C1-A9DF-C0C955AFFF18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7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550D26-55DF-4A7E-8F52-7A78B1962BAA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7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8A1F49-90F4-429D-923C-7170D7F14072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8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819D31-0126-4404-B1A6-5FB64AECD236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714375" cy="304800"/>
    <xdr:sp macro="" textlink="">
      <xdr:nvSpPr>
        <xdr:cNvPr id="78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CDEDA3-4695-4B24-B395-9C31212D1C4A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8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B2F70C-0A7B-42C9-A95A-992841E5CD30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8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F72E71-056C-4948-812B-A6E1F6C0CB0C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8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8F5674-BDBF-45C7-BA7A-818182491980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8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91A0AF-1083-4CE9-8576-C091D1938B9E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8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F028F9-8009-4B4D-9927-97423615BE64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714375" cy="304800"/>
    <xdr:sp macro="" textlink="">
      <xdr:nvSpPr>
        <xdr:cNvPr id="78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50EAD7-EF1A-4309-9A6F-5FFDA9E1D744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8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EEF028-F7F3-46F4-B9CC-C38A066ADC1D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8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FEB30F-6B8D-4571-87EA-81B04CA406B8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8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6ED3EF-0FB9-405F-AB9A-D43AA2BE2AE6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8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846691-DCD2-454B-A853-F8E4E51B4FE3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8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857C04-3FEF-427F-B761-0328BB00D507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8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D1AF5F-9AFA-49E3-B236-C01C9274DCEA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8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CE441A-5F0B-4910-8A29-3A1794CF096A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8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C6E070-D775-43DC-A8DB-B67CD1298592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8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16C8FC-000A-472E-88CA-22F48A894F24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8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AD8D87-C1BE-4D29-B79E-B342A316AF51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8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F50D70-5443-4A00-BD28-C7427A34A766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8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126144-5497-4DFC-9077-96FCAAEAB449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8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369899-19CA-4439-A161-8DD37468E371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8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B2DA46-B036-4787-A96D-7EC7B2A1BD65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8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F9815A-6795-4485-B135-5DEEBA7D3273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8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EE5750-B190-4082-B13D-265C21BFF05E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8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7FE0E8-BC02-4844-9B42-7443CE992A3F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8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944EE9-DC89-454C-B5C1-FA33B1A0386A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8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414F51-3E5E-4332-BE2D-54093F37DB13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78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894C4E-3877-48DE-AFCB-0668C21D5C12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093735-CB79-4408-A9B0-948F356BFE2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B47E4C-F9F1-4339-B2E4-CA3F7D92D50A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C0C5BA-316B-4013-81C1-BF454809335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30B65E-E4E4-4749-810A-DF00E595C22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85A214-CFC8-4961-B3FA-AFBD5656549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686EC1-EE54-4845-A9F2-04A94665806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503069-8A22-475C-A46E-40C10A85A43A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21CC07-7BE1-4B24-866F-20C0763A101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78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C2BE6B-3705-4894-8D07-AC77C506323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32DC99-510A-4071-9B20-3C387C2E0CC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045F71-0420-4F31-9B2B-D723C885973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3BCFCE-E132-41A5-AED2-FDF86B5A5FE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A91316-3319-4301-8173-40AAD7F3B68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739BF9-74FB-4BB3-B404-EAEEB559068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78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AFCB07-A667-4805-BCF2-F7E29F1138B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5004B9-0EF2-4D38-ABB9-FECA8020BD7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119912-B209-4B70-8EF4-58AECEB5F51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EACA94-47ED-452E-B990-9981667A534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1D6006-A53A-4D5A-AE0F-6BCACCE877C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61CED8-4FF8-4FB9-915B-D36E9E8ADB4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0EDF63-B1BC-4DAB-ACB2-A6F928AA623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133282-47BE-445F-87B9-7FE17AC428F6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C8775F-A387-41C4-B31A-6402F4D949A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4EEB25-1BB3-4E1B-85AD-DA95C39EC8F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ED503B-00D9-41BC-A8D4-0CDD6C623FD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78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F7E777-E877-44F2-A90F-D3322D2A643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B18D69-514C-4962-803E-E5F5BAF5E2D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72F384-42F7-4B5B-89FC-F203EB91973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6B9792-B5AC-44FE-9296-6A751598D21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7A7A61-D56F-4BDF-9DD2-0A4E0A31194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7951AB-7FA5-4EC5-B503-83205AD9E9C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0753B6-0406-460B-B980-FAA6C3C64ED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46D262-2042-475F-BF6C-110355BAD526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496A5D-1C2F-447D-AC76-55A40B75E276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22D611-D920-4820-BF78-6058D7C5286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FE801D-4EB4-4D51-AD40-61815EE05B1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8CC729-B77B-4778-9035-B9CEEA40F7BA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BBEE90-D435-4F06-BCEF-CE996B8C358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B281D5-9386-4E89-B7BC-C5DA6F8F25C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CE5B9E-32A3-4CC8-B369-0294E2FAFC4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204C38-A1AA-4E2B-B7F3-85099574D1B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842E1D-A059-4327-B712-AB63912DD546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E6DB2A-9274-405A-97A4-B4F100273B2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642E6E-1E51-499C-BFB2-9FD16991D39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78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4BE397-9BE0-4DEA-B0FB-6BE5267FE9F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EE42D3-E415-498C-AAE4-731E7938CED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974831-47DB-48DD-B1CA-EC5E519EB44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B6DC59-2CB1-4BDA-A25F-AD20902E3E8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8C912E-B6CE-45C1-ACB4-58132EB3EDD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B58B0B-E8B3-4572-98C3-C1B27B709F6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78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D4900D-2251-4127-BB87-F9EFCA0E17E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F2D684-D77B-4067-B9B3-676D629512A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DB4ABE-0A0B-405C-A308-37D5143A6276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7883C5-193A-461A-94D1-D6D2969360B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E78674-D460-4727-832D-4F4FC501C48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CA1716-934B-46B6-B3E1-08C22B44338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78CAA0-3F13-43CE-BBD5-3B2C484C7E3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4B200F-6119-4363-A1CA-BD3DC34D050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72220F-C56D-417A-B3DC-D0E2AE0F389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DAAC60-0B60-4D3F-8E38-DAA90A3E730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C1D0A8-1A1F-469C-88C0-7515ACA0C17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78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B4289A-940F-4B34-A582-654FA8B1622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843704-D56E-4293-9C64-5C829EA20BE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093AD2-172A-44D6-9AF7-2C1874F6890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A566C5-8933-4543-A5AE-9488D3BB0F9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79C03A-0AD0-4314-89C9-6D5B8076922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FF1290-0000-45C6-83EB-E574E00D931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957093-5F7D-4D5B-9D1A-47D2171D3C4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56ACCA-EB66-468C-B5BB-9105A5658A9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A420D3-002B-477B-AC08-7E3B91F837B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8694CF-7DC4-485A-B0DD-C9282CEB7EC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712512-3710-4538-9F25-A02C0119022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9A8C99-1541-4CD4-8B17-DB39C2FD944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986A8E-1245-405D-BF29-2463C04A69B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80EA76-0E40-4CF8-97AF-9E1D4E1A727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A25B65-DEF3-4C15-9BE4-E40B62F15C1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D4749F-26CD-4D40-8CFA-EB6DF458A10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685772-48D8-49EF-BDC2-B806C232F80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86865E-FE75-4D49-A907-F55AB75AE15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847C86-AFA8-4632-ACE9-ABF24F26A9B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70ECD2-EA75-4A5C-A6DD-B53711B9E7A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76D528-D315-4FFC-9087-37F0FD9355E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A7B286-03C9-453C-9264-D9EF2D8DD1D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D14D91-E6F7-49B8-BCB8-6BBC31E68BD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309BD1-9F25-43BB-A72A-1E62AE56E16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C3051F-E688-4995-986B-C5408F0FE9A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020A5D-382D-456E-8439-AF1F737DF6E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556E46-9708-4067-A1C7-8E6E0EE8E38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71CD7E-31D3-4991-A414-4B5809AEE8B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133A5D-CFFD-4156-BA01-2CE5ECEF9FA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E4C012-8BDD-4B70-B332-83ECDE372C1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FBCC42-9F3D-49F4-995F-C38FB71E58A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737128-4CBA-4FA8-9203-924BB928263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89BA2E-825F-46CB-B77A-42EBD9A4500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27A0E8-6C2D-49DC-A9DD-67C932E59F3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A6B26D-5485-470A-BB9A-87D45CB901A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71C287-ED36-4A05-A9D4-CDFAF2F5C30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5A7550-283E-460A-9C78-D3A9ECC217D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036051-EDAD-4351-A0A6-DBADDA88CF7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4CDEFA-9C74-40F9-BC4E-99450CF6252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BECFAF-B02A-490B-943E-46F467BD1E8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2DEE7A-F6D6-41FC-B87A-24FA2D37F14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185F96-D0C5-4A92-AE8C-60DD93F0409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474E25-DBF3-4FE2-873C-8823E233B89A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CAFF27-C6CC-4684-ACC7-FDBD461399B6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08CCDA-92C2-4D78-959C-FCDCCC29DCB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76DD7F-2094-4A39-A47D-37203FD2562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269414-0BBE-4242-8FD2-21F983A5F58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C4D9A6-E6A9-439C-8741-CACB7F6F62C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D76616-C0CA-4ADC-ABB7-968F00F2628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8BF111-A045-4379-918E-7E2390FE7DB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568A69-223D-4F7E-ABA9-E64BEE7CBA5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45DF2B-8107-4D87-A219-708EC316005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CB1EC8-7D78-4ED0-8A06-5980F11B032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61604C-07B0-4D68-9FDC-1E5B5799F47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0040BD-7FFF-422B-81F1-599990E3542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FDD51A-8893-401E-9C2C-D24EB93BBAC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713089-700B-4B29-ADFD-BD7A98AA5CA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B62E21-5CAB-4C79-8BC2-C1825877D76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8C2C69-BBB5-4F44-B1A7-E73BA665A4E6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5DEA12-4934-4A22-826A-645105EF38B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7E5AC8-D548-40A9-9726-3E02DE9EFE6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DE92E6-FB2E-4F1E-AB80-FB06FAA1F3A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5BD0FD-3EF4-4835-8CA3-E6DC314653D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BDA06B-3150-4C12-9EA9-29BBCB06B9C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8FAF2B-E38B-4C58-90CF-10D3AA921C4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BC70F6-6189-48FB-A81B-F282AFE6DE0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681FCB-F83F-452A-A3F0-353DFED6EB7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8B86ED-382C-40DB-AC80-8FD3AACD3CB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249F82-F783-4160-AC88-73FCEF9DE05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5E1C5C-DBD2-4AC5-B772-E5D2454306C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425F63-1293-4D23-9DC4-EC153CCFF3C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8A455E-4AAE-4D72-B09B-2638E71A629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2EF4BE-5BA5-4691-B857-DE573718A31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7ECD97-C91B-40BF-BC72-572B4DDB62F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2408A0-AC54-4D85-BA1E-598D7CC2B98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0311D1-B546-43A3-8A53-62E4C29379A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9DA8CE-7C86-4576-9A32-57A3B1B70E4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7BD83D-200B-47EA-B4F5-273A8F215C2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DDDB91-CF3E-4344-B0B8-A3DE7D7D24F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1E2C05-0085-47C4-9581-363E1A23338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10024F-47DD-416C-B28A-FD13A97D362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41157B-FFF6-48CF-9606-9FD390D719B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F86740-A080-4172-91A1-C72CCE48B84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208096-E740-4EA6-82E0-1D8BBDBA5CB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C2B76E-84D8-438F-91B3-5B898045CB3A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1ECBE8-A8F7-4BBB-A739-7C39B4AE57C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6D802B-0C4E-4793-AE39-BA49554E0B1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6824D7-BEE6-4C91-BD4D-C77763856E9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5EED2B-DB6A-416E-A30E-0F151856FA3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C7BC7D-8AEF-409D-A808-CFA315415556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9653FB-454F-4854-B30C-394E3020280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19CA34-8D2E-4D8F-BBD8-F0A07291CD1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5F0CC6-3BF5-48D4-BD12-FDCE163684C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9D0AF6-C5D0-42C2-B38F-504B26159B2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79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4C92D8-2E48-49B5-A44A-1EE781B577B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B7CF4D-87DB-40EC-A3E5-687E1F03105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B8A3BE-3E86-44AE-8AD7-80BD5534905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068F73-CAB0-4737-8E7D-0FD46AEA9F0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B00474-A8BE-4606-8EC1-01A3BDD7022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33122B-772F-4984-B683-7F77D2C1332A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79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326574-F260-41DC-BE27-667F6528D95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D53835-AC75-436D-B0FB-2DD100562ED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539385-8FA6-4687-BB74-6F326DE93FB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0D9928-0335-4F09-9230-9787B5EBD38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758E58-BF35-4BDA-9128-90E57E0D513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F10905-3249-4926-8C74-F5CF31B0640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15D5E3-FEE8-4164-9F56-B3624CA3D11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634A66-B65A-403F-8212-E77B44524BF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F43887-6FD8-49FB-B435-35818D81A026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A22CDC-E2AD-41B6-BDDC-76A62F9C6EC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5CED4E-F691-439C-8954-6B29DDD6F89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09C47B-A164-4837-B351-412FAE4AE37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883EA0-16C7-4C18-A20B-73F233BA995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1603F7-B6C4-449D-B940-F34D16AD0E46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F030CA-93EB-4FBA-ADA5-EB1E6E3762E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3FB460-40DC-493E-BD3A-98FC7937817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566009-86C6-4332-A26D-7347E5D4E30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76F562-21FE-4FFC-AB5F-47039BD4381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1187ED-B163-4FE6-9815-22B739C9984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7CE4E6-B961-457F-BE3C-B1A7424439C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1AC3C8-139C-4234-BF3E-73DFDDC01E0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80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1DA64D-3D16-4A8F-8208-6E8E72ED360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536AF1-C056-4EDA-8BD7-89E1D145584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57EBF8-374A-4539-8611-381865D3B9D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0E4FB2-C89B-4CF7-87DB-D294B99FC0F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FD209A-DE55-467B-B915-D007A74948C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4D8167-AF38-4B55-8ACE-7A289599408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80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8D2C31-21F6-4858-8CF2-A30E330440F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078633-D227-401D-8BDB-756F9092701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FEA10F-32A5-48F9-AEEA-8429E7B418E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040535-E29A-4987-80BB-40B09E6854E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A8CCC4-20D0-48F4-B2A1-D68BC5A97FE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C35C2C-4C43-4F2A-A383-6C48F1551D5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8B4FA9-52E8-40C6-9392-22DAFAF94A1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22D0F4-E890-41B8-861B-4E68A990B88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5F901A-05AB-4EB8-8C6F-4D1259319ED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6F2950-7398-45DB-A036-321B73D75CC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22DAEA-6D48-4618-9154-315B4112C81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77552A-ECBB-4903-9522-28CEDCE12E7A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127BB0-F76F-4D5F-A298-50C483C8DC7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5AB283-899E-45AF-A949-43308608357A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5B144D-E6C7-4C87-BC85-5BEB0FBD804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4383BE-FB61-4A83-B7B4-BC4E0AE2B68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E02184-98F7-4676-BFE9-A4574AF6A82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C5F837-E570-459B-81FD-A85723FDA25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55119F-80FB-4852-9A9B-9BC58A0BEED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D4C8BF-7E32-4E4B-933D-DEBABED4563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E2D79C-A540-49C4-89EC-29BF14E5158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714375" cy="304800"/>
    <xdr:sp macro="" textlink="">
      <xdr:nvSpPr>
        <xdr:cNvPr id="80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B9419C-A60C-41D6-9791-4799C120D70B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5B7ACC-BB83-458A-B0F3-7B7C2AD5410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96FEF8-1475-42ED-AD5D-0B0E897392E6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834EFA-B206-44F5-9DE4-EBF5FD7E8CE4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37AC11-3AF8-472F-BACD-961C87DD3FE7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58CDA2-F4D1-4883-A064-F16923E687F6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714375" cy="304800"/>
    <xdr:sp macro="" textlink="">
      <xdr:nvSpPr>
        <xdr:cNvPr id="80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1DBF8A-C23D-48F9-A0D7-82E703736F0D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BB2F64-7671-408E-83CE-F283F42AA67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D8153B-8D5F-49B3-92A1-AEC59B373F9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9FD767-8906-45DC-BFB0-D761E999E009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BDE1B1-8335-4EAF-B9EB-41830BDD29F6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CDCB05-D294-4525-95FC-011F39E28F04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5D274D-8484-4239-8478-41239BB4EB9A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B4DCFB-3F30-45AD-98F0-A2753153E06B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F046F2-CDD2-4817-ADB3-E8EF226F1BD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AE85CE-D1D1-4CA5-AFFB-E229AAFD2A1B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A11C12-4136-42B0-8F01-C53109DADD0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8FC59E-F24A-4113-B94F-B1031B7BAA93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AD4395-F4A7-47DF-A963-B227263F9A8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B91AAB-B108-445B-A029-6438D74A883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39A911-3B76-4315-BFCE-B3A82FD3389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E77F52-A82D-4364-AD36-3FE86DDEB863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3AC765-CFBA-4DD1-99CD-68D927C248E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A0E0A1-576E-401A-9FB1-3A8A18894DFB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3EAEBD-7EC1-44CF-9F09-40AAFF35A9E8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890E98-26A8-4E02-9090-AE9CF64EACD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833EF9-87DB-4A00-84A3-8713BFC621E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714375" cy="304800"/>
    <xdr:sp macro="" textlink="">
      <xdr:nvSpPr>
        <xdr:cNvPr id="80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8829D5-1443-442D-8DE3-F8AED91999F7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527D84-4E75-487B-9F42-B7AF3A18B9B4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043E6C-8BB3-48C4-BBDB-A28CB7B5FA44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861BA4-B529-4A38-B928-A49EAC28925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DBD9D5-33D2-4FD8-94C7-89A9B20BE377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F79986-2A6B-4E58-BD23-7E1AF64CCEF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94CDCA-1AE1-4FF0-B0E4-2905D120C8A6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25B237-05F6-4F34-B8A5-CD5AF05FC60D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7C5705-3775-4061-B5D2-13BFB5884B87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1F5AC9-B8F2-4EA8-8939-4BDE7A237436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BB70C8-FC2E-4A14-9407-60538A4AFC0D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72CA53-8ED9-43F8-95F6-474D6B18317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34889F-0685-4B00-BD7E-7B18266A7EFA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D3768A-0EF3-4931-ACFD-EDA54A88D65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FB2597-CF26-4569-8A9B-2EFD34BB1B98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6394D6-16B2-4C91-82BC-C3DF637113E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CCEE24-1D68-4210-A64A-0376D2A99AF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CE9C05-D971-440E-B2AE-51973639D793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41F5E0-A1F6-4CC3-B911-CF61CF12EDB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60E6C9-D343-468B-8B63-F38FF2FEEAA7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1C29F3-5618-4DB9-A998-F80C4CF2676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4AE789-9609-4F90-972A-C2A97D31062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127C31-6798-430F-A9A2-AE2B9CCC600A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09D69D-F34D-4772-BCBE-4F4148CA88DA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0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4318C0-98EF-4D2D-B92E-F8059F603AD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0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1388F9-58F1-4A6D-92C5-E0977FE4C43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0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9CD441-143C-4563-9B70-4DDF35DAC8E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0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1EA735-11D9-4C91-BABD-350D3658F11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0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A9653D-CDC7-42E8-A7A1-F587ACF472D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0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ADEBCB-A5BC-431F-8B50-4B6D74AFEA8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0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DCE6ED-23C3-42DE-888B-64F43A3D1E0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0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6559B1-CCFC-4658-81B3-E1548AD531C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0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4D9BAE-0E7E-46F6-979B-EEB84797B9A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80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C82B0C-C4F1-43D8-9959-09167564D5D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0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1EC15F-2822-4E52-8F43-22C453375C7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0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9E1FD5-E6A4-47D5-A3AA-17C8C5D4AE5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E464F1-F61D-40D0-A5C7-82BAA1CD16D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F6ED58-FCF6-4BB3-868F-2179B2E5AE2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5FF1DD-E26E-4CA3-B793-E51BEEB3D83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81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E73030-6C82-4132-AD3C-8C39DC5C91A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7CF766-A613-4D6D-BE4D-48BD0EBBDB8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2858E5-7D79-444E-84F5-1FFF1DF4EE8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AAFE50-00BF-4EFA-8110-4039354A29B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E2365A-01E9-4388-9AC2-723908019F1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658B2A-D9CD-463F-B35D-0FFFBCB6956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100962-0DD2-4081-8A47-F04DA11D13F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336F6E-5E2F-4E79-BE6C-31526217FBB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63F0D0-C96E-48D3-853F-E8FF7232E34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C18FB7-9697-46A0-9613-D468D3C2BBD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FB38C5-FA5F-484B-9A8B-9A0FAB7E8D6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81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A9E71C-BAFB-4DDA-9DD8-1B41873C7B8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A19D40-68B1-4F2C-95E7-C25B22D3739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B604AF-DB15-4C7C-B191-B95B649133E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A015D6-D14E-455A-867F-17F872E3E04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1A14D9-BD0F-4C9D-8E4E-1E61935541F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2DFBA9-7570-4AF7-BED5-9DF190E6A1D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26C0F2-4BBC-45AF-9B96-312E43F4547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7AC650-1464-464C-B81F-9DC20E63C4A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D3779F-76DD-4123-A4D0-1A57F21877D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E71C5C-BD34-4F3F-A8D8-29C786A1500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8AFB27-A11A-44DF-A878-BD324277D77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7E35E8-1E7B-487D-BA03-097C2F9D3A0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5B8033-4299-45DE-9B81-39A92FF50D2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79B035-518B-466B-89B2-1276A5BED50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C88BA2-C118-4386-A70A-B9C77F5543C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61C417-43F3-4A10-A551-5D528E44C8E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910407-AC13-4DA4-849D-2BF0E6F1407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70BDCF-7F93-47A4-B607-9B8D4727AF3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ED6A36-B981-4E39-B03D-9D7A981A0E4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81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0C93C0-088F-4F75-9953-5C28CF07460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30F326-DBDC-40A1-BA94-0B7086FDF96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13EBCF-18F8-4E23-AF34-F6850636CBA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A93FB4-1644-4D9A-9325-37EADBE4AC8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9B07E4-E299-4621-AB8F-93D65F99788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D4A637-40EF-4A48-9FFB-7C2FADD35AF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81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37B53B-40ED-40DD-AC78-AF558B1D057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1B197F-8A9D-4AFC-B992-4845788095F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F03912-99DB-4E16-9C25-373E16B1912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ADC893-13FD-4B88-BD1C-68546341538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DC1637-69CD-4F7B-B495-C2D449A484E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5555BF-53FA-43C3-8548-29B3CED2C04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D50181-661C-4164-AAAB-87269058A03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FD92D8-DC32-409C-B413-72C5101D254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5B2CB0-D690-4FFB-B0D0-19CDFB77E1E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988D43-80BD-49F1-8EB3-9F1B63B60CB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B6EE2E-1875-4EEA-A34C-9C390872A64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81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4D2F33-E528-4921-9044-14C4C9A67D9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60B9C5-2F7C-4B20-AC5E-B3101219A66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16F40A-EB8B-41BC-8ABF-A9B6216132E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B0CC50-256D-4E9A-8F14-12F0D84B768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3A88C8-742A-4B6E-8CCD-6F9A1622B33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6ECEC7-760A-4FDD-A401-1AC8C233DB3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CC0F91-6534-4B30-8A4C-B7374E8BB0B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EE421D-3ED9-4FFB-8121-918F0254448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227687-E07A-40B5-844D-C0120460FC8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E6E194-3CFC-4706-A135-731B29371A1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2C2D22-A69C-488D-927E-F437FC1C412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23E791-5EBB-438C-BD4B-84FBB758A03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E91477-A0BD-4776-8335-7517440F149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977791-D5FE-4213-8DAA-D633CCCA08E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D219C4-3E31-4A13-A7AC-5BA02A1CEE1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F8503D-8274-46AD-915D-482F0388A10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2A7F19-55EE-428A-8BC6-C8923F66920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9F00DC-179B-4883-AC84-D1ADDC75E41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E237E4-CAB0-4D1E-802B-D2587F39533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A114AF-E0EA-46ED-A959-EC1F293ED3C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0F52AF-88BA-4BD2-95B1-3AD58B819D4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5ED391-1649-49F5-A8E6-F983721CFBC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2C38F9-2795-42DE-BA72-FF730CC396B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40360C-8773-401A-B764-E899E959307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15FC27-E130-4BBF-8863-6B89179BF2A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FBF40C-FD4A-4850-894E-7EB1C11E0C6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10AFFC-2DE3-4996-849E-74BAC026BC1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6AD76D-C563-476D-BBC7-D6419D19B65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180F03-8CC0-4F49-BAC2-ECA601FB81E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C08974-E475-456E-B633-F1AB25C721D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C89CE2-B3E6-40C1-A44C-F1C7AF05064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56A134-FBC5-4C67-8C55-B95AB0FD009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8D3B5B-BC98-4CAA-AD17-E2984E1D4C3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CF1D3E-AC1D-4899-A826-08C85FB44C1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316AD1-120E-4989-A499-DA98E28E0A3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763FE6-3E96-4E11-9C56-2A44AA2F7A1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DC6F82-DBDE-43AC-B845-3A0D1BB9E05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85EEBD-F2F8-42A8-B8BF-6A38FC7BE9E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A6A519-987A-4FFB-A935-A4BAEAAF5BA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C6F699-EF38-4E44-954A-2A008817866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9EF9F4-E527-4C9F-AECE-568B4A3744E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B1A248-8360-4FC8-9771-C4FBC33418B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BFE6C5-CAE3-43B8-B839-B94D415DA50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908C29-78AC-4EDD-8818-24A9956996F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1DB3FA-FDCB-49CA-B862-E6EE35E4756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3C6AB9-0AF9-4682-858B-6F6C2E1E875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8C2E5E-6650-465B-803E-E1C725DEC84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633A9F-A4A1-4F43-BA09-B54E26CCB64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AE9C37-F154-4C2B-9239-3FDA906AC17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1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3AC8A8-228A-4AC6-B189-8391943F8D5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D90591-13D7-4D2D-ABBE-BDB939A85D1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00A4DE-BB04-4A79-9581-4C59D65630C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79FA3E-E360-4A01-B615-AA8C843410B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92AD4F-4435-4236-AE67-2E1D7C1A9C4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A4C438-AC05-4E23-A468-68ED6335D4B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3E9062-9DFA-40F4-B23E-ACF19E4C467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7C1416-6338-45E5-B733-E132AEEBD95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B90624-61A5-4C8A-A431-87A580C00E4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1D4569-776A-4997-8972-931F26F647E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8EF957-36B9-49F1-8540-62EB8677A79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E8AA1C-3B98-4379-B81C-116A031808E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B41E46-FA91-4A71-9991-25CB4EE7CB5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D47DE0-665F-4508-944F-CD119F16D05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FDA19E-EB6F-4316-B036-52F8BBCE36C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AD3C6B-DE16-44C3-A88D-67533522D47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26D343-FA25-494D-BF1A-25773A0E7D3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FEAA4F-3EC0-438A-A76C-58B468509B0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C1BAD0-580C-41FF-ACE5-EAB6376A9AF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F6A761-5163-40FA-8844-09C5AD5E57D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6082D9-8E8F-4D13-8F89-9E942BBB5D0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3C8CA7-B71C-4B50-B5D6-7024523CA95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192232-DBC9-4C3B-9FF8-D2816718DAD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77E5D4-043D-4030-A119-B56B32A2330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18487B-6C6C-4289-9FBF-39D7E3657A1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C590F4-A670-4056-930E-C04EF4E4A7D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0EEC8F-4F08-43B6-870F-04172CC596B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E03B95-507F-428F-8182-02D1BBCD2AA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D11996-C701-4CBC-92AA-72E9ACE4D95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02C54B-DE4D-497A-B8C7-13A5A12DB42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381CD8-4DB8-4AC0-974C-013980E8A4B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74DCE6-412C-449E-A617-1D49B2662D9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628ED0-5C6E-488A-AB75-A84B3CB6F75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A9DB5C-4937-485A-BF03-5ED7D8EF87C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0967DF-4B70-45CB-9C5E-B6EBA0370DB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2FE042-13D3-4C72-9F11-66D909F8EDC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55C94E-6EBB-4B69-9F21-6CF62FDF9C7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41C64A-EE97-4157-B5FF-A9952D85EE2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28C47F-B6A5-4305-8363-FD3D08C9887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C67EBA-A4E4-404D-8F3C-0560FE95386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58A601-3647-4D60-84A2-AC2F0C9C252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7B97F3-4183-44B8-B9B4-C05499AD753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676034-F630-4EF7-B8E4-8851CB33928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D9F567-23FE-401C-B1F7-3A72AA92565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2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58D489-07DC-4081-8C15-A45B7F00DCC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82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5C4D98-D805-4C33-B59B-1703A0EF803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2B6A5E-6EDF-4ECA-BFBB-25242C24C56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F26C05-40F6-4524-88E9-1E129E4B596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06239D-000A-40A0-94D6-23A8DEEC72A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1815BF-9572-431D-8573-52D77FA17CA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BE3201-82CE-470A-8D82-53E2DDB6670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82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9D83E0-DD6A-4F73-BE18-18251AC0BD9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019A0C-2E22-4C2A-ACF0-619AE967FE0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5CA52C-8CA0-417B-A554-5AE243E8C55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CC35C8-4DF9-4629-8A5A-37D2BAB04D5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C2E9A2-AA7B-4538-808F-FF24A7CBB21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C7001D-01AD-4BBA-8024-F2E252F76F6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7A2E5D-22D1-4E5A-9E6C-15379374968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63B001-9AFF-4A8B-A99A-DADD7D4642F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F218C2-D74E-4146-8856-38FD43C7E76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1BFB8D-8C0A-419A-B881-C97A5A69BA5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DA4B5B-4638-42D0-A3C0-C4D9DE11C25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585CE0-4C21-4DAC-866F-AA07C9251DA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31C613-40B0-44F8-AC04-A10FCE49AE0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3D1431-638F-47FA-93C9-1041720067D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BD6EA4-5383-41CD-8B48-3F8DD98294D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51D45C-61C8-4555-82C1-676F7721373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EC5418-958D-4BFB-BACE-08FF92B3AA8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0D66B3-D517-479D-954F-CCB594BA40F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FB75B1-E8EE-4803-B8E2-FECF637A651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09C41C-2E46-4EBE-B9AA-392E945BE2C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499B07-3705-46B4-8846-4DE3C6D0BD0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82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5B6609-5577-4166-A79A-32507D2083D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26A021-5048-4369-9C42-D816D024904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5052DF-6D13-4C90-99D7-EDDF6706D9D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7C9735-A249-4E72-87B8-AA5E4E89537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9D0505-7528-44B3-B8FB-D791FC0DF8E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9899BF-E366-44F9-AD6C-3BB1FEDE6F1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1A0784-C035-4FF7-8600-A464355F4FD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33B1A6-0DF3-4530-B802-5830D35012F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A4A664-5791-476E-AFCD-9E242C540F8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A80E65-F959-442C-BFFE-14A23801292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D0FB6E-C28C-483B-907C-3C02BFE3E8B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51E1CC-C4A1-419D-A983-6959B5ADC31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35CC34-0A9C-4BFB-9D55-910321A1EDC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FA2D07-8745-4CED-A71D-DE8D61E41EA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F320FE-CF00-4B21-914A-7B84019EC53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5D505B-EE7D-4487-938A-75FC18F716A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83B190-04D5-468C-9DF1-4DB051E4EF5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CEBE46-258B-4440-9EE9-E1AA1E18228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14DDF2-2A82-4969-BCAA-1A190F15ADA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6A4AA7-3186-4895-9477-E6EA3882E3C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EA6D18-83D7-46F4-9571-5EF4BD86DE4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9E087A-5A8C-4138-B2B7-F1AA12D1B2B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5B384A-DA26-4513-B934-0CE649E4D7E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56B771-1366-4A68-B7FD-4BFDC0F0C86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2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75EDD3-6B1F-462A-A2F8-CB20771D00E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2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8B4B3B-50DD-4637-ACA3-EEE218D010C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2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784DBA-88B9-48CE-BC33-F82410F13E7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2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790D62-3D16-47F9-92DA-926B3863CCD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2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EE0DE3-1252-4D7F-9A6E-68F52463336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92E7CA-7D48-4DD3-B33B-E2582B41550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C627DA-F073-4FD0-86E3-B716E67832F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DC92C0-9E2E-4429-974E-AE6951A95F8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A5B674-7441-4BBE-8277-72B17A1430C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DEA6F5-36DF-4688-9EE0-4732AC91CC5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93DFF5-2ED7-4709-B576-4147F0DD241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E79EF7-6F9F-4CD3-9046-5368A7001CD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AA6A19-ABE3-408F-A63A-8FEE8590777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3CC291-99FC-4773-9D9A-04B65EB000E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5CAE54-1192-4B1D-9AF7-399658C8307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20211B-0CE3-4948-97FC-933799BB229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01E138-76D7-41EF-9EC2-AEDD8A7D034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B592C6-357A-476E-8F68-B441504CCC9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3D3686-7D51-494E-9622-6A350D3CDEE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A27B62-F767-4625-8B58-FDCF3B23C8E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910DA3-E3D2-4F50-8F2D-D9EB3D71B4A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BE7D68-1BA9-46D8-BC8D-8FC6F1E5EC5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8D1340-3FAB-4150-BA0F-3766D5DE601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0C9A6C-5BB6-4382-BE58-CA315563E01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BFC4A1-C23A-45DA-83A3-5FE2F2770FD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B524E5-2739-496F-959F-0C7199EF59D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8F9978-E244-43FC-B3A0-338D70EF39D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5F1927-03D7-4195-8568-107C147636F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DD07ED-3A3A-4940-B3EE-763FAC2F9BB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FEA861-A125-4C88-94AE-E5EF9821E0E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465DC9-DF8F-4186-8BB9-31B07E2986F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462E15-2473-4F78-AE45-D6C966BAEFF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7A6C78-5455-41D6-8EB6-38AD39CC6D2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4DD888-B043-47D5-89C7-7267F57AF52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E3654E-9536-405C-B54E-04DF955AC73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EB0F66-DEA7-4616-ACA0-628470A9409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013F6B-5E26-4700-8C74-237D48CEE00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CD2FE6-AC61-4717-8298-FF8BCD4F114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C4E417-5117-4A13-A630-83C136D0AF2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CD828A-9D67-4021-91AA-F6B3E44D33E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F32476-2BC8-4C07-BAEA-ED8AAE359C5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EEA413-786A-440A-A6BD-8981616C29B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3226E4-8E6A-4A8C-89E4-40CFB0066EF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C10437-A3A6-43DE-A99A-AE1C27EA376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BD4951-EF0E-452A-BE51-417132A9771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C366A8-27B9-4398-9C2E-95B715A2846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E8F999-96EA-4C43-A22D-6411916CA9C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D0C5A1-3976-49FB-BB13-6B167351EC3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77D268-5600-49D9-A617-1BD76B6AFD3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989D63-B6B2-43EC-8269-60E0E3FBF36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FD04D4-0872-4C6E-B58E-16611F64278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848F9A-A3A0-450A-AEE0-FB1DDB3B5A1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257CF8-CEE2-4119-8610-79A3E686FA7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D2CE61-E0C5-4B72-8D09-1D69B56D5B7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30BAA9-E74F-41B8-B3E5-C7306546A18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602786-5246-4D02-8D44-4530216258B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720C5F-16A6-4818-86DD-40F2F0974FB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E0E7CB-9CE8-4889-9CB0-88632B0ECF4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6D2404-1DC4-4D2A-B047-82F38EB4B79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1BB52A-7372-490E-AC8C-98F21A072CF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85ECE5-1E51-41AA-9CF5-0047DAA912B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F6CE13-4371-400E-97F6-2131E090AC7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304460-DAC4-4321-BDAA-C1324711F92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BC79B0-AF2F-4074-A997-0588C410ABD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B53537-A0C9-4128-B160-21C679B3737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FC8212-174D-4110-AA73-40233249B4E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130C3B-FDF6-4B49-AA50-E5CA919F9CD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AA356D-BC1E-4136-8767-AA2E68DF0EB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E21C74-AACE-4427-ABEE-8B8F93C16EF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0D4BCB-84E2-4628-B1DD-1871B24326B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C5A03E-D4E5-4B88-867C-846CA7F6909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00971B-F32D-4D8A-8F7E-DFC7920AE9C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F8374C-20A5-4A9C-8F2B-948AC94691A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D90B43-FCAD-421B-8453-BDC58AE2B63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E7DBF8-77F3-4FE0-BBC7-A87E8D39914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D4A535-5CA3-4015-9501-29231BA738F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5AC00A-4378-48E3-BE1E-EB41F2B0DB0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3DE36C-0EAE-4798-AC07-97454D26DDE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DC7BD1-72B3-4FA0-B999-CEF91A9F584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C8C0A1-765D-4934-BBAE-F87DB142586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FCB93D-9A90-4328-B171-0B813DD1BD6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75FBBA-9B85-4599-B804-F16E79CDDE3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0D828A-FEC7-4610-A779-8D66044A6AE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1C4D02-A084-4E06-897F-966C1B6FFF6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BDFFBD-07C3-4C70-A17C-F6E51C8E2D0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AD1095-B2C1-4A41-A9CC-C358F4E881F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4944A5-859B-4798-AB8E-217381E8AC7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5383BD-59AD-4E8B-ADB3-FFA15DA35C4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5FE4A1-4CA7-4EC3-A0A6-19B3A29BDDC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81061F-8CF3-495C-AEF1-EA909D5053F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EC4F3D-2367-4C2D-88AC-33F7BEC9828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724147-7628-4BC8-83D5-1258FEE81AB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44FCE0-9F9A-4856-9C4B-CC54E0C37DF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8A25EC-F9D4-4008-9DD9-7B96A4A2E2B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7F2BD3-47E9-4CBB-A1A0-1274B55BFD3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BDB52A-D219-41E5-A44F-A429ED3B266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D06B83-50CE-454C-8103-714B0D182B0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406240-2854-4790-AE10-B7C241A2158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32854A-1A56-4064-9516-7488698EA7F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474F25-BC9D-40D6-A2DB-A859E120C7D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96F340-1A2C-42A6-8463-510DEA11DFD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0E3AB5-BD4F-490F-AA75-BAB75CA5EFB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C3E433-E9DA-4408-B104-901A9A2DC57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01C228-0CD6-4ED4-8C02-4EAACA49AF9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3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A4554A-DCAD-4B99-99F5-52344C4E6A8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09155F-2A89-4EA2-B96A-160B8BCA9D8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BF2845-B016-4134-96AB-20ACFCFAFA1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58877F-EAA3-4EFF-9D53-5A0F65D96A4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CDDEB7-4916-4EEE-8F50-65F565DA19F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AAD634-2ABC-4F69-B439-757DD7832CD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C4BA02-7F44-4750-A540-0F539C9B4DF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54231D-19FE-435A-838C-C5BF01AC7C4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3505F4-BF7D-4610-9D73-80E60D16976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5DE2AC-2648-4B9C-898C-514D5D38EEF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39C548-C8FA-468F-A7C4-21761257559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D29837-8D6D-47FA-BEDE-5C045C39D6A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2904B1-FC0A-4A88-B3FB-DA1C2268648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FA962E-BAC4-46C0-A0F1-D443C080C6A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C018E0-6421-4680-9B36-0511755BF1F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ADCF03-C023-47F4-8670-D4AF4EAC412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98446D-0738-4149-86A7-393C0206CC1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0B0AF1-0E1A-4C46-9697-A57D272F674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1DFAB5-F997-4274-82F1-06B7F1F4E43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F22E45-F724-4230-996A-FF2CF7E3651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4DB3A3-3281-4CF8-8D4A-BF0777B596F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848D9E-22EA-4E97-88A0-1C12E3BD724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F7E7B8-769F-4DAC-A6A4-DB7CEF69868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7430A3-2BE2-40ED-87A6-23650AB4F3C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802865-E5DD-4389-B374-BBF10901276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011845-1DDA-420E-992A-41128151827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14A6F1-58EB-4A9E-B4C5-94C042373DB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C6761D-B046-44DE-A8C0-ACF094C4FC2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CD1713-2A6C-43AC-9FBC-E4EA32013CD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535DF6-2FD1-4235-8462-101E73075A1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448979-36E9-4FD1-BE73-830209D941E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92DACA-8F15-4B1B-881D-F1F95FE38B4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825899-7ED1-4D48-A60F-CB197EBCCCB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5B18E4-14A6-403B-ABBC-B9890745569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FD79EC-83B5-429B-9DBA-03095081123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768939-27EB-40F3-A528-1CA72191E93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937848-C7BD-4C06-9A4B-B9C584829B9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06E899-2262-4D9F-9C3F-616858D085D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A5CE90-013E-48AF-8288-E6AAE30C408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A37B3F-3AF9-4545-AED7-074BA3D5976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5FEEF1-A7D5-47CD-9D8B-CCAAC4B438C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F6C6F7-A342-4E21-84F4-CD86BECB0CA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192B87-65C6-48B8-AFF3-1815B5CF980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E650B2-FAA8-4DAA-8FA4-2ACBF56B31B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FA7262-7F9C-4678-8C3F-0583E8BC3FB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5AD1F7-C9DA-468C-B65B-DAFFD7476B1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60FC4B-EC81-4152-951B-99F4A12C3FC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009C9D-8F19-4D53-A550-F81B7EA193F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BAA005-47D5-41F3-BE1C-762466699C0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0F9554-8926-45A3-8CE3-526171B2CF0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FECAEF-A61E-4384-9595-A4CE50F6818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A7062F-4557-4B21-8FE9-FB18735AA5F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9DDAC9-79DE-43E8-A39B-FC32D957F55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4FA9D8-29FE-4FC1-A8A9-3F3CC4B47CA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558862-31F2-43D4-B8EC-87B84648528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60568F-4B76-4A60-8E62-68B3E019662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0D547E-5B24-45FF-9B1B-F0353D0D8D0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217E99-3093-4895-8E33-E15962757ED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C7043F-17D7-43D9-AC1C-848D8901194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595D0B-6F6D-4170-8C54-7A3E1F53CAD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8BD8D4-7D8C-4F2B-A1AF-AF3179EFAF0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B93DCB-EC12-44F7-883D-DC1650B91A7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7336F6-0B01-458C-A162-DF6B31BDD88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916D0E-C77A-4512-88F4-4E08A8F5E3A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D1EB8E-1F6E-4070-9616-E42419236EA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1BCAD0-11CB-4072-BB80-3668D469980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D193C5-F3A9-45AE-A8DD-69AD803385D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B26E4D-19BE-4B58-8FD1-899CEA9436F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54969A-FEAC-48CC-BB19-35796D4AB15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0090F6-C1BC-474E-AE9F-DFA51E24F76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DE2F69-618B-49DA-869F-64DCDAEA3E3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AA6FF5-99C3-45C5-9A53-D3BF352D6C0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A3E0D6-A8C3-48BC-BE80-DEBD1B48D1E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F24755-7429-4F76-BFD0-35DAF1ADB40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D1118C-B99F-46C4-A1C1-3920E41FB16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9F37B4-F9FD-44D3-94EA-4E7BC3325BF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7CE1FF-1008-46B4-92E6-484C129D831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3CBADB-33D9-4835-AB38-9E2AF45D1F7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C8B999-9C34-4B6B-B368-50BC077D66E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2B43A2-E3EB-4FE2-9475-993A851DACE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4B39FB-80EC-44D9-8972-BA1AAD169D6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504171-114F-4B38-AA88-F440B937F8B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06CE49-8F46-4735-88FF-EF8E6C21E2B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A767B7-C2CB-432E-888E-F81C579B124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6B896A-BBB7-4CEE-85B4-5A797CB561B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7E3504-A8BC-4071-AB5F-E8487F0ADD7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8DE9FF-9257-43B7-9A04-796F25D71B7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59E72D-E9F9-41AA-9DDE-DA28C0A867E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3C6F49-89C3-4693-B851-AA31A2BEA4F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71DC1B-7748-44C5-8910-099A8B57962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0B50A0-B04C-49B2-A014-FD4197315C8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F357D2-FB23-42DB-B0F5-0C7068C2A84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676001-C461-4230-8178-07AEE8C4F0E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744746-8D11-4186-9D59-0CE4324374A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65B1D2-C1AE-4AE0-8E50-FABBFB33D33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4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28FC8A-E7F3-4762-8E1E-20C538BAE1E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360049-649F-425C-9278-EF041CFD9FC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594983-1CB7-402D-8E64-1664E5CCDAD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ECD09F-BFCB-418B-A9A9-107B5867F64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E01E17-4754-4840-B7F4-961670377A7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4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6579E9-A925-41CB-AEBF-0C53E286A6F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F2851E-7E3C-4A55-B717-E688CAC74D0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85F6AA-EBBC-4083-9A2D-EF2ACEA6EE9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000361-8242-476A-9BC2-B8F18ED4DF2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AA3556-AB0C-4028-A1D8-F2049CB34A7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53A80B-A970-45FA-8577-D8892136096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59B280-7013-42DE-B1B9-7E9278490BE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D0CA0C-E349-47DB-9237-540B7D3043E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3C8DC6-2A8C-4A68-8F85-E2575915DF7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4901E1-30FA-4670-BAF8-CE416E40D65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DA8F6B-E5C2-4E81-BB29-D4F6368A018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ACE943-F4A7-4DF7-A824-0DD67200B46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B40D0F-C727-4B2F-A4B7-1969C51C860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F7AB14-C7E3-4EB6-93C7-6C7F366FB07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2E4990-BD62-4CFB-85CE-7DE941B5C72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AA1921-F73E-4DDE-83DA-00720A4B87D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057B34-556A-45A5-87BE-B280645B2DF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AC6386-16BE-4B25-AAAD-0D3CF2C6051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CAC90B-F8EF-4C5C-B43C-22EDD4DD09C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DF00A2-C7CD-46B5-A324-FE6F04865D8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97370F-1863-4FF4-B2E1-352DDDAA6AE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2238E3-6453-498F-AB8E-0A7C6712B25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D34746-9E0E-4323-A702-4343F534089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8792A4-8285-4A10-ADE9-2569208030A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276F7C-C09B-42DC-A0C3-8F2F8432821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442203-BB66-4065-AFB0-746301C081A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DC224C-319B-4F35-9564-98808E03CE3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E1952B-D9A9-4C52-A91E-865B72AAAC8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86E78A-823D-44A6-8BFB-4A64F046E93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E265E4-81F5-422A-9553-F8C37049235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2844C3-EE56-4D96-8B13-2A5BF6A9D7F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BB8926-A1AB-4D40-9FE5-AB4C4C51558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BF2B5F-C4B9-4E8F-9E86-9EE174B4328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146185-8C40-448E-984D-C832EB7EA85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60E08E-693F-41BE-B123-32E9658B764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263920-4F31-435E-853E-23A9D3AC93F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97D671-6122-49C1-B0D1-B4B3C331DC1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C4D7AC-C319-4853-95D2-55F8F3185F1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83F06A-817F-4F9B-AA9C-851C646B159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5B2278-D416-4EE3-889E-9F8B5650317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50DC36-FDCF-428F-988B-9AED1663475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0BF149-793B-4736-AC6F-2B3A17C9263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DEA131-9C6A-4FE7-9080-8994C876CD4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0C7FBC-977B-4FC9-8FD2-A151326730B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496D43-DCCB-4D04-B98F-FB334AAAC1E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32DA1D-D7F3-4D51-9299-99D33A65453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ED2065-2173-42AF-80A6-CBF3BA78D6B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796B92-0433-4EA5-BC5A-7FBF87E08D7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3FB549-D16F-4435-BE17-9DA47DC9FDF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416A12-F99A-4250-AD24-41814F4C584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A54AA8-F3DC-4B2E-909F-F236DDF69F5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6C795F-F1C0-4384-A347-33214B6B1E7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BD0493-30DC-4AEA-BFA1-0F58A7E7D77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2C2128-03DD-4E6C-9C11-438CCFEC48E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BAF0C3-F4FA-432F-B6C0-306992C485F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A6B632-9BDA-4501-B997-178FB5800C4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AF7EA2-923E-4DEB-B3B8-7BA1E7A3F69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041580-6330-490B-B791-409E4E8595B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117F70-62E8-4678-BBED-E717D9A5AFF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85AF8F-B17B-4B21-BDC3-B83DF835203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605D77-9824-44D2-9215-8189B01112B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1D695E-D762-4846-A1D8-DBD65ABCD87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7C8728-0C9B-4DA2-A671-5801669A7AE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70EF04-2EC4-4AE4-BE60-04C7C354DBA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DE5C1F-1877-469A-AEE9-05E176C9200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057749-A226-4892-B001-C0327DFA618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17741F-3522-4C08-A4EE-BB6F2F9FA76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0DCF93-7F99-4095-8895-14E6218392F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598273-3961-454B-8CF5-19556A4F827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E3BBDA-BBA3-4562-B101-FEBE30A6DDD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9F4D24-A029-4FFC-BFA2-E3246AA8AE2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E1B0D8-C9E4-4117-BC2A-9EBF979F3B2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DCF0B9-E8B9-4116-B35C-B2856BAB16A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EAACC6-3793-4829-93C1-1C59BBCAF85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97E3C9-A7E3-4971-895C-28F12825A53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77874F-DF8B-4F78-BAA2-FFC759CB2B0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423B1A-AF85-402C-9241-91BC7E27002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CA0C8E-6F25-4990-8DDA-941F88A7618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768A12-9B8D-4A85-A89B-B1D92F08119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D000D6-1457-4104-8AFF-203CBC9136F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363F00-5738-4F47-BC4D-46EDF7D1B08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5A6A3B-BC06-4CE0-ADA9-0216B43D35E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4C7A60-7C9A-47FA-933F-D40615C584A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0821B5-933B-41C3-B054-88DA2CC9B3E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9FDDEF-74C2-4070-A62A-4A3FE9CE5A2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3952AE-51E7-46ED-B5DF-3356172BA4F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2FC6F4-F073-4527-9BE7-4852287411C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CE36B4-248E-405B-82DB-83D62028D6C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BBA5F1-E941-4525-AFE1-F058E5E4C4B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B23E29-2683-4594-B368-D2D14412446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24EB86-D0C5-4FEB-A262-5BB7C089922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EF19F3-34C6-4708-97D3-136B75B008F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6BB98B-B696-407D-AF95-89CBE7C8014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DFE257-A839-407A-BBB5-C43C18E1517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CA9AC0-D407-4F69-9D51-E746CB6F7D2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946109-4A65-467F-9716-93FF188BFAF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00C074-0D56-42F6-941A-672F6786A92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8CC6C2-4272-47FF-9F45-2E49B4932E5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5633D6-7605-4783-A8AB-D0FF0DFBC45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9704F3-0056-4E08-B0D7-889FEB75DD5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5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3EC932-A1C7-4310-B3D3-1C7F8492B6A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574375-B0E7-4A7C-B7BE-7DF118BAF46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A0576A-389E-4746-A857-DE7C9B554D9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32D3AE-658B-4055-AEED-6C104C98984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8039E3-B8F2-48E0-8CF1-C7047E3F0D0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8D38AA-E16B-46F7-B8B9-B9053700C12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D8B8C5-C21A-4B6C-B833-B23192EB77D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4F4E89-B566-4BD0-A4B5-ADF87CE11C1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CD686B-E337-4CB2-8F84-D780E709E8B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9E315A-82ED-4801-BAA4-7FF5720CBCE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045236-F56F-4DCC-892E-E21FC6C03F9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5E6897-A734-4FF3-9A52-74F24417620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204001-C887-446D-A749-81FF964F6C7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959FE9-F4D3-45C2-AA76-4D1CF2DBB46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5126DC-2C1E-4893-A8D7-663EC16C75F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A8BE55-E84E-4BB2-999D-FF87C418B23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AD8795-7DF4-419C-B420-4DF2FFECA31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9DD82B-CA49-4FE0-A052-3226FFF6B60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6F6F9F-C1F7-4E52-BA65-43044F62E84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FC39D7-EBEC-4499-85E0-D4377427C54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043FC2-6557-48E9-BA55-8494DEDD826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C46726-4A2C-411F-B7C0-10EA6CCCC33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2A4BCA-BDE2-4DB8-9E04-13961816264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0D21E8-517D-44F3-B346-C70FD29FC02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54BA9F-DC0A-4F61-9B65-6D9D3919303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BF6DC3-5422-482C-9787-54D732FA467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57D1C2-95AF-4327-BDBD-B744A028BFD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E74454-228F-4CF7-B955-8038C93310B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6B1ADE-2716-4D51-895B-577932F4C2B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36A908-A7D4-498C-8E20-A00063AD4A9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5EA741-5A3C-498F-A506-19B5583D7A8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F3FD3B-F815-4833-A86B-01FDA068D37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9A9F0E-CD2B-4E32-A64C-586F691C659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73B471-7F1A-469E-9FD5-72077234EC4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B1CE31-41EC-4B81-8131-4A73642759A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5BA282-3CF1-41D1-ADB0-EA6C77A5FD3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8B0C60-A994-410C-8EBE-5077E84A527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419BCB-FC24-45F3-8A98-711DE10ECC2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109269-DA08-43E5-8F11-F216A8CE01A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2BAA30-137B-4155-B15E-E7E70575F7A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7C48B0-5314-40E5-B564-29E094EF472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89F43A-91B9-4B35-BC6B-A7797E72D4B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090525-4780-4D88-938F-7DC9A2BD3E0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B73491-95F2-4AFD-99F1-0948947C80E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6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B4D323-E976-421D-8355-1855216E08F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C4EDA3-43C5-455E-B84B-FBDEFCB2687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5AED9E-835F-4D07-8DD9-3A05A05A4B1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D320C2-D535-4B49-80D4-E280FFA10F2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AA1DB2-4A19-4E5B-BC2A-BEAD6B707FD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336E00-D1F5-4901-BE2F-AFBA7A264DF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2EC6B1-35CD-40E9-93CA-560A5AE5108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7B0699-4F5B-4D06-B096-5B22448EA12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6AC713-FDD3-4FF2-8B4F-3579FB39DF5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FC992B-D5C5-46FA-8970-E1E4F44912E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23626D-B3F8-42B8-A84C-DA2701A9E55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31F60F-4260-4D8C-871E-729080009F0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AA58B7-8C02-4308-AC1C-03812A5028F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EB4777-C8B3-4AB3-8E00-8F555814A88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30F509-9160-4BC1-880D-06E4F135F6A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A16D68-0715-4D7D-B4F6-646EAB2551D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3D0438-FB45-49C6-BD85-D54ADFEA4B9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088B36-CAC3-4E0E-A95C-5FF9FBE43A6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0C5367-9DE4-435E-A5EE-BDA3E5A88C1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CBBB0A-87DD-4B68-AEA4-90013F79ED7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6D8E48-EF33-495B-AE50-294365A4CE8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DE65A5-D268-477C-91D8-44170A12B00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6FD9E2-778B-4C8D-9DE3-D6EF0369F5A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C02337-B273-4F9E-BC47-A6B87299B9B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594592-2017-45BF-AFE9-87EACF3173B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81CC0A-C369-4B5F-9D17-EEF1FB02051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C8657F-E592-4C2F-9CDF-DF9B25E9A8F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FC9234-EE35-43B9-BC28-02B3EF8BF58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FB9D67-5F52-41C3-96E5-CFB27AADC83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8960C0-E114-4D8B-BC4D-37042B4BB0C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FB30FF-74B6-446A-A4A8-60BBB16FD00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7BD013-8EFA-40F9-9FD1-09186DB826E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1FE29C-BACE-4068-AB69-22B1EECCF9B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969011-2AE6-4A15-96D9-8C3953E3D3C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A15DF3-ACB0-4D1C-A80C-62BE4154809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D2CC7E-590C-4964-B921-B2665E3F9D5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5B2FFA-3377-4CCD-9FF2-7E4416D0E49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2A5C7B-9D56-4D90-A202-087F92A9F0B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2BCED7-B1C0-482B-96FC-A9E04A3F69F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89373A-B1CA-4EAB-A476-BBA14DF6783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6A3A0B-1001-4A84-B1AF-3A47538C617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BC039E-74FC-4080-98D1-E780CCB7584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AC77F5-D464-48D1-B05B-33EF7D5D38C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5C1859-E5D5-4857-90B4-56E85D18761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F98EAB-46F9-46D4-AD6B-D4C8202EBC3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ABBBBA-3A1C-4C79-AAB6-D579067FDA7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4C00E5-CB6D-495E-9B5B-CA43EAC2D2D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5A5440-67B1-40AB-8A72-3BF7666C08C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C019F4-6EFF-4775-A511-E09EC32372D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2B9330-8E18-482A-AFC7-20CE9134111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6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C89AB8-7463-42EA-BFE8-228103E3DF5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6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AF9CB0-75E9-4C68-B002-F9F31982E20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6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15C2F4-046D-43DF-AB09-4E0AB2C28BB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6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F80413-F846-4111-A51A-97E9C2408D6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6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981B10-AAF9-45F0-AEA5-CDED06149D3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6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D05B5B-4172-4D24-97DB-78302220732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6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5B990C-8100-4178-834B-69FBDC5E803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BFB7BB-7381-40C2-BC1E-7D190C9EC69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5F9483-9B18-458A-9B2F-BE34DD5766EC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0103E7-8E15-4799-876B-5F1568A9EDB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4EB83A-7778-42DE-BB04-4FB208663CCC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A404CB-DCD4-4D68-A948-20D01CDF242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E1B9FA-DAF6-4E88-8588-A935200B5A3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6FA519-57F5-43DB-83B6-F276C09FC47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A89225-FA88-4F7B-A2C3-B714DEFB398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8E056F-B971-4CD6-9855-D6077FDE5EC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356514-AD8B-4F2A-873B-F579568477D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64E60B-D2F0-4385-9579-BE5A6096034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B3EC36-D86C-4D21-B62E-EF76F675598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26CD1D-D885-4F00-ACD2-7AF8FC902A7F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B881C1-255B-4266-AE70-31BB8D70AE6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1F09CE-EBB3-42D9-8AD6-DD68B9F07F2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2D11E6-6E01-48A9-B9FD-7B646C7151BF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27E90D-9239-4478-8FF1-0A2819CD433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CC7BC3-8968-4776-8F69-1CED06E1D4E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3463FD-F293-456D-B039-BCFE95D245D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165B3A-31D5-42F0-9241-B0DBEA4FFEC2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17212A-9219-4A25-A5AE-285DF70A5F2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AB8E0F-4F12-405C-9EF2-EC054EFFC3B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7D5716-D44C-481E-9813-61342639F9CC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C73F55-2964-4428-A88E-AA0BBD66E11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CEB7FE-3F50-409C-B675-0F0942DC922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84198B-A2E2-4CF5-9649-E744159A650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81215D-E090-47E1-B48F-8C517409858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028C71-4566-460D-AEAC-B60171AE478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22D33A-AE77-479B-97D4-BA3436521AF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E28D79-043D-4F9A-8464-6BE959FE8132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E9EF46-02D8-44D6-9E07-DE4CD2DC2B3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0146E3-0EF6-4BAF-B15E-C815BBC504F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272AB3-52D6-4E3E-BA57-526DAAD588E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B9E5A3-74EA-46AE-854C-0229EE5D40E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F02196-AEF6-42A7-B817-DB5245151CFF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7C0C98-8938-454D-8F45-1835EBEAECA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D3B85E-888D-4B23-A8C7-21CF3276112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B3AE75-F684-4FB7-B8A5-636DE8B9B27F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ADA57C-2D72-46E9-878A-1C64A104502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A78294-86E3-477A-88FD-EF4AE24D4C8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893871-BC4C-42B7-89C1-434485267AB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389942-C878-4C13-8504-81727D34BE6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308BB0-624C-417B-93E4-BB72A64D31A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E2E6DA-E1F7-41CC-BA25-BF4EC903D184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67C520-A53B-4F03-AD76-B8A57122501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1BAB6E-4C8C-47C9-8F55-F2BAA7AEA52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5F6F58-14EA-4194-8792-D1B9BEA2E36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32E1E6-4162-417E-8708-D5B5361E578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893CA2-780F-4E9F-BE81-9F179EDBA54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F09851-AAC1-4611-8D20-6EE1759987D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079C32-ACFA-4CAE-AEF1-B29789CCEF6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C92284-C90B-4C30-B86E-61BC252B923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5486B9-223D-4205-A6D8-13EAF3FC251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9C74BE-72E5-419C-BFEC-26B9C70DB84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F76A58-F2F4-4D87-8737-3BFB3A92817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A98BD2-AE2A-4287-BE5E-0DC6456B86F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ECD765-71AE-4D23-AEFD-C81E4341201F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193A6E-DC11-4122-A52D-737399500AE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E1C88E-6B59-46AD-90B9-3FA84997215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9E2B52-F1DC-4E1A-9B7A-E4EDFC1BE93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DB3065-9154-461D-858B-D9D5D7B8362C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E88E93-16C2-4BC9-BFF1-A1C866386D7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80C722-0D20-45D5-B5D6-81416EF94C6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87921B-3C61-46DA-ABD3-05FD0E6E8C4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23A1CB-1FFA-477B-9899-DA8312C0954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69CE88-5E12-4691-B40E-FF525736323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70C17C-C9DF-4B67-8357-439ABE33B42F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412775-C954-455B-8834-1301E039102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63623A-30E2-4810-8B5E-2DBEF25A6CA4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23EE34-8C32-47AE-A6FD-7F68CDCB04E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644D35-C22E-4FAF-BAB2-36CDA587902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8CDF15-2855-4597-B149-4534B283D5C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2E5A84-5D93-490C-8ED0-5B4F643D1F9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A18270-2BE1-4370-B28F-153F65C55854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EDC9D4-952A-4093-BAAD-311BEF0E7A3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F7777D-7F5C-407D-98F6-7BC2035811A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7AF111-FCC9-4C7C-B30B-BF3BCFD78802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5F88B9-2ABF-4AEA-A516-CBBB48EB196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120376-6591-4D28-9364-A7618D28249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FBECB7-3B59-4CFE-B829-83B28EC2E8C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2DBEEC-7D48-4F73-B378-E1B2850BC42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1A285C-EC6D-481C-B5E6-919C59A8444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4CB87E-C0C6-453F-9C21-3B7811418D4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45C1B4-67F8-4E93-9987-6C7B8B495FA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E632CF-CC41-4225-82D4-7AE96A3FC29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3CCA9B-B800-4EDA-8B35-FC82A342A284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DCCEC9-49B0-4832-B4AD-D07D94B4830F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7AC7F5-ED75-4FA8-9527-5554107C126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BCC107-34AA-43D6-A4E9-49E213A9057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7A7212-98E6-498E-9A5B-4FEA5A7BB71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8E684B-1EEF-4332-868B-B5A178F3A19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733FD7-4472-4FA8-9026-4A1CE61A87DF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929186-D342-4807-9818-85A562912D6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3A8EAB-378D-4FFB-9552-44F7D45373C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6A8FE1-1281-4DB1-8D40-BEC117D4A81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108940-8B96-4496-A740-18CFE741BB2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E669F9-90F0-4A42-A309-4F27AD1569EF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368A72-B767-42BA-A37D-DBFE0AB3F40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E7A7DE-C32F-409B-9F6A-B5F6E0866CF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7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4D6C49-8E72-457F-8DE2-6313E0E607B4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ACC533-C19F-470E-A4FC-70E19D00F08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298254-C626-4149-BFEC-51D62503DA74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0CF597-3683-4DFA-A93C-17C4340B7A0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B7A70D-FE16-448A-995D-81D15CE8836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851CA8-8E0A-4197-A343-8027415C700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0AFEA4-9FD8-404E-B5BA-BE31FDBB35E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99F080-12E6-4E6D-9522-D65268C3369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D70944-9A0B-4D69-A35C-6C11C7408E0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417B72-E3B3-46F9-B6E4-8209B46A136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F69E12-4D04-412E-8E50-1A3DCC5DE29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BCC0E2-6D69-4D78-89EF-6D3872AD3B4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8CEB9C-C35E-4CF9-BC0B-23734C48947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44159F-8342-4AD6-8A2B-848B35A5166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246AAE-8CFB-4B4B-A456-804C07C601F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6EC837-CD96-4FEA-9B02-16A67EB872C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1274C7-117D-4903-BBF3-B6B871AFFFF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07134C-36FB-485D-8B77-3BF1CF8DCE0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04CB00-728B-4D6D-90BA-2000A255F3C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D14E86-F717-4395-9BF8-215304EBF7E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716535-95AF-4571-A4E3-40C39F2D812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33F9E0-4CE3-42C4-921E-3C32B9B718DC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9E74F4-8DF4-4937-9ADA-64B72FF86F0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3CE519-4119-474F-B8B0-1AE8DCCD50A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A74DC3-ED44-4070-9360-E1B153CBF41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8131EF-E691-4799-8A48-C3454AE742B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3DC7F2-116B-472D-BFEC-B9057A2FF16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FC9430-D977-4BE8-93FE-DCE266FC34F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E83993-3A47-4E88-AB9D-D26EA67C1CE4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5AFB31-FEA2-44F3-A8B4-7D03E79DAE12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FA45C1-3D3D-45AE-955C-F8FD710A09E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A55408-739E-459E-BA21-4F2863E346E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1EE1EF-B2A7-42A6-B392-2C48025F28B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0079D3-A8B8-4018-8DC6-688B611BE27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2731ED-C92E-41E0-AE35-DD1F64BCC8A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9B2BEB-4ACF-4A87-911A-D4C002C5739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92A1BF-054D-48A6-9D80-1F9FA93FCC3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5A247D-959C-4ABE-90BD-7CADCB32B5CF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402928-4987-4386-B86B-47E57AC81AE2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0BE4C7-05EB-44E4-A754-54798E4B6FBF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522402-2982-4B31-8FB1-3886DE94C87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220343-13A3-46D7-B4B3-6B24E13E59C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D538CB-A481-4902-895C-BE3233314F3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88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59ADEC-4702-4393-83AC-891093E2F98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EC6264-69FE-4066-865C-5EF31DDE215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B82A84-90BC-4280-83CA-7A27AE4A2E1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16C424-B601-4DD3-AE05-75A4D4E31B9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46DE80-9E15-4593-AADF-24C1E8EA5B1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B7F019-A115-4D78-9FD5-F13B7527155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FD84DC-556C-4B5C-A5E4-1D76468CE53F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4B05A4-BC46-4A25-9547-C79EFF290F9C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7FD95D-706F-4954-9900-29808C203062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8C6F48-A2A5-40FD-9362-7DC83E3B539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EBBDAD-2DE1-4D64-A3D6-2C51F937291F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C1B57A-11AF-4B67-97A7-BA48A942ECC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E273A5-9FAA-48EB-9D81-C6CCF33D17D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387C43-05F9-4C36-A94C-DDE8983C35B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C93DEA-13C7-40C7-9890-ABB24F65752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CEBDB4-F411-461C-8B8C-6FC7016AB17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96C3C6-59C4-4879-AF5F-2710B472FC9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17AD78-E102-4A20-9E81-3E789CCCEC0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A56465-86C1-4CEF-890E-2499F40B6AD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794782-DBEB-4900-AD73-39B2ED9B2FE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23E3C2-19F6-4E5A-9477-83DA5A8C122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039F03-22DD-49D1-BD0E-7B3BB0D0800F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6A77A3-410C-41BA-A945-A0D2AD7A4A9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70D641-2BF1-4508-940E-00A93FF13FE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2E8CFA-1850-45E3-A24F-9F537183B4C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3EE682-DF87-456F-B93E-F6A8C4F644D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B9DF35-28A8-4961-8EFD-92784B9E3F54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0023EC-A527-4095-9077-7BC2F7FE9D2C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2B3696-78DC-44EA-8C18-E90D40A37902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BA24AA-B13C-4BC8-9CEC-9A6E8F93787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1E2779-16A4-4AFE-A9AF-DAD067201BF2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CC3DF4-FD8E-43F8-A4D4-755DBFF9032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B068DD-A41F-4893-B3E1-2C8BBCE2495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FECF40-38A3-43DB-BF1F-7D62BE84D5E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C9B1EB-A73E-4CFA-8C08-5E0E3F2BB53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B73A0B-815A-4D10-ABD0-F418867F6B4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44298B-EDD1-464E-938F-4CB748D860C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E86F4E-5CEE-420D-9305-098FB65E580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63284B-9E61-4854-BFA4-C570CF8CF7B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7088DC-2F4C-4A75-AE8C-844E9234A2C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B45DB0-1D51-4120-BFE9-1120A83A0A5F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BB7798-BF4B-441D-85DB-0BEF52EBA46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F33FCD-AC0A-47D0-B59A-CBA307D19AE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B039FF-86FD-4F76-8D00-4CB5A7E8AE9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DC9B84-D025-4908-BBF9-1AB845F6685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9A1412-2321-4D6D-8A2F-1261CE7E0B7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1128ED-9084-42AA-BF91-6E9ABF0EF93C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D6B670-0119-4F67-A57A-CA75B030A56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413879-D48F-4B19-A8D1-F9DA7440066F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227C60-506B-4C2E-A49C-985233EDD5F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DAFD65-598A-40B4-93B4-DC92D05A317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8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A456F0-8DDD-418A-9025-A84BB6A16BE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8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B5E8D5-CD42-41E1-9407-4215BA2A09E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8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CE803A-FAC7-42E5-B883-D190E64A3D6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8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F735B2-31FC-4814-8CB1-0D8A52032D5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8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EF7EEA-EE7E-4B3C-9053-B0E9C5A78BB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8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8AA612-B0E7-4261-8FDB-77C4B80AE81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8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6799AF-09C8-49F3-9000-2A8B4F5C0EC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12CBD6-BF7D-4EFA-A527-56CC47D53A1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13EF86-2A75-4ED8-B8E7-F81D2A5F1DD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6400DB-AE5C-4A9C-9272-A28FCF12703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AA9ACB-3387-4F8F-9B90-F694BA2547E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F8E380-67A4-4101-BEB0-A9575A2D0B5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3EEAFE-A8D4-45CD-AAF9-959A8F1B878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C56432-CDDA-456D-8FEE-8CB34CDE117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B3E231-FB7D-4F9C-B1C0-BF7ECBFDD32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EC1107-E860-4AD6-AB3C-254E248DE4F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AFAFA6-EF7E-4813-A1A9-92EDE096515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F9F88A-79D5-4860-B9C9-821F15E8A31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97E9C6-AC5A-44B5-9D44-B5C78E04DF8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E22F23-0D15-4DB3-A614-9B2C1EE8A43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39FFF7-4E23-439D-9BA9-FA40269808A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BCE33A-7247-4231-B115-162544C4647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F6741E-143F-4BF3-9575-15D7B81B5C9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2C3C45-7CE4-4D57-AF54-848EB3317FA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8AE0E7-117A-47CF-A2A1-E4FD62B33E0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0F4921-3E4D-4BB9-8DBD-445E3912F16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ADA80D-0B1D-43EE-991F-7BBD618C120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F3E26E-E04B-48FD-B8EB-53085E4F401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5801C6-BA69-4F86-99F8-02B4BD83A33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2E0A74-66EE-463F-ADED-A8CEAEAF9EE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26274D-6446-43D6-94C5-98CF7A554A2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61E6DE-4EC4-44A0-AB7F-62704DE740E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0ACD87-F262-4E6B-837B-75AFF6F5B75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DC1FC8-9449-4C64-9ECE-E250E422B02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A83A90-84B1-44DD-BBFF-6318CE854B6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6476B8-AD85-4381-A276-AD84885E2EC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9E85EA-A9A9-438A-A34C-1A9529F5511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82E6A7-B5E9-48FE-90B3-0AF8AC5F1F1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87B4A5-7963-4F20-977F-A05DB89E2BF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AEF975-6401-4188-B284-32388F35517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C70EA0-F782-4965-A161-6CD9477CDDF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72EF9B-6569-45FD-A27B-170DBEEF092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6F6497-4D1A-4A19-8311-9F13AF8F8B4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DAF79E-CFCA-4779-ACE9-77703204B09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D80A04-C7EB-4032-B7F5-EBABB96E39D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7C22CF-2557-4F46-847A-930A34DB6F3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D11AF1-9C72-4096-8E2B-BD7011943F6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703799-8EA9-450F-B65E-E52DB588F72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84ADC2-A730-401E-A3AC-CA527DF4843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F1754F-9361-4E70-B51F-D91C1A9B635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B95B25-A289-493F-ADF0-48B56C744C8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1A2EF5-047D-43A6-8C1F-C1A8BA2B1A7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47EF6D-E116-44B6-8EDD-36281CCF00A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18BF00-4D92-4C79-81E3-31754303ED1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4F3556-0344-4737-85A7-7BD0029AF89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F2F266-BA03-43F7-AEBF-EBBD2973C22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9ADF28-2191-4D69-92E2-65EF1F2D350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31B148-DD34-4C64-A957-121A7E96591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A1A9F2-4C35-440F-8DB6-707FBC5C202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A40153-2176-4252-91C8-39C480B6113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7B1047-6969-499A-9F4B-26E4AFBFFCE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6F03D6-A74E-4247-B06B-81F08E815B5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F4E2EC-4CB7-4F4F-94A6-BFF28BD0AB9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53CC54-1D49-460A-AFFD-5B58C22D8F3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D64C49-6F5A-4CFC-AC84-4B81DFA9F9C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4B9274-F119-4093-BB6F-88F5A68E67D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741DD4-69C7-4035-B87B-13A00C1F477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4883DF-1375-454A-8FF2-4F8D5841393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54D9ED-1945-4FB0-A05A-2DEE2DBEEBD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33AE9D-A298-4744-815F-2F30E32B6B6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09A9F4-DBA6-4533-A706-32D8D81820C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51FC45-3C24-4729-B138-F3418123112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EEB775-4733-472A-826C-F85619F0627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BC99CC-8A7C-4B77-93D7-9687C95F975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968766-828E-4AE8-8D59-32EFEE0B187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665C8F-B26A-42C7-A475-9B3AA8437C0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8289EE-196E-4FB0-9283-9A321D7CBAE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35C9B4-A735-4E0C-99DF-90B911B76AB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188C47-3AF2-47D7-89AF-C63F8B10089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363473-7BFD-41C1-82BC-555464ADF12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FAA63B-2A70-4461-8F57-85A87643B38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D0FAF7-B2AD-4C90-831F-284342A8E9E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2AB4AD-38E2-41F1-9D56-D6DC617CC36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DC6527-CC64-4D1A-ABDB-CBA73A89C3F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F70E3A-4838-4020-9BEF-1247F974CCF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75C020-8F28-423B-B9C3-7099A33C2CF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B8DA5F-72E6-4921-8C0D-8C90DE4096A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E85154-6B53-4FB8-B8D3-F36589A4340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28604A-F058-4430-8CA8-E8013AF5C79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9CD077-7A79-4B7B-B118-3BFE09C2CE1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B8F342-AB14-49B1-8FB7-B4A4E683D55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147037-099A-4383-B4E4-58AAA4A4F42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95C87E-7ED3-486E-9B0A-C34458927F1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034C6E-344B-42E7-B0AF-5C38AD6A155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260CBF-BCDC-434E-830F-2702129FA09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084A10-CDF4-4432-A2B9-CBF50EF8738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16CFC7-101B-4176-945A-B91170D439B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9290B1-E1C8-469D-8CDB-F9400B135D2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D877FF-5B1B-4BA4-ABD7-AFC3BC7E088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09EFFD-3C06-4E89-87F0-D85EF59642F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F86A9D-E699-4417-A9BF-68F8EBAB4F7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9C20A9-B972-4F34-8C22-35F0D3168B6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E1E032-B2FB-4D6B-9B64-EA825F30717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E462D9-F026-4532-8E7E-BD05CBC2484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D544C3-6694-423E-BC40-779ACC100B9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382554-8837-48A4-AF73-F74D8465908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89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8736C3-D3B0-4BBA-817A-FA27F62A3CA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C8CD73-D0BA-4A6E-803A-8B9CABADB30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A9A290-D2F1-4D13-A5D0-895C5D4A543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ED9832-91E2-4164-B001-71E9091609E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F00F3E-E954-4A0D-A726-F5B0FF1AFF6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32221C-9D11-4B54-B232-17703128167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45C2D1-FEBC-49BE-85AB-73725693D73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14F880-FC36-4730-8354-AE07225D894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836FC5-0364-4C22-9E75-6D5784614DE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240524-C5A2-4E9E-9A68-779CB4DE99A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34EBA4-B8CA-4F61-B45B-E68D355D239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83FCF4-9A0A-46FB-BA86-DDD499A70C3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100D42-A57E-4C9B-801F-863CED81D0C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9EC802-670E-48C1-B8AB-11D40FA84A2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990272-5988-42EA-9F59-F6AF53A72E4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D5159B-8581-4247-8714-50613D8F5AB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B999A0-1189-44BA-9167-B2326A34BC5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879FD4-94DF-4467-8853-8CAE4BA9474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1F8A7D-19B3-488C-A23B-A49D0870E81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81320F-006C-402F-890C-3E5C1CCD084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E1C471-6CB9-4205-9035-EA041E93A6E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CCD0FD-309A-4D76-930C-C308EF62330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A370D4-F5B1-4A12-9F42-1D02F8F8FFA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994414-E68B-43B1-883E-58B4065BA52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EABDE5-C084-442F-86DC-F5E4D0402CA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16A5B7-CD57-4E40-A9FC-8C1CAA0791D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F90ED2-DA96-456C-BC34-061634F33BD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BDEA1C-7A5D-484E-B68C-20DBB52B113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1FD3CE-2649-4A9F-BA6E-BDC8371F933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8138DE-837A-4C01-AD7B-30003B678D3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717357-D0D4-46E1-A0A5-B5039CD2D45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7D6092-3E30-46CA-B319-90E15BE7F42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197F7C-9588-4AC2-BD00-C4139AFB477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FF000B-FC6A-4702-9EA8-ACFAB2E09F6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A95639-5E44-4C03-912D-9111007B169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EE30BE-9143-4C9D-86F2-A78CAC63533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FD7EEC-7CD4-41B2-9715-0C14969D146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5EBDB2-87F2-4B63-A364-E6723F33201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FB2640-7D84-43F0-9EB3-DD21D333C05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594142-EBF3-4166-8E20-407A63C9FC9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49B5CC-0187-4CC3-88E0-AB195943F64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C314E2-A9B4-4909-A0A5-4AF982B8A1A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0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0C529E-DA95-460E-9B4A-197A7A92040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F97BD1-7446-4539-A769-F64F8A12EFE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9AAF81-AF90-4290-B276-CDF8B8D28B8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0CB5BB-4EF1-4FFA-A73A-4B242A97731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D5019B-AD5F-40FA-B3DF-EF01A845234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73DECC-AD7D-4ED1-B2D6-2097E99F57C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9FF484-9805-410A-A466-2DB6E4B3A80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274130-150D-4B2D-B114-DD9A088308C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A93DA6-B786-4B9A-B9FA-51C50133199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D40FBC-3D3F-458F-B8F6-0E42CD2EF8B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5C472B-DD9F-4708-9C08-6EABEA1ADC3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E55F48-E963-45C7-AAAA-317294A3C65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F4C149-F3EA-4CDB-A1A9-85AAECCE9FF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EC9123-C5E4-4F97-8A43-BABCC6CFD38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565304-193A-42B7-B8AD-F30FAA4151C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2CB1B4-9AE3-415E-BE83-7BBFC730475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BCED82-227B-48B9-B51C-DAFC9C0E453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2169A5-5115-448C-BF67-34E6E1C9D42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1C050C-27C4-4F21-A81C-8B8B2AAF66C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4DA30C-D794-461D-8B57-12DDB42E329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590DEC-68B2-43C2-ABBD-B4E4856AB01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B0D423-D4E1-41C8-8207-BD544B269E3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820352-61EA-4B23-9AC9-76498AB3075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5268E6-E9B9-4C1E-A80C-FF751285F88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B87E28-1A6B-4D94-B8A6-583794E6E40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1761AE-C9BA-4F05-A1BD-8E8381C4B29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62F8F8-5C52-487F-B1BE-CF5A3BED02C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14534A-3C0E-4CE5-8357-3038F597461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F084CC-D196-4652-8227-C6B7ADB674A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C25426-FF2C-497B-8E97-C0DE768DAEA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0959A4-61D7-4CE2-BAB8-4957078AAA7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D3FA47-BF0D-475A-AED3-92CC32C1C48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B8884D-B697-4B31-BC99-565F5A93F54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5B1FE5-341C-403A-BF8A-80164E3F02C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3B7709-6288-4F17-980B-8417C3EC379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071411-8EBD-4F1F-BFD3-5ADEAC924DE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D8F2B0-6279-4673-B3CA-39A04592115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520FA6-2A08-4D88-8B7F-08F08B93C26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080B89-8C76-428B-A4B9-7E5F8C14B2D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C3C506-63A2-4A71-85C2-D3E5730E695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3577F2-A771-4DFB-969C-CA7A6CB10BE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F61EC7-C9E8-48AB-B509-AAA0B2D20C0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685709-EAC7-4455-B411-47556C015F3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B58879-B5D5-41FB-B165-8B77DEB210E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69C2EB-B41F-4003-8B42-480AD0D50A2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FC1F34-0D17-4786-91E5-F38D75A5691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C2447D-412D-4DF8-A634-03A8AC7964D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9780E9-DB32-4407-9747-BCDEAA89287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709B25-0520-49BB-ADA1-AD0D016F560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3A4099-FDB1-4B77-8DDD-BCB52096A62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0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4FD5EB-2133-4CBD-BCB2-ECCBD3F66B8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714375" cy="304800"/>
    <xdr:sp macro="" textlink="">
      <xdr:nvSpPr>
        <xdr:cNvPr id="90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1825ED-A7D6-430D-A10C-5F82DC507042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0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5E3C7E-EE73-49E1-A959-D556F2F26D76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0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291894-7661-4E34-8FE8-638477319BE6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0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F60485-D224-431C-9F0E-4F1108498F4E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0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E68547-DDC9-4016-A5F8-303A27AB0565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0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928C9F-2A9A-483F-B33A-9D5816332BE3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714375" cy="304800"/>
    <xdr:sp macro="" textlink="">
      <xdr:nvSpPr>
        <xdr:cNvPr id="90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BE909F-0C35-400E-B2C0-8FF56A037D15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0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D816FA-2608-4522-921D-D5F59845B435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AEA5DA-288F-4C2A-BE8C-886C55F5F86C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288257-E69C-44CF-A115-AA51885DEF89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C2544B-0934-46D2-8ACD-EB03818203EA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F11BEF-8E96-4FC6-892B-26C211139DA5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460BCC-E007-4677-9D1A-3BA94DDB22AC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EBD4BC-8FF5-4E83-A781-A12D560B5B89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500BF7-9D13-44BD-9CB2-512EFEBFDC8F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4B71AD-2394-4E74-9997-6C552185454A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1D2E9F-ABC8-4361-9398-F97B16C70FA7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08293C-3D9F-4BBE-92DD-FA744B651F84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8385F6-539D-4C29-B2A5-4D4F1E1B7A23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E0E7A0-60EF-427D-9DA8-F87313667D3B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65622F-590D-4088-B3CD-E89F7B8F61A0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3866EB-0270-471B-A802-0ABBFA7143CE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86223A-7F15-441D-8847-A305BBB32B82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4A88F1-D485-412F-9CE6-BDD1E304C4EC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AF10B9-13AA-46D4-9622-B5621C0595D7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D26679-967F-48A8-B760-E7EE10E851DD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BFF456-2860-45B6-BCE4-2AAF610865CF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714375" cy="304800"/>
    <xdr:sp macro="" textlink="">
      <xdr:nvSpPr>
        <xdr:cNvPr id="91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AF3412-A1FB-463E-9209-6DF08613AC54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97BE08-1D34-4515-96F0-DB28BC228D4B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757A3A-A7F7-48D2-BFE0-12CC15921B7A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A52FEA-1F1A-44DB-A43F-ADB44FD6A5AD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242701-4EF5-4444-BD6C-DD21B5F10DB9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520836-2013-4A0D-9867-8D45345BC25A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714375" cy="304800"/>
    <xdr:sp macro="" textlink="">
      <xdr:nvSpPr>
        <xdr:cNvPr id="91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4B1659-FA06-4B2A-96ED-73B01EB7BEE7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5777CC-6C38-460B-9A53-938311F8F5CC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EF0087-E5D1-4EF9-B0A4-3DA13C690978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0E6A5F-D2AC-47C6-9812-DC0B5FE6DC85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5E8641-2E70-4B4F-9C2C-E0E4CDA58BF2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9370CB-2EAA-4562-A0AB-C96869A57C58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109A20-3AD7-4A9F-8C5C-6ECE04E2B22D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AC55D9-B3D1-4BCA-A6A3-A7A84ED72D5D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F87062-5B38-4C5D-B239-8A77BC5A1EBA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BF7B9E-6686-4C48-8521-A034D12858E9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A2276C-7CE7-4AE6-8499-5F85D87DC78E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B3D3AD-01CA-4AA9-9E1D-B05433F98902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EC0AE7-7C9F-4640-978F-D7D48BB1B093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945869-7EBC-48C4-8DDE-CCC999CC8480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669D1A-854A-4ED7-AD71-9691C10F9E83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A0DF4B-DDE4-46B1-AAE6-8291653D64AA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1D6EBC-6E6F-4196-8017-EC937B8E5D83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923AEB-F1F7-4D7C-B41D-944766A3BCA8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C117BC-1DFC-4F1F-A11F-F06FA87A88A6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2C5053-EB5B-4327-8DCA-95D9EEE3DE40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1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D60A59-494C-4112-9CE6-EE1794803D6C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3719B0-BF9C-492A-8B07-826172A528B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26BBC9-2E96-4CBA-96FE-E4A7C5F4166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71BCC5-E2ED-4141-ACDD-EE48E755D75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0CAC39-7485-4214-A8A4-B46494AF859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575341-EE16-4136-9818-9173BDD4363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F133CE-FB1A-4EC3-8950-0D5F8422748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AA5BF4-EF48-48EA-99D6-DF099E7DD57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624D6C-2918-42E7-AC3F-8DB86612984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714375" cy="304800"/>
    <xdr:sp macro="" textlink="">
      <xdr:nvSpPr>
        <xdr:cNvPr id="91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927856-6069-4490-AB5E-73103D47914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6793CF-2586-4204-80DC-691EC6EBEFC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7C5F3F-111C-4378-BDB6-81580977EAC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CC343C-0CBB-4823-9D4F-77E2127FF38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9D8903-B154-493F-9CE6-2229CE48ACF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4CA1A9-0E27-40DE-86A4-078C55DE502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714375" cy="304800"/>
    <xdr:sp macro="" textlink="">
      <xdr:nvSpPr>
        <xdr:cNvPr id="91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8BA6AE-1BF3-429B-9743-C0D82B9AC54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97E247-6491-43C7-9F78-DB8F19AC032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73BEF7-3E87-4F22-8483-77F36B7F16E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1DE456-82B6-4D97-9C3A-049B5DFB71B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C86E1F-C5C3-48E0-8C2C-660F5EFE58C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BA6D20-CF39-48B8-8A0C-5E25356ED1E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2FD063-8875-4F8D-AC35-503DAE6D0C4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F3EE49-9307-4A75-8BF4-17B64F5347E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3744B4-8244-4511-B001-67AE5A9CDCD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B88C8F-26C0-498C-A4C1-67E59FDDF56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B8DD9E-5590-4310-8397-700D4DB1487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714375" cy="304800"/>
    <xdr:sp macro="" textlink="">
      <xdr:nvSpPr>
        <xdr:cNvPr id="91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2499DB-33E4-4655-970E-2F931DBAC54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F81531-1CD0-4FAA-A58F-BB9D472F4C4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F7AA86-1940-4EFF-A1CA-03AEEED1549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C5206C-FBB3-416A-8038-6C38234A4B0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270155-1B98-400B-9F65-8BEA7FC31DA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04A00F-2D8C-440A-84C1-00F0EE424BC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A43D27-611E-4609-A393-6C5584450AE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A1A31E-9A3F-4A64-919D-5D4278C7973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7A832E-3EF3-4CCB-9DC5-6CE4D9F28E5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F67EFE-B7A8-4FEA-8A7D-735105854C1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116745-9776-4890-905E-05682E0B4C4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FC7053-465D-4E02-B48F-DC6FB3DA657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592143-8F40-475D-978A-648779CCB81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FF604E-247F-4F95-A349-FDB0F53C656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E6A512-FDC0-449C-8BB8-ED25EE6B070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54299D-9A2B-494E-A99B-9778427662E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783DAB-3722-4D8C-AD20-1F1A78D1210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EDAFB2-31EB-4E71-B397-0FDB30D3A3B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121ED8-D065-4917-B912-1D03ECA3930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714375" cy="304800"/>
    <xdr:sp macro="" textlink="">
      <xdr:nvSpPr>
        <xdr:cNvPr id="91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90CC72-C167-4859-BF39-6BE6943615E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407D7A-0B7B-4D35-BF7E-1BD3E4A6563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076C4A-DA8E-4BF5-A5F0-369895F619A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94C149-8314-421C-B3CD-E356433F63D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F1977A-C0A9-426E-A3E4-FEB5921E423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C4196A-283A-4FC5-AE67-A9A3E210FE0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714375" cy="304800"/>
    <xdr:sp macro="" textlink="">
      <xdr:nvSpPr>
        <xdr:cNvPr id="91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070323-8854-483B-9138-98B1AC7010A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52DBCF-1027-4A5C-A7D9-98E9C7B0A2E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B99610-491D-4D5D-BAF4-D3E3B2630F0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1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935CFD-2045-461B-BCF2-D0339711B1A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91213C-1898-4EEF-8B9F-D59EE1AAAD0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CDFE01-64CB-4986-9BEB-1F3B5FD31B7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63A61D-8CBD-455E-87FC-F6AB51D27DB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139EA7-30E4-4FD2-B439-550CDFFD491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539DE0-2F75-45F3-B711-70385B3CD1D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ACB1F7-D217-46B2-A4BC-EA6EB427DF6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CB4DE4-1D03-460C-8789-B4110C41623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714375" cy="304800"/>
    <xdr:sp macro="" textlink="">
      <xdr:nvSpPr>
        <xdr:cNvPr id="92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753E6E-C42B-4577-965D-5F756E5364D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C56584-B346-475E-9C5D-776E2B060EE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36D4F8-FEC1-47AB-B5D2-F3B6BD488E0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18AAB1-0BDB-4C13-A1E7-4F759C119C8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51D957-8093-490B-AC1E-525C72DD39C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A72D2B-C415-48DC-9A79-760194D3EF2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A05D22-79A0-411E-8BB9-A95DD375EDA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BC7C9E-1832-40F8-AB5A-8C6258F0D7B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8C1C8F-8FD5-40FD-B04F-AD80956EBA5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42A854-3E96-473C-BD73-1C9AFAC340A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C96BB1-4360-4AAA-8030-AB0897B8475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B71EBA-DE4D-4D2A-91B8-A3C8994BFB6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FEBE32-DE13-408E-9B74-CBB7DF9FD0C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23080B-68C1-4386-BA74-01ECD439B16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D483CA-8594-4849-9D90-1CF926AB65D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8009D1-800F-46DB-A80A-31664E98222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B46073-FDFB-44A4-B9E9-391B43E18C4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95FABF-4257-44B7-8A40-505F660E546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80524C-FDEE-469B-A486-16BDE71EA4C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ED5FCC-3636-4EFA-8E92-A28B51F31B3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38DF49-35E6-4A06-AC4C-862D11C9AAF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29D96D-1D52-4998-94AD-812324CDB1D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7991F3-AE82-4A37-BCF6-D029CFE75C0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B26CCB-865C-4F7C-A7AC-698A8424458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975D74-7D84-4074-B671-2BDA3F7B6C8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2DC22E-D190-4098-A56D-3FF38F608AE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D085C3-5641-4793-96B1-A1A2ACBD3C0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84A24F-5EEA-4DB7-A88D-D488EB787E3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6BD33C-7958-4BFF-9C9D-BB7C3FF5433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925A34-63D0-45E8-A9A8-073C71EF90C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EB4D80-A4D0-4309-9488-422E6475293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7D59B3-3EEB-4818-B5AA-4699F0062AF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8AA7B4-E913-45FB-88C4-6A48BF155E6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366813-07BC-402E-98C7-287BE993E9A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F84451-65B5-4D0B-A659-B75238FF353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27BF81-C5BD-4194-B729-AFD5C9B0A2D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76BC27-4D69-43DD-9B54-C7F46D62013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3C85B5-A604-487A-A000-6B4427D090C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FCC38C-5466-46B9-8246-CD245A19349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CEFE1B-EBBC-4706-9F6F-4ABCB9CC4C1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F5FCA1-E382-4500-81EA-072F53EF223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F3AC0E-BE08-4DAB-A248-87A849815C3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3F9CF8-A418-490B-BA80-D8D156EBBC5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0DBFE7-3046-4EE0-99C6-22E5339F5D8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08ED62-AF26-44CF-8E10-B4D0C9DCC1E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D4CB95-F2DE-44AD-A605-5D5D0AB5EF7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2D0B43-E625-4B74-9272-2428E5F05A1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0C5EB8-CCF6-4A7C-89E6-9726A60B93D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A1BD62-16C3-4ED9-9B2B-8EA9E18B6CA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A226E2-E853-431D-AF27-7295C52CB59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BF05C8-7DBC-4DDF-AB5F-95AE1C25777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CE3EF2-ADE8-4C0C-942A-C4C98A64BDC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9EEE9D-59DF-46E0-B453-8A5A6135DED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37AAD8-8A6B-419B-A3FA-B354C3C1F10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0B17BB-B0A9-4071-81BB-9794E883ACC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890503-45A8-44A5-9400-F696B5A7062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D10173-9845-42EF-BA03-8A5982648E9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EAF7AE-0838-4E2A-8287-5C04724AAF6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93991E-C505-47B9-80F1-00A0136F1DD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813925-E2F6-4725-BD1C-BFF1B91904F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F65B0E-8285-49EF-8753-5AF88935525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F4C277-9A8E-43E3-8642-6A39BA2447A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56A4CA-30C7-42EB-90CB-D60A02D5FAC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661115-2267-4C57-8406-C0ED9641BD1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514DB4-6682-4222-9784-A7CC1E98D1E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FD1AF1-C31F-48AD-A309-CB8C72F6B82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F7120F-23AC-4BAD-8D94-5DE1E1B1097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EB64DB-8FC9-40DD-B68A-E5386DF4AD4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9186D8-1C3E-4F1F-ABEA-7E6520C75C2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43AA89-0330-44E4-A77D-466CD5BB0A3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09C435-CFFA-470F-AC06-D35D8590990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5FA2B4-DCAE-4E8E-9E83-9A04C11FAA2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45A5DD-D333-4B5F-9888-DA281C9A516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6048DE-DF30-4056-AF06-8E1F66DFD28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083951-99CF-4FCF-B604-FA0D6D3BCD7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DCD2C3-00FC-4793-A3AB-53834A1B8F2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E03BC1-616C-4FB0-BA2C-9430BAC26CE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42EAE2-7ADC-495A-A1B4-8025C84491A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735910-844B-41E1-9880-A0D22CB9D86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66DC78-5274-479B-A154-171EFBEE2D8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398C72-C811-4D2D-8B25-0514A5A9EF3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AB37C6-08B6-4DC7-A688-30903F53CCF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011243-E059-4145-A712-F64FB524C3A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1BF31A-E474-48E1-AEDC-189585E8E29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B949FC-2AC1-499A-88C8-72A0A9891F7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2DE9D7-8EA1-45E9-88FB-67638CB50B8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DFADAF-D121-4921-B53B-6BA73C74AED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7AC86C-94BE-4984-A4F2-7BFA528B5D8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535632-F293-4245-A75A-B8F7F2E5995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E22C56-0BC6-4C8B-BB32-F6F4602EAE0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59562B-86CD-4E35-BDF2-0166B401CEE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EAF0E7-877F-40D5-BC58-CD8B7FE799F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9111E3-4AE1-4195-849D-42494E148E9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E62F1B-3A1B-43BA-9BBC-F92AB8F705B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714375" cy="304800"/>
    <xdr:sp macro="" textlink="">
      <xdr:nvSpPr>
        <xdr:cNvPr id="93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04DB44-691D-4077-BC6E-416B847B0E1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DF37A8-ADC7-467F-8770-D783E5EA574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86743E-12DE-4AC0-B630-3BE5ED1EFAD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DFBC88-9350-4D66-AFE3-B7E16705450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BDB0D2-BEAF-45C9-8FB9-18E265825EE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F5CBE5-3EAF-4F4C-AE7C-BC5CEAB1C66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714375" cy="304800"/>
    <xdr:sp macro="" textlink="">
      <xdr:nvSpPr>
        <xdr:cNvPr id="93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DEF244-39E5-485E-B0E7-EDEB98287C5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762823-7358-447D-98FE-B3E095ADE4B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0FE6A9-9E5F-4852-89A8-B59F00E86F9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AE7FE5-02B8-4830-8F3C-57FF42E6BCC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49B259-4A86-4C41-8F8F-6FA8CB4C6FF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6CA311-603E-4568-9FDA-51B15EB4A7C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293217-5AE4-4F18-88E3-A6A7EE19194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F23CE8-F6AF-481D-B27A-F5EBBA65B5A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E05594-2687-442D-88DD-216F24AC3BD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F03965-8AFD-4043-B676-DA2074D5253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BFC935-9DEB-4985-A62A-EEFDE5184DB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C09897-14A5-4D4D-AAE4-47ED2EDC087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4FB3AD-1BE5-479B-9917-A96D35ECC5C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09D46F-D629-42F5-9581-202E36AB8AE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48176D-72D5-4BAF-9D52-C69A2CA16A1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B858FD-96C3-4935-A7EC-924D49656AA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30D402-F26B-4FA3-A018-A12B68116A5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1D3B76-ADFA-46C1-AD61-504AC6F2541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65A48A-5D33-4CA4-A3F6-AEA048D2506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0E89C2-5C45-46A1-9F59-856C8D02880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6D8998-5737-4130-B2E1-CDB62A8116D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714375" cy="304800"/>
    <xdr:sp macro="" textlink="">
      <xdr:nvSpPr>
        <xdr:cNvPr id="93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04C051-5603-4F9D-A061-8574D8A4FEE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2848D9-DA3C-404E-A0D5-2625F0272D4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34661D-6E89-495E-A250-21BE18DF395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1DCEE1-13A5-47CB-B670-F4C798E41D9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1BEF47-6595-454D-AB0E-7D34E3C13CA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65B70C-4146-4A5D-A92F-5ED9AD360DB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714375" cy="304800"/>
    <xdr:sp macro="" textlink="">
      <xdr:nvSpPr>
        <xdr:cNvPr id="93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8013A5-1D95-4A8C-BFB3-A8CD94F9B38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9D2534-0559-4B24-AF1A-A1938DBFBBE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49BBC0-8441-48E4-AF5A-27FCEF341C2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046084-5B5E-4003-ABEC-103A1527DCF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2A7898-2E99-448C-84E2-4918E5873A0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97786B-CCC9-4651-9A5E-350377334EC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298124-D8DA-4A3B-8A32-C97E08BD11E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1DEFE8-994D-493F-AF2C-AEF012808CB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0C8960-C0AE-439A-AD9F-2D2A8CE868E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B23CD6-4182-4F8B-A6C5-3629659BDDE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D2E8FF-6E92-4F21-90CE-1D9A3CC76D7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E41F0D-3752-4A5C-8589-1EAD205D0EE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FEFE63-83F8-41C8-8D57-B6609E3A001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CD1F71-0C3A-4566-A929-D48398AEB31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293414-369F-46CB-B509-99BF219AF7C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7F4007-EC7D-42D6-92E6-A2A388A6B9A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0AC883-7E41-4C5D-AEF3-3C14CC459BF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C0F1A6-12FF-4F9E-945A-89956DC6DFA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EEB361-D8B8-4665-AA8F-C4A44DE1270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042D01-10CD-46EF-A96E-FD8A9AAA9FA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3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A565F0-5510-4DD1-B57E-6D6A1A24375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307DC6-DAAC-4C6F-9F47-D0139900D0A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68CE7E-3B0C-459D-881C-9C74596BEED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475474-6E81-4484-AF80-4A3CE838C7C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B4D9D6-671E-48CB-A1BE-CCDD9DBE792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730259-3C56-4149-A654-D10E6A77676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9A9F58-1E3C-463C-BFBC-8A21AC41385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A78C42-3EAA-4E6A-BC12-854AAE2B5E9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4C7A7D-6031-4C5A-BA1C-CFB750D75D0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412BCE-A516-4954-BF53-E2A507F3A8B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658BE3-897A-4F7B-A83B-88B8DB61BBA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873173-4352-4822-BAEE-5DB9C01241B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39CA11-D697-4699-8964-2FC48D6B0B9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8530F1-27AA-4759-BAAB-AD246DFC70B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F4858B-E894-4948-929A-5CE596641DE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8EB2E2-FEB2-4D79-8819-405FFE52C6A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0BBB8C-ABAE-45D2-97AF-230CB9AE6D6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E5D6D7-97A7-489F-A139-99B7A7ED18B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B77E06-967C-4D83-964C-C3DE135FC75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3C4C8C-290C-4B66-AB45-2C6B18C9FDA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8BDEFB-5E28-4A8E-A620-BA384008A88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B6E9C2-96FC-4DD9-B8A5-0282413B1BA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158463-972B-47AC-A318-67FFC0CCA78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3CCC9C-CF81-47E9-816B-78801CAEAE0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12F6AE-46E6-4CB2-8052-B7AD4B7CCB6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6567DE-C8C4-488B-9CA8-DC292A9706E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FB9439-D187-454E-947A-E7E119C8DB0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49E948-E2FE-43EA-A7EB-6E3FDC3BBBF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1A6A07-3F36-49A7-875B-71584BEAE4E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DE4537-AD9B-4970-BC52-353D53DE25E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4757F1-A1A3-4A88-B8F3-7B353EDE162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0FD52B-24AA-456C-A5E9-3BA9F5504C8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0008BB-7CED-4102-9863-6E798A03145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1A4701-40A4-4CFA-9529-D3977D6B095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C5967B-6F2C-48A0-AED8-0BB39760D5D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5F6707-E54E-47C9-9565-242DB067EF4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2B4B03-A59C-466D-B6D9-0CF650D2311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D5062B-3970-49DD-8182-9B70000F7AB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620BC0-36B5-4D76-A1AB-0BC8AAF9AAA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68BF4E-CC8E-4360-B851-131805033FB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C29B4D-06D8-4E9A-B31F-A36722C4959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A327E6-2383-46E0-875F-119374FB71C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A80345-BBA2-4936-B0A3-985D4F1D396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EDE830-1702-4A59-8EFD-852C2CF4337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064387-656A-4152-AE1F-B3B80BDC92B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3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551EAA-B7E5-4E5F-A05B-C3EAB9D09D6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852137-3DF6-4842-A6B3-BFEC41D1DBD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79AB40-24C3-41A4-8D5E-2E99DE10018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BDE6B0-4B36-46BD-B67A-456697FAABA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C36D22-5A26-4D28-97BC-DC6F232C352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29101A-DB40-40A2-BBE8-3776E8BCC2A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8E2282-8B2B-48DE-8BD3-0DB654FC6C7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36D122-0893-4BF2-ABA8-FB5E2FC6B13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5D5F20-40F2-492D-A52B-4F215862641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3B0BE0-6926-4874-8B4F-9369AD21FD4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596180-FAD9-4609-9677-93BAD87BEAF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27A3E6-E037-405E-BE7A-442F4050D45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0BBB1C-D77C-42D6-A72A-72A6F38FC1C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C76347-47CF-47EF-AA59-1B774979F30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C84BD2-7EF1-4197-B478-75AEA7E6DD1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657F0A-82C0-4191-A0A5-F12F50DE9D4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1E5B30-5844-433C-8E54-4CF8B934D6B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09E793-AF8D-4107-BA56-8A9D522740C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2572B5-E082-469A-B9A9-4BCB1ED3214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E90710-D9E3-4900-A5EA-25524C986DC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314678-90CB-4360-B2DB-639121F7ED7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BB26E1-4A77-4A85-8AA0-A2E7F5E26B6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EAFB22-7CE7-48D8-8AAF-076248488FA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72CEF4-A87F-45CC-8FFE-A913F9FDB2D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5E8F78-4655-4EF6-85C8-46F1B28B2DF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A0AA1C-5B4D-4B6B-99BA-FCDE16DD21A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BE8D9A-EE8F-4A60-B80E-97351D792CF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D0C971-25F6-4B1A-9818-F87ADFBEAD5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717D76-BBE4-47FE-BD6E-7A17035040C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1260B5-F8DD-4F28-9703-4F65B6D676C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DF556B-84FF-4BD5-A5C1-F8C16436663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936146-AFAB-4C52-B8C0-8CB8322674C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C3B958-7AD5-401D-A8A0-6E624440BF3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1552FB-3593-45D8-96DA-C8A84D0B94D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AF3DA4-9E84-4089-B7EE-357609748C2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D94080-85E2-4876-A4D0-4789375B6DF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6438AF-484D-495E-A4DC-9A72AE1753A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FEDEAD-3E0E-4ACC-8FCF-4F04EDD2C1F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06768E-9693-45D3-9F03-A721B41023D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AD509C-3086-42E2-A70E-7D6752280A5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245BD1-3C48-4A41-A4E1-56DA5B16690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59FA57-C475-4548-A97C-D747DA7D490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22323E-7181-4B63-903B-9FCDAB894C0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117A02-67B9-46FB-8889-DEF534D35E2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68D308-2F68-43A7-927D-28BB33161F5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1D730E-0B71-49A8-BDE4-994A2BE59AB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44FF1E-3EB9-4248-8114-605C4C16F7C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A7A876-91BF-41D7-B9CA-2BEF72C47C8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809792-1A5C-4CC9-8D45-8558A665DF8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57D5FD-4222-421A-8E58-FCDEBD9CD73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D38931-CC50-411D-93E8-01E0FD5E47A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4C55E7-5506-4B68-B86F-0092B61B24F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A3FF17-7EE2-4835-B2F6-92E9DCE163F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12AC37-528F-41EB-8DF8-10C97136E68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D1E4B2-5CA0-4556-8AAD-0F656EA533E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6E9387-F448-4D21-B382-9EE5C4FCDA1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44F50F-36B6-4BA4-B585-19117C44562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500BBC-1326-42FA-BCAB-7F40B5A740B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E1A890-BFDA-4E0C-9A12-60199EB7225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0954E6-33CB-4470-9CCD-68B13608049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022452-EAF0-48BF-9A63-966BB6BB43C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92AE47-F910-46BB-8D83-54FFF7BB7FD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3DECEA-1454-4784-B856-FC30B0D8417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7421F6-F039-4498-B4AF-2A8FB40D670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534C1A-B1AD-4225-9BDC-F0F7E469B77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88A956-10C1-4CFF-B80F-178B73ECF26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BDA1DB-D413-4CC4-809B-911618A6B58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F1E247-EC83-49C4-8B3D-CF8509290A2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BC08A2-B756-4F9B-A27F-2872FA91CD6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055CE3-B109-42B2-B7E3-BED4ABF2826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834066-7DE0-4667-A85E-0ACEAD9E419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F12660-9BCC-40FA-B8B9-F68CB1BF474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9EB57C-70EF-428D-8097-4EAA2E37173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E801DA-E472-4EC2-94A9-0FD7714B4E4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B47872-CB2F-4B57-8256-53B2B65BD51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2009A0-136A-40DE-A1DF-47E988F634C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6ADEC0-C140-45A4-BC18-933C0D46091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2FCC2C-A233-4863-AF6A-A73567FB79F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E4FA22-412D-496E-BFFA-BD061960AF0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F3ED52-D937-4B11-BA43-90124076796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764215-95C5-4A83-B762-7946D106738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9ACE92-4EB4-4496-95F3-2EC1A38D9EB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F07108-A66F-465F-B1E0-405DF8F0583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D6D0CC-2563-476C-AE22-4B7C12DCB13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FC6F0F-4C25-4219-9AB5-61AC081E5D5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577E1B-AD14-4781-84DB-151CBC2B79C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D3B3B6-1DFD-4C02-BD54-ACA06EEB073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34C0E3-F7DC-495E-9E34-336BB6E1F06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9CE07F-B1F6-4B9A-B699-580BBD3593A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E0E17A-85EF-4594-96E6-A8F538FF392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4D1648-E61B-4FAF-9020-D223934A822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4073D8-E925-46E0-8077-B7F3BC9BF31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FA5080-9D43-4F42-B577-9C93DD39B54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59637C-A326-41DF-B228-F7EB3C3314B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72C985-1649-4CB2-9DF3-22EF475EEE1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E27FA4-7F62-46D0-B474-ED1341A6A31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4B9AC1-C50B-4E1C-89D9-E4C50D5775E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AF834B-5C75-4D96-90D0-F5F7519FD8B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562BB5-4DDC-44AC-819F-B5E6A13D643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CA20B1-3101-45E8-911F-2923E39FBAD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4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D84A4B-3D8A-4FF0-9B9F-A366F981729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5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C3FACE-6FF3-4837-B3E0-357C3833A76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5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674F4F-C94F-4377-AFFA-0942282CB53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5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23562F-FCBF-45FE-BA51-BE21A61FCC7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5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EA03C1-2347-47C6-AB6F-95A130AB26E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64667F-5BA1-4FA7-A903-6130F2BCE6B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A92E9C-6365-4492-A5BF-A35E7507E20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1E2D39-973D-488D-8CA8-800647A45BA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4BAFBF-8D9C-4F62-9673-F4AC555F2F0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EDEC3C-1CF6-4CE2-B76C-D6C261BAF10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0ABC00-F54E-4DF3-A9A2-EA20EF5794D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463DA7-21BB-4515-A829-2309C275250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EB13A0-A2EE-4C00-98DB-38A1008DB00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DF66CA-25E5-436E-B685-4D531ACC02D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050B66-761C-4E6F-B073-CE63C02001A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08B153-F00B-41CC-9396-E2AE6BD9BB6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95E1D4-5049-49D7-8D18-1D8EDBBF6C6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FE9359-76FE-44B3-9280-97B809DD0A0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EFA6F9-667A-4531-BA08-3361C454382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A52F64-F74A-4D38-99D8-05CC33B8669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DF6999-7A1A-4218-8AF3-C422FFC1F2D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6B9792-0A2D-4357-B937-6F68B735136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A9BB99-EFD0-4D77-9CAB-4D036BC4110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1D4FF6-1773-47AA-842D-FDD44084C06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167689-626D-4312-8577-6522238D113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A89D35-0D16-48FA-96B2-6D39ED72CCF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AF6C99-D34E-4669-BC50-53CE3AAA5F5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05CE99-C6B8-4096-AF05-C3526C6B390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509AC6-CBAF-43C6-9ADF-B1B199404B8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410279-04E9-415F-BFE7-3A3FA1D5C44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0A6755-B541-4D36-9BE0-97831F30B26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8466F5-AEE3-49B7-BD60-14F2DB6402A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BCECB8-619B-4483-A3BA-BAADD93795E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077417-51BC-4649-B04B-D9D27C5FBA8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029A25-466C-42C1-ADBB-A1AF1FC2228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FD572B-1870-498F-826D-A0C3381CF91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C46247-F6DD-4553-B203-B581ACDB883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2C94E3-2895-4115-9F84-D3FE0807DE6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633D65-5AD9-4305-91CE-20C1929C576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0889DD-EA72-4802-ADD6-084900ECA14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1C8A02-DF03-45DD-B1D0-E23BC298B47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7CA30E-5168-41E9-AD6E-0C66437A5F9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D1F64F-6E1A-4B1C-9822-5349A04FE01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E45ABA-99B0-4931-8848-B1D05530AB0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3CB0DB-7362-4C41-95D0-5DC3F67D79B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FDD5B2-2DBB-47BE-9282-6C3EF5697EE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59DCA8-7B5F-4193-BF88-6BF4724B457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C46BB6-C492-4D82-AF03-982EA5AB6E9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8A8A9E-638F-4729-A16F-95AE748D928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61C2AC-F2D8-41E5-AE5A-05ACEF76AF0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06D6A0-1611-4657-AFD8-042CF5EE20D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3A8B17-0E44-4C54-B853-29BACA8CC33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5D9616-665F-4BF9-9EAF-90B3CC520F8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DD214D-FF9A-41CB-91B0-89DA12BCF7D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5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0BF37B-8B40-45E9-A50B-08907B49016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714375" cy="304800"/>
    <xdr:sp macro="" textlink="">
      <xdr:nvSpPr>
        <xdr:cNvPr id="95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BEE67B-8596-4E0C-AD3F-0FA22CF649DA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BA4509-D527-4A6F-B1FB-D74310ED8BD6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24A793-FA36-4CE9-B8F7-D32FC80B0885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38CC97-029C-49D2-93E2-583EF366A128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2DD51A-AF52-4BA8-9AA8-EB0D1A251C38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A18C59-059F-4257-893E-840B521A5474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714375" cy="304800"/>
    <xdr:sp macro="" textlink="">
      <xdr:nvSpPr>
        <xdr:cNvPr id="95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08AADE-EA3F-4165-A47D-7B16A702FCD0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5D012F-521C-4D9F-B9F2-5A9E8929AD05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85887E-749A-46B2-9AF7-A16DD3B9CB1C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15A0C0-7817-4C3C-B2B7-D1A84C81DFC0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C14A62-988D-4B42-8E43-FDEA123E74C1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75D4EA-DAD1-4A05-A2BA-A2DC94BDA7D3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8005E9-F400-4874-86DE-BA45982D769A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D734C4-9A3C-4C41-9B9F-DE7D66E2652C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0B81C6-6AA3-41BE-9F34-B381A9EC6DB3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3C0A95-A0AF-4674-8F6A-0819605DFBFD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3E8A42-9BFF-4332-B0C4-6E3224D11D31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664947-EB94-4A97-8238-98D44B24471F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288FB1-24D7-4191-B08C-09C23580122E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D252D9-1466-4CC1-91C7-8FBCA38025E4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F55269-F9DA-4D95-B73D-458327C6B076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73D53D-E545-4890-B22A-1D7214865EC0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C4CFE6-3E0A-480B-AC59-3CC5061873CD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00490C-7371-4C2C-B15D-E57923E0ACD2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91B41B-49DA-44AF-A202-99D92D60EFC5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899865-44D1-4559-A5D1-ED48E802637C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120667-2003-46CD-8E62-381FB3122B2D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714375" cy="304800"/>
    <xdr:sp macro="" textlink="">
      <xdr:nvSpPr>
        <xdr:cNvPr id="95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BF5740-0C08-49D8-8075-14CC7706A583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7183B9-1B71-4D46-891B-EF654444C068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37D3B6-D931-480B-81A6-302C890CF731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46AAB2-2D14-48FB-80CD-D83C2F638D71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92EDD3-F218-4F6B-BEF9-D359470EC79C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795C5C-C3A0-4401-B4DE-91282D244CA6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714375" cy="304800"/>
    <xdr:sp macro="" textlink="">
      <xdr:nvSpPr>
        <xdr:cNvPr id="95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ABFBDA-F60C-4DFB-A811-26CF31F6B9BA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74F9D8-9098-4ABF-B97A-2B3F69CBBA91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9DCDB8-754A-4715-AC55-463D59D48C8D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2F6DB2-EEE2-4AE2-8A39-3CF961DF257D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00BFD9-199B-45B0-A64F-65BBCD9CA5B1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865E4C-CADF-4109-BFDE-DB87A7C9A440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BBDF76-AE3B-422A-A153-B5FF68864612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179BF0-558B-487F-9B14-3212DE54DD95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4F59D2-3152-4E04-9809-91512357AB21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1F4316-426A-4980-9BD4-B9E0CE6CC017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C1DA8F-34F7-4F74-9980-65D58A006BD3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3DE46A-1C71-4749-9B0F-BE859773C71E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5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81DE5D-719D-40D8-A277-820EF6727684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6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967A2F-E730-4E7E-B8AB-06AC38171EFB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6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916AE2-84C0-45CC-AE90-6F0059C1235E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6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C3FD2E-6A92-4516-8AB1-53DDDEDFBCBB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6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388146-D388-474F-B96E-E29C44DB74E1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6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896817-E085-46D0-8A68-CF496D83ED5B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6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8EA723-B6FB-4D73-8FB3-B7D884E0C8CC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6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FED610-0AB8-4E9C-AD37-395B3477A033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6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D47145-CEE3-49D9-B19A-9EBD36410707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B08AD5-AB31-414D-A2DA-16E060BACC7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B818CF-B4DF-4C89-8727-737FE1AC0E0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811BC6-7BC2-4B26-9670-41D7337957E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215B9F-BAFA-4A77-BF8C-58A579464C8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539D55-667C-4062-B94E-45C9DA85883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83999D-FA96-462F-87FA-2E765D788BE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D3CA00-2729-477C-9402-D5827F37254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1D849A-FEFE-4DB2-9C31-AA1F53EE4B4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714375" cy="304800"/>
    <xdr:sp macro="" textlink="">
      <xdr:nvSpPr>
        <xdr:cNvPr id="96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314D14-8975-4B27-9942-738A681A5C6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08A2E7-5B3D-4D3E-A48F-F593366B325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3814B0-B1DE-4D49-B827-CC489095E8F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E3D30B-26E8-41B4-B795-18178D447B6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EFBF05-BE13-4505-93AF-3181867BDF8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0B1FDD-AFBA-4EFD-8DEF-AC73DAA7C44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714375" cy="304800"/>
    <xdr:sp macro="" textlink="">
      <xdr:nvSpPr>
        <xdr:cNvPr id="96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7453F2-1964-4EF3-BA84-DA57266CDDB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32A31F-4FE6-46C1-A5EC-884D11A0EA0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315D9A-2866-4074-87CF-901E643129C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4784D8-3606-4E48-9C99-ECB04948116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BA77AD-41DE-4B7A-AEC9-EC9085F0D06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CEF1C3-C094-4115-92D3-F2D6BAAC091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2D3638-853F-435B-920F-917C7E189B3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1B0427-FF4B-40B4-A483-37E1BEA25A2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1071AF-C028-49EA-B9BD-4E767E99353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7AC565-723F-4FAE-8D64-CB1A58C6658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560F2A-BF4E-4886-80D4-876AFFF398A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714375" cy="304800"/>
    <xdr:sp macro="" textlink="">
      <xdr:nvSpPr>
        <xdr:cNvPr id="96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1F5C0F-86E0-4097-A107-663097D123E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B6A075-6631-47B2-BEF2-6F8DC55D985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1F5BCD-E136-4D79-A708-3D5AF6CA1CA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C11400-7F91-4013-9954-C56CE5D7FEE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B44B2F-7878-405F-A609-5B9CDE45CB1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5DE09C-46A9-4BD6-B069-C6DC76829C2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A32388-2135-4C2D-A267-084BD02688F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D4E6F6-280B-4A9A-8149-9FD4698C0C6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BFC085-4B27-482B-95F9-498F85E42FC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9A086C-F181-436A-9D87-E031D22F9AD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B64F5E-AF8B-45E6-B236-6C2A64196E4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AD070B-C1C3-4E9D-A7C6-A7E1D39D5C6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8FB089-9EC3-441D-8669-17C7C55EDC7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EEB2E6-E49A-4D2B-BFC1-775035A1226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89A64B-D343-496C-BEE9-7E5B1D2DA72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5C86C9-2325-4770-9556-7D242C79631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4E4270-70D5-40AA-A140-7D89D0C415E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E140F5-5A5A-49B1-89A8-08259DEF5D9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30E473-5854-4D64-87A1-6284C26425E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714375" cy="304800"/>
    <xdr:sp macro="" textlink="">
      <xdr:nvSpPr>
        <xdr:cNvPr id="96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21169C-F663-43C4-A0DB-BBD2A6C3009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C4FDC9-80B9-46F5-82B4-E5FA3A4BCEC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BBFA9F-6224-4850-B344-760894E8B64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57F531-EFA2-4F7C-95EE-BF02DFC22F8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96C9E2-21C1-4F60-9F7F-F81B6815AA5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C28265-935F-4431-844E-FBC09355763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714375" cy="304800"/>
    <xdr:sp macro="" textlink="">
      <xdr:nvSpPr>
        <xdr:cNvPr id="96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5BB242-B819-46E4-B589-29AC6799A8A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34E7F4-5994-4BDD-8D7B-0D1E64F6425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CA62BE-D3E4-406F-A3D5-BA699FC3125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4A7299-2628-4B1D-BC2E-23F25B27CD8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747679-87EF-440C-B9AE-70BBE9718C0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9FEA14-7F97-4F63-9ABB-D1DC7E6D668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E01201-EC2D-44BF-B953-D9600020FFF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7974FB-F15E-44BE-84A6-36B4AC07E40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74C683-E18A-4D20-BBD4-5A1F02EE720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1D3D9B-E27F-41D5-874F-C723A5FBE04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1642D8-9C76-4B01-84BE-9E743F1815A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714375" cy="304800"/>
    <xdr:sp macro="" textlink="">
      <xdr:nvSpPr>
        <xdr:cNvPr id="96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D1FFDE-E4BD-484E-8045-A53CA51BE48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EBC5DD-5ADC-430A-9AE7-DBF45802FA3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5A7247-ED41-4182-A23F-0F48A040148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F85C2E-3BB8-453A-BD6A-B9DCB6828D4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BA0C7F-FAF1-4E53-A7FE-834D2058E4E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3AEE73-9FA0-4252-A8AF-7E34C1FE4F0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1551BD-FE70-499C-9142-EEE15F16793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EF6CC8-28D9-4B40-AF1E-38BE945038A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4E377B-027A-4883-A512-FAF53BA543F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D714E8-3185-4D4F-93CB-C6041D5C1F5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F6EA9E-B4EE-4A2F-9A25-2E0002373C5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577976-572B-4421-92C2-10E398BB7C4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AB2ADC-78FD-4419-99D7-51D8A76E974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32A079-58AB-45CC-AB0D-42CD0B09F6D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D0CF28-AE93-4B0D-9954-7FD1995EF20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CF1F43-E0CF-43DF-88A1-851A8371F7D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21A88C-FD65-4DE8-BEB8-8B10EB21F3C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34EAF3-4D67-4A65-B9A4-BCB6ED88BAD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E7A5C0-FDEB-4F77-98FF-DA66340EBD2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E378E5-8E6E-4EE3-9663-2E41E496D31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011625-3050-4141-884A-0ADE7B14972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822CDF-31C7-4123-8FE5-F16CD4665C4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3A3CC8-B28B-40B2-96C4-989E281E87F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EB6863-1043-4D6D-8C61-1653C0716E8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9B0D40-E387-4A7F-AFA3-EF57B24E9AD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463051-6025-4A51-B715-78C3F00BD01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DDB97B-5661-4C88-8334-EFB53AD1D70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35E7E1-7766-48A3-B23A-9BAAF1F70C5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FCB5D2-FC31-4BBF-AE3F-EF670A67A4F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FE328E-29A2-46CF-A05C-736EC5093DD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6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83DD2A-6E0D-424A-8C87-957C18D6EAD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135B2D-A83C-4777-9AF1-867F01CFD3C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05E23E-661F-4BCA-97F7-5BCD5289598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6853E6-0BA8-4C27-8207-3D990C69B5E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A58437-B9C0-4006-A755-434E955A291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6E9B21-731D-4D78-8FFE-FFB91F6A0BB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3423F5-CE13-430E-961D-AD2383E219F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96F0D6-BDDB-4C16-A3E3-39C15AC4412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8372DB-110E-446F-B7E8-96F59E2DB39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97C527-8691-4BC1-B717-F3B7C568A97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7BD5FF-A048-4AE9-8643-934770C3A8E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1AADF6-F8AA-44B0-A4BD-81C5329837B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45107C-4FD0-42DE-8864-33D644E0266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5751E8-8BC0-41C5-87DD-473B7A473FD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C9B7E5-FB26-48AA-BB12-6C68FF038C1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51C972-BB41-4E73-AC6A-83F6222912F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FEAFE3-B8C0-4D5F-A145-554C3AF372B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C29EF8-2456-4F22-8B9B-9FCA628E788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304541-940D-4934-BAA1-9B8149461FF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BEC836-12EC-4C68-AC76-804ABDBF1E7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C6FA18-1D1C-4CC4-9328-C948F078F07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A9D8CC-D1FB-4E9D-BEA9-9CDF76FE0E6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A476EF-BBD8-4FBB-93F2-294BBFE1DCF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AE40B3-8FED-4131-8634-04FFB0D29BE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A09923-A35C-4066-A3ED-0DA045F6EDE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0E102F-D572-4057-8EDB-7C9C1763592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853A93-474D-45A8-B4BA-C11001EEAC8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82CE3F-CF4C-4338-B6E3-D3006A9E0DB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58EBF7-26DA-49DB-A834-B6E719AA862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3443FE-CEAE-4217-A4BA-44D81CCD831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8E6275-8EED-41E7-B0D5-FC25AE86BDF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4C990E-E05D-42BE-BE35-B5A60EA7289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639293-6A75-45E4-9C10-6FCB1FE08A7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506BC8-8F29-48A0-8349-513FBE40CFB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DB97C4-012F-49F0-A7B1-4FB4CB2836E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C21368-D61D-4260-BA27-CAF61A7D292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4D45AD-0ADA-42D8-95BB-7F42AECABE7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39D634-EAD5-4425-87D7-21C65A874A4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D95A9A-8029-4303-AD67-246B3E2F680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5C82E2-54AA-4862-8BE5-0D1C4D60063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377D00-1574-4EED-B20D-71FE7ECF6BF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113E46-FC61-45C2-8D26-FF2BB573CAF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E23A55-A76A-40CB-BA9B-E99EF9D17BE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B7112D-B31F-4F22-8931-F2A76824F6B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4ECBD0-38DE-4405-A933-28C3A1AF9B9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6E6919-D1B7-4FA5-86CA-1B10B636BFF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3C8D3E-AAFC-44A0-9CAE-8F570DA56B6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ADD14D-92F0-456F-93C5-91C205B1CC1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789741-41E5-4971-85A5-39DC51ED277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B6D404-6609-42C4-9110-389DAD1CC56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B36D1E-9B08-4A60-B38E-EA0D1E53112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073205-8176-47DC-B14C-DE6DF6285FC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DB0A45-0F9B-4519-8552-49FBF3CBD56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90317B-956C-4B12-9861-2DC1E5C605B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73CA45-6932-44C2-9DDC-3EA9B504AAA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44AC98-D459-4367-8545-B8AD1B2BDDC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7D5C89-DF58-4608-B585-F0AB62AD585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FFA74A-13A7-47B8-8344-B45ED243C63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A738C7-F53D-43C5-AF99-DCE9432C151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D7F233-5526-4200-9FE0-9D44C5371B8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4E21AB-8724-44EA-8C21-8AAA49D6B13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19D5C8-8175-4C3D-92A2-636827109D7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291D37-0E74-4C85-B9F3-A0B4BC288A1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973E62-52FF-46EF-BA06-A55FAA38032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714375" cy="304800"/>
    <xdr:sp macro="" textlink="">
      <xdr:nvSpPr>
        <xdr:cNvPr id="97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7EC6F5-0745-4D33-8418-A6A64D63AE3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7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B0BD30-C2E7-475B-9B97-612199FCA08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7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CC8E5B-DF37-4BD2-967A-57D40A35557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7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B1790C-6B7C-4C6C-9FD7-7BD58E0858A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7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537EB5-6835-46DB-B8A8-3F035570D08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7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7D74D2-1CB7-483B-972F-710FF71C2EC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714375" cy="304800"/>
    <xdr:sp macro="" textlink="">
      <xdr:nvSpPr>
        <xdr:cNvPr id="97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CCF963-F548-4001-9E63-D6206945E88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7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70FDDF-C84B-44BF-9A00-24548F2BF5C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7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FC75D9-6E23-47EB-9A0F-CD16A8179AB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7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87F30D-8631-4874-8840-3920FC6F101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7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3DC640-D2BA-45CD-BF73-DC14124C510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7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E8549F-A959-4FD2-9DBD-FCC54EB49FB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7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5A0557-B375-4AC0-93FE-B7D039AB22F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7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FD5690-3B82-4916-8EC0-C9854BD14FC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7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C7FF05-1032-4DC3-8455-45A8FB49446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7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A73CF5-BC8D-4CCF-9876-7A4D3CD2892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7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116B48-D8D8-4AA8-BBD1-251A2925717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7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D8D4E9-1C90-41FE-B048-A8DD8AD5390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7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EC1929-DA0D-4146-9685-739E7F7E02C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7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848BCA-A902-40F9-9C47-C68BA3E06BD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7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E49903-A8B2-4904-8B28-F05D97E4E9E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7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7E7F12-4B87-4BB9-A0FF-48C5CA65996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7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866ADC-BA54-4F35-9626-3C13636DEB5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7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65419F-7000-471D-A867-8890DD3780B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7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2D4BF0-30DF-4979-8B03-9B89124C9B9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7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B7AA85-8258-4A96-85A5-481AE6A0F87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7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032CFD-FC26-4835-86DD-5CBE9D5235C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714375" cy="304800"/>
    <xdr:sp macro="" textlink="">
      <xdr:nvSpPr>
        <xdr:cNvPr id="97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DCF9A5-36B9-41EC-969A-B2D5210FD9C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7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431638-B503-4CB7-8F73-06A03F9F852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7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442305-9F01-4B52-AF44-1D9E57EEE3C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7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851FBA-EE36-4B34-9ED7-BFD35519427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7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14E565-D101-4032-AAD6-767D3660296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7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EB2E9B-7972-443B-AD0D-9CEC0A504BB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714375" cy="304800"/>
    <xdr:sp macro="" textlink="">
      <xdr:nvSpPr>
        <xdr:cNvPr id="97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7348A3-6DD1-4922-B412-EB72D7C3B60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7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B641FC-9C09-4715-BA27-D70DE1C410B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7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A8829B-2AD8-440E-A9D5-7BC50FD17E3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7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3CA3AC-A6BD-4AD8-9698-D4A643DB6E2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8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CCD2EB-A2CA-425B-BE47-7259713765A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8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777506-0F29-439F-BA34-F69FAF4131D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8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7C921E-73E5-477B-B3C9-9470F152BF0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8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B921AD-B40B-49B6-9CF0-23462F44831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8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CF9E56-9E48-4305-A187-1165C647183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8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A8AD00-07C2-4940-BE8E-6E66209E67E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8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743AB2-5A6C-4E7E-9491-8FA58C13B22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8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75EAA4-37D0-4626-AC29-C93D9737B72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8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26C6F1-0E9A-4690-9367-96999E9C1B9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8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2CCF97-E739-4F86-8FD6-BE575BA3C96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8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7F50BC-8F76-4551-8B76-362460317D3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8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59BEC0-9495-40B3-A0A8-FCA44F567D8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8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9FA3EC-BC74-4763-8C32-A15EB190FA2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8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B35822-CEB1-4006-B011-2BDB83A6E86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8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27E1DE-0AB8-4F4C-A0C9-6AA4AFCB986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8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0DC21A-1BE4-41AE-A728-1AF6B102418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8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0AE6E5-556D-4149-ACF8-9834E33E405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49FD8F-DDA6-46E4-B3A6-C0021C80374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3356C9-C19F-4073-BCAA-8C055839B29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864B1A-D63A-480E-BDBB-F5BCD640B29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CDD4E8-D15D-46A4-8489-56F034DA876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2AF4FE-BBF0-491F-A71B-37FAD1446E06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BF235F-A591-4222-86C6-52CF3A40BA2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E9B53B-C8D5-40B7-A76B-43227CC0176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FB2788-099E-4A0C-A109-1D593505FE1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DB393F-0FD4-40B6-851C-63602EC353E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9659DD-7BA8-436A-BCA1-157FD67B918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22686B-8093-4262-9CC2-4B5CE50DD69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CA7C13-8DC4-4EAB-881E-F47CEF2280B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05A38D-C865-41A1-8804-9FC98A15893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A51575-4B01-48DF-81AF-9EDAF453DCE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9906B3-35FF-4464-9187-9E96B7E24D4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476264-4506-4786-A579-0A1829FAAFC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2BFD04-4947-4663-89D2-CEE401D8120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988F30-066F-494E-BE7E-8F2C9E0F0CBA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67B71F-E905-4DA7-94FE-D13A1E8D3A9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451223-BF4C-4D09-A4CC-675902812F7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74A384-4ECC-48C4-AC99-33BE877DCBE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FDB019-1009-448C-A481-0B6D478026B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B38FDE-C89A-4198-B7A4-19840C998FA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4D05BE-AA2D-4FF2-923C-226A18891C46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AF02B5-A0A0-469E-AF51-6CD91C8D6FB6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4F5530-D826-4B73-909E-A074A2F2188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B45940-6FB4-4420-8371-152E485B9BD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6B1037-E12A-4E14-90BF-B343F50F967C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2BDAC7-D5AD-4C9A-800F-0BEE3312130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515F63-B798-4100-B657-15C8D64BF6F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F6546A-6ED1-40BC-84C8-8DFC322AB38C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48F49B-564E-4863-9BA9-983DE72B87F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8C4E2D-3ED5-4666-B2E9-CC85B874095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28B114-6DC3-4EDE-B4DC-F178F1518C8A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F6958F-9F19-4713-A246-3593CDB8FDB6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DA37DF-65A2-4CF3-A2B1-2BF7F1129B5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F0E90B-52BC-4442-8C3E-F915BD46A82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8EF052-3B5E-4089-96E5-E064EBCD7C3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EF7EAC-4CBD-4AD0-B1D4-44EEBB39D6A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3453FB-63BF-4CB2-8688-F37AD64CFC7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C50C73-CC5B-486A-93D9-6B0D7059E47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2C2758-923D-45B6-A647-B6A51E1E7AA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C99945-A764-480D-A619-DEBA34612EF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545B2D-B8B9-4417-8F2E-1A23BEA3E5A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102157-9699-404D-B352-CE32B07D3156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AFD34B-7CB0-43AB-9D66-1BA05B40F9F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831A16-EC16-4E60-87C5-7B1AE4A1DBD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7DC75B-F318-4C8C-A0F4-04E2E1440F7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239DC5-4875-40D9-B43A-C4BB6748CAB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FC99C4-5455-44EF-BE35-6415FF8CC37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A18215-E62E-4FD5-BF9A-8A1821938E5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AFB7D0-C737-44AE-B8BB-A6118A303A0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32373C-C427-4FC4-B051-991695CA129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D04BDD-46DF-49F3-9165-D32207F4102A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9E90FE-CFDF-41E4-AB0F-E0649DD15DD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4AD04B-E85F-49DC-B4E1-40778E45E016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35FE9F-DAED-4E75-868D-6D884B6A943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AC5A66-768F-47C0-9FBE-7CB8EE9C791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18DA37-30A9-4D1C-8580-F005700104C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E0A0C4-B305-4668-973B-7B0C66C94BDA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2D6717-2A3E-4EBD-8963-EF74EFCD3E8C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042B2A-9E86-4E1B-9750-D1A47757150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3CC30A-C050-4B8B-9482-9D67CA970E2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4EBEBE-0289-47D0-8EA6-2460F096E3CA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21FF52-B3E5-470B-9904-594331762B7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9AD5B8-1147-4D92-BCF7-BEB281E5E136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751084-1272-4B42-A852-60A3950740E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30D091-A968-48E9-8449-3FD54D01CE7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D8D43F-675C-4C56-932B-D32DE36070C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F99DD9-FC2E-4A22-9EEA-E73C3A75C41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577F53-0FD4-4C22-8E58-6CA04BF3E8E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85B73F-7B17-4B0D-9A35-ED9B6AA5912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742360-0543-404E-8BAD-DF0B34C7238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FCE310-A02D-41A8-BA70-F5916140538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D887E9-0140-4618-8028-34B367AFDA8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0A5645-A7E6-4F22-A63F-AA9DEA9B4AFA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9EB71E-E70D-4305-8408-518A18FFD8C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91D8F0-21A8-4E60-8DEF-B7B866056D7A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757E6A-A0B5-4F59-B44D-29CE341FF0A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A39126-D043-4D68-8645-BCC1EB73F00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0F8B99-9825-4A3A-9AA7-2A1AD96DAB6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2C5237-2277-4EE2-9731-C254FD55A45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8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BD7488-4921-44BB-9F80-F7E0EC7E592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DCF6C6-BA04-4707-85C2-F911EA43157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B3F439-F7C7-4DDF-A276-16E0CE45F5D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3960CD-46CE-4B11-B01B-2916457289E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CAD376-A14E-422B-82E7-AB0A4794CAB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514489-7E45-4661-854F-82FC408291CC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139D1E-8FE6-4FD2-BB1D-F9759647460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9B7D12-A7C1-4E96-AB59-10DCB396FFB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A23C42-EEA7-4781-A7CC-542DBEBE003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08421F-22AB-465F-A607-E0A2EDE1A93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6D56A2-109C-4912-9ED6-FBFC9EB3BEF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24C760-4F82-4B04-BF84-8F25A775818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DE9956-0E62-4223-B3A6-F4B67258FDC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9A84FD-1E2E-496F-AFCF-9455FFAE82D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6E0EF6-C43A-4EB8-828D-28CF2B0D3BF6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FD1DA3-CEFB-49C7-8210-D27ACBE8570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E0DC9A-C231-42CD-8C2E-3BC327CF5BA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161882-422A-4922-B085-8FA2F4C1BC2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939567-E9B2-45BE-A157-2713B32AEE7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F386E3-8574-45D8-90C1-EFEC45907E4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984F7D-E260-428D-81D4-120DF66B7D1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EF2567-E920-4937-B1B3-BA5762122D2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4C128C-C20A-4900-873E-EFCABD6379C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FEE957-8AAA-43E5-BD68-6B4F69E9A3E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A4C73E-75A2-477A-8EE5-84EA11A534B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0837A4-4B9A-4DC6-BE92-E52B0987CF6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DBFAC5-5DE4-4B50-BCE2-3D5D9D7B7FD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1EE92C-64BE-4A90-BAF0-FD6B55B41056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CD4CAD-8E48-4BE7-898A-3D1EAAC4B4E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DFF9A2-6762-4CD4-8590-19D6A84EEEA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B32E52-D1E7-437A-BB1F-4504DB329376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A531C3-E162-4A40-A6CB-754E999D206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3F8719-3A8E-41E0-8945-9F2914E436D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918EA7-D329-4C66-BE9B-E662B67BB85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15580A-2796-459B-8FF6-84FE95512E2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3EDCC1-0391-4314-BC08-4C3871E9F0B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7AC61F-427D-4C9C-93DA-11AEBE93B52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6DC9F7-285C-4EDB-80E3-4ABC7BC12A8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114709-EEB8-4375-8952-018E75DD8F86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1078AA-CB42-4A8A-8373-7F8D6BBB064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F27475-1A6C-4601-9D8B-704980A8679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9681A7-D50A-4302-A9C7-1F79BEFE0C1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4FFE5F-9FF9-4DEA-92DB-D57897CFDB4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4FA172-DCBA-45C3-A2ED-831F2B48080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B4D7A2-8032-4BC2-8449-145B83081D0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65F2A5-1741-4177-BC0F-52D4E867BB2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19BECD-EB03-4FD3-B721-ACB5234C6F5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8DEA3E-A88C-4F6F-BA9C-E777433DFBB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281593-D2DB-44CE-87CF-C5D944579F4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CCBB56-4957-40A0-9D00-2E5F0D98690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14C105-8C88-48E2-81DF-CAA4D8A3B0C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E0C872-92D3-4B58-AB8A-019B90C854B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F2E9C6-2135-414B-80B3-6199B7FF41F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A364D9-0586-46D4-9D57-319DCDF4407A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B17C71-8347-4F3E-8B43-BE791AB686DA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0C8512-1A70-4C56-BF51-67F89FCF300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28A1A8-4D10-4B30-B454-A170431C468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59E7BC-6FAC-43BF-940E-D224B88631E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31FCAF-DA65-43B0-9476-F259D5DCBBE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A0CB57-584B-4A8D-AF5F-EB98D2C529F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F18893-EA04-43E6-B2D7-771B6D0F0C8C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8910BB-6DB3-4E0F-92FE-2D72DC3881B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6BE13A-63F1-436E-9516-3EBF3D3C402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EBA663-8134-436E-BB7F-2DCDFC08CFA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741ED5-88C9-4C3B-964C-D38DE9496DF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192A39-5E8E-459D-A883-E9E60D60D77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99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B41129-2BEC-4BE0-964B-FF99D8B3818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9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23E12F-622B-411F-9DE3-90A411F3AC0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9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B5361D-C9F4-4E35-8450-4BE6B685917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9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92F2FC-D464-4E26-817D-CDBC21B8444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9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EA36D3-53E5-44D5-A995-9E95FE70BEB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9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29054B-41B4-457B-BFC7-54FCC27EACB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9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1C7F79-72F1-4603-B582-FE74FCFA2E6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9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6B5DFD-D1C3-4A8A-813C-79A150F799C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9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975861-B191-4706-93A0-FABD8861B25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9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1EBE19-2670-46E3-9F04-0C7609BF60C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9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8A0870-83FB-488D-A2B9-9669B5CB5F3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9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6982E5-30F9-44EC-94EE-0FDDD41F006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9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BB1239-21FF-4B7A-B42F-31CAF834F3D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9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87C8D9-19BA-42B2-8D31-63262A0E02D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9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81364F-3954-47AF-B96D-05EB7AF3454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9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1D57DC-B9B6-4706-BF98-54539F0315C6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9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A702DD-2B70-4CF5-A16B-C0177A2A995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9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81F514-CFD7-4436-BE6F-27F682EEF2E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9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9B5713-B605-46DF-AB87-1C4082F9D4B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9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88FAA8-0A27-44CC-AEA1-F5556340D8A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9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98941A-7763-4E3B-A93E-3BB1D5722BE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9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1D4F22-A0D3-49E8-89C0-33449C5A92A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9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CE93D5-E2E0-4EB9-B416-D93BF835F41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9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2D8E2A-3C4E-4871-8E80-AD0B7EC4C43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9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7FDD3C-C5F2-4A3F-A262-0D00F51F5F6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9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CE7D38-F878-4A05-8A18-95121B89C60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9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F9F342-1C5E-48F7-B844-22FFA3BA5FC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9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2C60F6-3106-4BB0-BA99-4CCEAE34120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9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AD43EB-C923-4033-A58F-19C99760AEB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9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822CE9-3FA0-4DB2-810D-A32F00FCB05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9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8D4AE9-D19A-4770-AC05-DC1C352846F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9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A32E6B-20DB-431C-8DB6-09812E14397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9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822799-FF9B-49CC-A33B-B154D096897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9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DA507E-BFC8-4068-9885-881B8EB5719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99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16F228-DBCD-46FA-A57C-129454C25EA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0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B9DDFB-D594-4B3E-A174-FEEA6CB1687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0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5A68B6-A40F-4CCE-B27D-B9085083910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0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E66539-DD32-4C94-8C60-2EFB047F196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0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319A10-D839-41A5-AF25-1CED57ED81A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0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B67177-2266-43F6-91DF-97324E790A1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0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96C955-57B6-4FDE-B203-1654A03DF95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0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C45978-6023-4A65-B967-A0935C61DFC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0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EA410B-40CB-453A-B6A2-737B267DDB2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0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265FAF-16FB-4F5C-B8B1-1BE4C0785D8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0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77397E-367A-4DE7-98BF-2261460198EA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0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7A522E-3D2D-4815-B326-47567487CE7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0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6C3D23-9458-400F-8244-E733F1C6F27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0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48665C-CC16-461E-8050-2C522CC2B99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0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642939-812C-46AB-A5C1-300A3327B6A6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0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B18231-2ACD-476A-A3E9-6801AD54EE2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0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286F30-15B7-48D5-B5DB-5B568E07356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6A2614-0329-46A3-95F5-53418D54AF4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A7A80B-3E0C-4232-BB41-9E0069514DD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91532A-7DF5-4815-8B80-200D4E5DF31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16F0E2-9253-4CF2-8B0B-EE1873B784D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5E12D8-7191-44A1-AC1D-ADC2CE6F2D85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0FF988-1EE6-4B98-9471-33CD662A6C7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BDA8B7-520F-4A5C-AE2B-93847886492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44ACCF-2E4F-4FAF-891A-6F3F5B43C1B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B6604D-0B1C-4EB5-8D31-0F3A60FBDBA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C30220-551C-4E2E-8BE2-9CB4C051692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DF9FBA-50CC-46EC-9801-C9315F19047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661122-A983-4827-82F4-8742793EC96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441A1F-1AD6-4CE0-9815-55BB7FFE91B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5C787C-91DE-47A4-96AB-5529B5EF2D9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043F36-FC67-47BF-A3FA-0188A6BEA55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59CDAD-5D20-4531-9C50-D55AB7E00F0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A53D31-8393-49C1-AB4D-350156D7635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2B84EC-A64E-4BE3-99EA-4C337D0B1AF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A208BC-889B-41C9-BE24-8FD70C6B6C3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7708DE-164E-444C-8C6F-68B3E2803EE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75ECCC-E33A-4905-99EF-1AED530EF97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4697A7-BBF3-4240-B6C6-B537E8A1C065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845C28-05A0-4A19-B72E-7DC1FFC96D3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E943AF-0AAC-4799-8FC1-EB75828E923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0E4F1C-9DE8-44FC-8E50-5AF8B3E66C1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F74629-701A-4F54-AB50-B44D9471DA5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3974B6-FE68-466A-A056-481B6D5072B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95B421-DF72-4932-9A8E-A82F261A465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CE8423-B636-470D-B885-5B2718AADB8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ED451D-0720-4558-87E5-1879DBD5BC0A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EA062A-CF91-49BC-AE65-8C1D9C7A1FC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340D06-F843-4B41-B3C0-A9BF999756C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E88559-0BB7-4109-8AA3-CB3663D212E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8E36D2-F542-4B9A-9F6D-0EEAE519F1C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8313C4-9DE9-4019-B3F9-2880ADB26A95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21F847-A602-45D8-8BD5-70BE24F5AB8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CF7EDA-7287-4D3A-A526-39CD62ECCE3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ADBB98-EACB-4505-B5FB-13755D1B5CA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716A69-57CF-4201-8055-57B36021FC0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01D6B9-50D2-4118-A280-AC9412FC22B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807E1E-A44A-498A-81DF-2455D4F13EE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875308-23CE-4A8E-BA84-8835C1F351F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CC6D4D-7136-423F-A458-F51C805A3C9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513E48-D384-4FB5-A35B-4D831C10952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0ED396-B408-4767-BA24-71C68D47F89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F999F1-EB1B-41A9-8FB4-6B6458F016C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265DC4-0D6B-4995-8AC9-BB263826A9D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C6C1A1-ACE9-4CA8-AC27-F0E07FA7E5E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CA209C-AEAF-424F-BD25-EE9214131FF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920AA6-3A14-48DA-BE97-71604C54187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7BD8BB-F87A-4F59-A27B-B650C5274D8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F217B3-98F0-43BE-B5D4-ADA53C08A93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478667-9A56-4427-A5D4-CD25643AEA8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517F34-BCC8-4CFF-B1D2-4EFB3BB98BB5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395916-8C17-4A82-9E01-2A6D854FC03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BC352A-BE49-4AB0-BF13-F08607455CC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B6701B-B2B5-4E5A-A697-55EEAC47C8E8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76E2DC-57F8-426B-B4CB-36019EFE4D8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EF6B70-E267-4A7C-98B3-279FC41FE118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788EDE-927D-4483-81E9-5A9B9CCE5B8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AB2721-8063-476B-BCA5-064B9262371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3D8AAA-4B74-4E1E-875B-7CEAE6EFD51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FD90CA-6E56-4FD8-9486-E433A196E47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0EEA06-1C85-4DDD-AE85-AA4887C04CC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1A46A9-B978-4C35-ABDE-39116D8017C8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406196-AFD0-471D-8423-DA1EAC1DDCE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0521E5-FDA8-4510-814B-14DD0EB5955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10A329-0C10-4690-90DA-A82A3D31390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F75567-1341-49D1-9DEC-ABC6D0D9432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795F77-F6BC-4144-AD12-BF81087D9D8A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026A9A-01C5-47F4-A2D1-F08010642D7A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DBEFDA-7FE6-4A52-AC33-05C584E4E4FA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14974D-F194-41F5-88BA-944E28BAF97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FB4CBD-FD99-410F-9926-FF5D75D1DD0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8E656D-52FC-44F3-A79A-63E4002645C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FD63D6-5FD2-478C-957E-E98A9A5CEEC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EB0562-0C8B-48FF-B48F-D5995CF38CB5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7A1D66-0AFF-46D3-BE45-FB914CAD935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F14882-70BB-4BF4-9AA3-259754F92C5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C447EB-62A1-4A3E-97CA-7CF36B452DC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4C06B7-D931-46AA-9B0C-13EEFF040F6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1ABE8C-3447-456E-A863-8CD38E5657A5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5C9096-DE1F-4D15-866B-1CAA079815C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0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A39854-37D8-4202-AA20-8759FF5C5F0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A02F7C-9C47-4032-BE58-73DD6082793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76C577-D234-46F7-A264-62446D85BE3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32AA74-8575-489F-8E00-586386BF9B6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EB9C6D-D6B0-4B78-8170-084F8977520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AB7725-1471-45A2-9EE8-D232CE8A615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327610-E718-47E5-9EC4-4E8C0725183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754D82-C493-4064-839D-2B7E3BFFC5A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A5B88A-9B83-4C62-8A95-D6F19561D78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79F919-7B61-42DF-BF85-B046D7B439D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000315-EE21-4972-9FB5-480A4470429A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8991E1-121B-4855-800B-98E48EE358D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178768-A920-4656-9727-7270229DB7D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6E3D9A-9319-44AA-B115-BFBF3FC73AD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E605D6-5F40-456E-AD87-985CEE16F90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F5C79C-F66F-44E8-A548-4E4B16D5A73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7E7D7D-5D50-434F-AF3B-64AEF9EF196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1F23C3-7318-40DF-938C-67722C410C3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43D8F4-D1B6-48D3-A850-6FBB5BC3BD0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8FB1C5-06FB-4657-A1FF-B99ABA0AA5D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5AD7A5-88AF-4CA7-BE88-5A2D1167C91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AABECB-F4C5-460C-8A0C-799C29DEC3B8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88F152-4255-4789-ABBD-0EA4F9B6982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503410-D512-472F-905B-0135D699460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B2C987-8556-475B-BFE0-7B8A04C8538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EE284C-E19E-49F9-973A-53F381530DE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3D4BEC-BD8C-4B54-9F5B-C9118D2ED0C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B72B6F-7231-4190-95C2-114AB6BD83B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4C0E92-C5BB-4699-898A-F1EB9EA2501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63FB43-6335-4F0D-BE73-041E1559EDD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A77A15-49AE-443B-B968-AD2F6C1AC2A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8BE04A-297D-4DB0-90BC-A1AF05B6A04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20C3DE-1075-4717-830E-12905238E6F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FAF435-7B71-413D-A8A2-6E58815FEB35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E9080C-0850-4BC4-9F6E-B663472A472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3C0DDA-E554-4E5A-861B-092C442DF67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D6CAB8-37D3-4237-8EFF-BB1FFDACFCB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95796A-698D-411F-BC17-1349EE5F095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331531-E6B4-4DC8-99AD-2B1B382D2E2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D8FF22-5B4B-4197-B408-44BC7A6E875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29FDD2-1F3E-4ED2-8B69-C5FF583C945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224864-6981-4EF8-94EC-9F20C2822BB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D0021C-01E0-4DA5-B068-300A4137E4E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938B87-8739-4A63-882C-29C4F7D0547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362CF8-967A-4463-9B9E-C4FDAE472F6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D3CB93-E016-4BF1-941E-2ECCE564075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686CBF-7CCA-452B-991D-E1C1B9E36C1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81B9D6-4BA1-4E01-8DB8-BB31197A150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341371-9016-44D6-91C2-94A49AE38FC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70590E-6991-4579-8BE1-37DFBF7E52F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B3B3AD-5A07-4553-A006-507DBE198B9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683CE4-481A-45F5-935A-90814597A18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CEAA8A-D10B-4439-890A-710058FBE57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4B7DAD-2D6A-444A-9B81-5FB21463AF1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3B5B69-FAAA-4D32-A9C5-1193881CA21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FC48DF-C7E5-471D-8E57-2BDD6804099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3F5E39-C690-4343-AC1E-E95C4E68CB4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A28357-38C7-4BBB-841E-FFD6C29E68C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E158EA-F3AF-4853-A01D-750122744E9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483117-7242-4F33-94E4-AEE63CB8826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AB0509-A683-4DA3-B0FE-42033DA32B0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E5D392-771A-4BDC-B10F-4041E04FCBF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917230-D84C-40C3-B2C1-966EE6DA85C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A61C4E-43D9-4284-8E80-4277D5D2595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5B140C-BA6A-4E93-8434-9F8D4AEBC3F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1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FEDE40-CB36-4E10-9525-940777A26BC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1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3B1221-A2F6-4C5A-91EA-D1EB022473C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1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98C42A-9076-4605-9AA7-655D36D4D92A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1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1B5EA4-87FA-4671-9243-745410ABD585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1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991525-CA43-4953-9884-54294D58B38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1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C7DA8A-64FB-4024-B359-A0831199516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1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B963A8-5B3A-4A7F-BCA0-256516400A4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1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2F848C-2EBC-432E-99A0-5D32C62CBFF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1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0E9BCB-91D0-4246-9F39-B1DEC265543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1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5808EF-6D39-4AA9-9B15-563566AD168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1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FAB33E-E69F-4B30-9FD1-E4BDB794861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1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E2CFB4-98BD-4C63-B807-0CDDB63D125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1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E63328-A451-44AD-9690-AFB4DE0A3E7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1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7182E6-1073-4F04-98A1-4EAEFD4E5AC8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1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0B7606-C3EC-475C-AB00-122CA5D928D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1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D6E601-463B-4A73-AC63-923BAA04EA8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1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F5DC63-4709-4482-A554-A3A9399556B8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1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F49FE3-53A9-488D-96A6-6AD9F44F675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1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9F22ED-8EA4-437A-B42B-2BB5CBF9010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1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3A6485-997E-492E-A3D5-F4E1275B467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1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F33046-A5EF-4504-BB62-972B3FF2E76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1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AE01AE-6A66-4743-9628-0290BA06893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1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810B96-ACA6-4025-93CC-FF8CD9A4C47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1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B8B2F1-A67D-4367-B3E4-A07747006EA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1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206210-6FA8-4687-9FD4-20010AFC58B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1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086DB4-7012-4DA8-89C8-7812D0A5AB7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1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4FA7C1-2066-4F98-8379-2E674A6B8D4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1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57FCDE-DE35-471E-BF1E-FA4E5F8D188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1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2A51B4-D3A1-424C-A993-63AEE699F8F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1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CDF880-7E5F-4CAA-AD01-196EC77F37BA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1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0F4903-814B-4071-8781-CA53F0BF451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1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9BD1B0-55BD-477E-AADB-B3987F57A0F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1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6C77A7-1E36-43ED-AA24-077EFDC52B9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1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C25ADF-C52E-4C77-9F09-61BD882CF74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1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A78262-559E-4E2B-A353-F4800C4801A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1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DB9376-70EC-4182-9F14-44A2C981787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2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366B08-8480-40E9-BEAC-FA2331FB06D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2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0EEB30-8882-4DF7-B5A9-627F246626C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2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4EB9EF-18A6-45AE-A632-854A53DC4D7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2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D19ECA-FF52-4B3F-ABC9-88A737A07698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2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31150D-913A-45FE-929F-ED1FDF359F2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2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02C7A8-7B19-4583-A680-2042E6DE7B8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2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29643C-07E8-4C63-8EB8-3FA5ED9359B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2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D3B601-EFA0-43DC-8498-B62DFBC8C92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2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867486-8D6A-4E8C-B0B7-60A0FB15F1A8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2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776B1F-0CC5-4AF3-ADDA-EAF45A4CE4A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2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BD11A3-D1C6-4459-BAC2-838A4C63548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2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61ABF8-4350-480D-B5B1-B9D5CA019E0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2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F424B9-3E42-4B1F-A13C-C5A176AC521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2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C644AE-941A-4B87-A75B-514E0BA38E9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2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70B8D3-7D79-4775-985F-6113041AE20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4C759F-D84A-46EA-9103-E882340BDEA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61E363-7F37-45A8-B305-BCC2697EEBA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90A788-C976-421C-9FE8-456A2B5AB75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A05F10-E983-414C-BE02-9210A98C9E3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1451BB-BAAD-44F0-89A5-D6E1B83D677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06713D-3F19-414B-9246-263B915E50E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1D9E19-3E52-4A40-B1A3-6279ACA10BE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27B0A9-D5E6-448B-AE1E-31BA6D22E30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72D3E8-868D-4D9E-9D87-750D88A1A39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E5B667-4527-442A-8888-8DF8DD3A8B5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416B9E-1BEE-4D78-BE83-ACD49429D30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3E3786-23B1-4B2A-9E7F-9F8B2047D68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DE4BB2-8B91-4335-BC5C-91A830A21D9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5920CC-E764-41F5-A34A-773186379DB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D39E3E-478E-4E1A-B413-87BF0BD6538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620FFA-AA7D-4893-8ED3-D1120D0082F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46AEAF-9D6A-436B-8E0F-8F363194FAC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AF3FD8-95F9-4D48-9D3D-0072E92152E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147B70-3192-4300-BAEC-52920DFA8F1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9617F0-6348-4493-9315-906A2270467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C09999-D4F2-40A7-BE01-717D4761D96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B78052-944A-4540-9C81-6221375B0E6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2629BE-78F9-4416-96DE-C13789A5A2E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74E14F-A6E6-4543-9367-B66746092D6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AF8929-5171-4F99-ACD4-35BAC57DD04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F995D5-C1F4-4EAA-9791-51367D2BDC6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BDC7FD-57FF-46D6-992D-B8E14C73DAD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B176EC-E50B-4149-94D2-BCC6532A410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370EB7-4879-40F5-8F98-66DF88CAAD2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071AFD-B642-4B6B-B643-9EACF3DA7AC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ECF043-F7E6-44B8-BDC0-CD242EB0D1E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6B741F-B09A-4AEA-B485-B61CCE68C07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B72FEA-F47A-4D2E-B94D-7A56BA52D78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260057-9E84-4F6D-A458-A2CF51C4CD8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32C117-49F0-4660-A66A-50F0F264A55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B281DB-F81A-4053-B6C3-21A882C9E75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1F34AB-1CBF-473D-A29C-56E966DC77E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BBA51D-47E4-40EC-B63F-185A79A6365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B6F20C-56F0-4C49-887E-2F639AE2367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4863CD-6ADE-4E9A-8832-03A8BF0F4F7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CDEE37-C83E-46CB-837A-FD8AB489F42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74DD93-3773-4E73-A9EF-EF240155B82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E1BCC0-1E2E-4500-AFA1-692BB488519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76FBF1-A878-4901-81E8-36C2397937B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5DAD0B-3429-444C-816C-E45E782EA2A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39C223-7134-46AF-8DB7-AEC248DD476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9914F7-E0BE-41F7-919E-FA7F3B930B2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CA3380-D00A-4DCF-BBD6-F994E9527D8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D2D86B-227E-40E1-B12E-CEC89610839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C7AF7E-D62C-4D0D-890E-4CAEA95B209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9D4D8E-17CC-4929-922F-DDFB4215146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B238EE-099B-49DD-A8FB-59D330BC16A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1DF29C-5388-48BC-98A5-9350BF1CE64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F87AF9-86FA-4FB9-AF01-840AB2AEAD2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BDC1E8-9688-42E9-9289-5BD9390B1B3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97B7DC-26E9-4F32-8666-04B2A84D4B0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84CF4E-978E-49A1-888C-11966646E26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2B858F-E9A1-436B-A209-68B971C495E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08909E-F5E4-4D13-B66D-84457E61DFE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9CFE72-3849-4BAD-9A93-1DF3EF4B13D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C1003F-A32A-4566-8E73-83ADD0793B5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21B9F1-A70A-4626-A0CA-E9F1363D734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32110D-4D83-433E-B83D-C146852CB90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FA4649-6230-4EA9-8102-B482001B71D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56082C-67C0-40A0-B140-1A4466DC06B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1609E9-770C-473E-932C-AF440CAD763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968AE5-73FA-420B-A9A8-B2AC196A2D7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31A70A-8540-4473-9DC4-46874C22C80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8C58AC-42F2-45D9-9642-B1B7C1E346D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75F4D0-0187-4D09-A2D7-AE3E96B3C66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2D1321-D93B-4F32-800F-BDF2B469CA1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1590A2-EF7A-4707-9150-CFAC567D507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318957-F3DF-4C06-B07F-750E141A6B2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7153CE-3035-4447-8911-00082CA25CF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ED4618-78DB-4C79-843E-74CDF56FA23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2E72BC-D01B-4C65-884A-D382A5F7216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0A13A6-2F7B-439D-B09D-502F9E02F16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FBC810-85F9-4F38-9038-444C349256F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475F4A-69CB-45A2-BE55-DD4C48CD531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62E1FA-48C3-4627-9F7E-605555C92E3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192EE2-DA2E-4913-B78D-0BE3CF744B9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BB6714-D2F1-4B44-95A9-17AD1685BD7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B60EDA-5D34-415B-B51F-2D806EA963A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149FBC-72FF-45EA-8F44-A7EB5C6C65D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2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C7D626-8420-46DE-99C8-1275993AB6A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551256-A54A-4A34-A762-FE24FADC903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5DFA2E-3D71-47A8-977E-8C59EA42C73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EE16C2-70D3-444F-AE4B-9D7915B9088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6FB8FB-1691-42E5-98EC-5733BDE696A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9F897B-D1B0-4D68-82EA-11D43E6C238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204136-0990-4E2C-961C-388A0F44DDF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5358C7-30E4-49D6-80E0-685E06FE884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EC211C-AACA-487B-9F4A-ECD6A606276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A41CB7-214A-43A8-8536-0BEA1C7B774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6397E6-BF7E-4258-A092-DD2556D9FD7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3549C0-8BA5-47D4-A32D-C0AA0BE1050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9D4F22-629D-46CD-ABBA-7C5B42B8F72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1C798C-8CC4-40FC-8FCC-B8F265E9D62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61D8F4-F9DB-44BC-AD24-1C6AD1F9D13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0C6C68-5D84-4A77-8D9B-2D363E296BA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916780-D7EF-43F9-8C5C-87BA97B2001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91F8E7-0CB0-41DB-9BCE-204DE37FFE7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B1B4F0-B50C-4EFE-9B3A-B8A9C83F325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64C1BE-AC95-4665-9B88-EDA1A568B6D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1F458D-CCF6-4893-B496-FE8627E0553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BEE9C6-64DE-4DEF-9DB5-E7F7C92F5BA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A69B06-3ADE-4EA1-96AE-00E23BE27C0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B63CAA-C558-4539-8A3F-E28D4DA3653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8CC6F1-8AF1-4CF3-91CD-A6CF209C94D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1249EF-7000-4AFD-BEB3-E7EB2C3BC25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0883EA-4EDC-42DA-976D-61F626C7816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E30179-4CE8-4946-B105-A558AB942A9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296510-4D3D-4B78-95D9-CE9BCEBD095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51D188-A57D-45C0-9A7F-EDD6CA6CF25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EDA462-0FF8-4BD6-BB0C-D6EA3EB8C29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EEC6F5-DA66-4474-90A7-491AE5BF3BC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95AB3D-73AE-4263-AE86-69C779255B7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BADEC2-5C8C-4030-B853-EFB90C6873D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A7FCC4-D623-486F-8F62-95D058B3539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0FF8FF-782F-44D3-940D-E8D98183D40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0E8D82-A378-423B-BD52-5AA2C2C4A9E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422FCD-3D75-44BD-A014-11728716D54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7D8EE5-A901-47A4-91FF-ED8FB006180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BDBF33-C375-4436-960E-B9ED7AEB800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F1C79F-C107-4B61-861A-0BDB0A4AE89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A2484B-EDE6-4B11-8DEC-1B5BEEF331E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210421-3E87-4C39-9E0B-F816404B1B9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C113DC-C45A-420B-B683-DEFBD5DAD65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7BE2A6-965F-49B4-B79C-19FC04FE73F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BDDAA8-503D-4ED2-BB34-A2FC9F269DB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1598BF-8958-4E46-B16B-B46860E949D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F77B6E-1E6D-46EC-8BFE-E4453A2CADF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B51339-BCE8-413F-A668-0D78E63EAAA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A1B275-0C0D-4541-B4DC-16332B66485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58F0C3-4458-4D05-A305-C46A1658438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16391F-0B9E-45B1-8C81-EE9F3AA9E34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9461F2-E7C1-44BD-99D0-FC4BCA5D7E2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B80061-FE86-499C-BE59-FAE27E60F72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E41AA1-7DCD-48C2-850A-A01038A6D34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D0BA91-F1BC-42F1-A92E-CD131BC819C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FC06E6-B06A-4CF9-9A01-0824624E217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EEFB96-BB8E-4134-8340-F9103BA0AFC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883CC1-9616-4E58-A777-CF01C0F15CC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9B92B5-7F66-429F-91EA-17067079D01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1B3B4A-8A2B-4970-81BC-2A3185C6445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E27223-B0A9-4CCF-8558-56B08FC0509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99D38A-9548-4B8E-9AF7-4DAD24C9E6B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F341EA-3A7E-4F95-B02F-688B55F4CA6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3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C4982B-A4DB-43C7-877D-A0B9860B855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3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BA662E-406A-49F6-B258-60FEB83DBA1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3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BF7FA5-6482-4F05-8DDA-F1D4EA30453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3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CB11E6-0740-4F16-B405-3A3BC873B53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3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5E7AE6-C06B-4830-96D4-CB96482E1A8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3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13A32E-0231-4C26-BFA3-E27C8E7F4D4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3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BE96C4-0F66-4780-92AD-984C4DB5A1C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3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FBF6AE-95F9-4471-A8DD-B2B52A2EA1E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3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A97E09-8CE9-4820-9DDD-AC5AEA43A40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3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507A4B-B52E-4D4F-8195-762A794A5F3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3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8B4AFD-EAA7-4E80-B4A6-3C997A8C0CF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3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08205B-83D6-478E-A937-5A487E5BB4B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3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A2D174-7701-4241-A386-0E4C557BD78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3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0BBC17-6D17-4D6C-92B6-1A28CBE5D3B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3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BADE83-D457-41FA-824A-CC879B0E18C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3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EB2E7A-1409-4EBA-AB4E-11A290A4122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3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FBF774-DEAB-438D-983D-930ECC160A4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3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2441C3-BA8E-4B3A-91CE-08A7B2A8020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3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EA62D8-7CEE-45A0-9A60-139E46912E2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3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03BBF9-8A63-4E4C-A699-D1B9EA7CE80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3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50B000-9EB9-421F-9073-DC5AFE22336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3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DD62C5-0825-45BD-B3A8-1FB42417445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3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0E3274-B353-4B53-8FE1-2958779633B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3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7D61A6-4A30-4B86-8AFF-07AE7E7FEF1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3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C7569B-F32A-4AD6-9A68-B060667C0DB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3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6D5929-E139-4835-AE82-4D99DFE251E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3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D35901-E15A-4AF8-994A-C5661E22F89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3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5761AD-9DCD-41B4-94F1-1BDAE053EAC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3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A42101-A6C7-4A6B-9EDB-00FC556AB53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3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AEA638-B266-44EA-846F-1C0F97CF5E5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3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8AA88D-80C6-4377-92F2-40879193C1D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3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D82255-FD36-4139-9D5F-4AC4F5B2821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3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521F7C-2903-4F4D-B9FF-D998C0380F8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3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E79B9B-E26B-4879-A109-03B3DA99B5C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3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7D9B1C-7F20-4162-995D-168B9755497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3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ABA557-6C30-437B-B14F-D7F2D58AB1B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3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3FDC25-E53A-4533-A301-39B7856FD7A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4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1DDCC4-FB20-466A-AC16-24EECDA2F07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4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6993B7-CD06-46BC-9FC4-ACA2963E904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4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BF760D-646D-4FF5-9A8A-22FF4722660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4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05BC16-2050-4D77-8113-2405021E5C2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4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E1F950-C90F-416E-AB01-E351755DD73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4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3D1EB5-50E9-4712-BAF9-814B24214EE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4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E37FAA-8795-4E45-9159-98F87704E5A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4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D2CC3D-81BB-4BFB-9615-CD9FC5A66F6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4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EE78E4-63A1-42A3-AE94-3129BD164F1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4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E0AEA4-F8E4-4CD5-A0FB-C9EB2E4E82F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4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943D0D-9FF4-48C0-9D39-5E7B8BFBB11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4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C16E46-B798-401D-B781-AEE6E63D646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4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732BBC-8761-46D3-BE36-D3BA8017A58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4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E839F1-2E70-44DB-96D7-EF95C8A86E5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B5B4F4-975A-4E18-BC7A-B3F43B48078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8BA06F-6E0C-47D3-A509-E7F069DD507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86ACEC-385F-41F7-856A-46086336CB8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B90EF3-60CA-4584-A918-747C0BF3C57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609B12-CA2D-4688-A246-7C80C327003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A0E3B8-6667-4219-8614-8B02130829F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303F08-277A-4759-A324-03144632344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D64E37-9A11-4567-9591-D6C1D9573C9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9E3F5F-EE74-4D8B-852A-FAF15127F30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1F85A6-2F49-47D0-AC0A-AD3920D36F8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37F704-4602-472D-AB9D-8589A16D2FC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4C265A-49C1-48EB-A94E-B55AD5FC7D1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D2920E-6775-40D8-93E2-B2F197B5E8B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48A2D8-715C-48FF-8E85-243FC9F8167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3CA3EF-C7D6-48C7-A456-5DE7C5C0625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DD0373-9F4B-441A-B109-BE6ABEEA46E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17C913-3009-43A8-A603-3AE72B35239F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3133F7-4729-489F-85E4-4D92FAD69B2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28A462-DF26-453A-B935-22418E03BD69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2D4CD2-A39D-444D-9BA2-F8C6F58E9E4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2A76FD-FD88-4BA8-B734-1B62C389A2C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73B2B3-0DB2-46D5-A5BC-0551BE65F02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AE23FF-5355-4AA8-8A08-56F0310ED83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BF4F9F-003D-4042-9F87-1D80E0C8172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145878-9F15-412D-8D5B-D38073BBADF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20FF9F-6147-49BF-BA20-0CAF532F966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22476A-DACA-4A30-8A08-7882195CEC3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4DAE07-373C-4936-831B-077D1F7D885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4A8016-604E-4BF9-BB31-5D11FCEE136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78EAA0-2A95-4402-8004-017087AB5D4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BF64E3-F4E7-4BDF-AF8B-227B501544A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54B1BC-2EDC-4343-8091-7EED3CC95A9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2C7997-57EF-45B8-85C8-65B51E2B714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9040E3-8996-4B45-B66D-5A23595BF10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285BD6-6D82-458C-9729-7A12D161E959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56E2D1-79B7-4135-97D4-9D4FE1286CE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181BDE-7D68-4876-8F45-44076E85CBD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B0EE8E-A713-4B36-9983-2FB1C98477E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7B1EF9-E8CF-4DC5-A59F-BD8D23B6266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0C87F7-FB3F-4E11-9691-44D6D4E20BE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02612F-7D79-4189-9232-56166B8C141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5BCA8A-1DDE-4529-BDB5-EB7957FF23B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6B2E0B-2254-4E7C-BBBD-7740F78DAA0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723877-7486-49D0-848A-8CD41046BD49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71E75D-22E8-4002-995B-3889200D5D7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F26FD2-2AC4-403F-B5AE-355F3800BFDF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B36723-01BF-4A2D-A19D-73B5A3D35A1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8B5B70-5E07-4FC7-AFD3-AE832D88F5D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9CD42E-87E8-4A34-A3BE-7FE945CFDAE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7629B5-442C-4B9A-8FCD-AC506E3CE1A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DCF783-1DB5-4A4E-A8A6-385029BB449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809D9D-2530-4843-95B7-B14D30E74E7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DF3906-1826-44F7-97C5-4F7390FD9BA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3C6FED-4925-4AF9-94A7-4ECA20AAD2B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D8BC8D-F16B-44E8-A782-F3FB3D6A370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5B9956-5167-4118-A162-BB2F00E7F6B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06432C-A271-4276-B1CD-C2B420B213D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80E6D2-855F-4F65-93E5-3A411EE00C7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DAF685-DF21-498A-B593-7C9A8CD9055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D1FC52-714C-48C7-AAE6-E185D88BCF8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FE2738-1D69-47B5-9B30-EE4028F75CA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C296BC-54E2-436B-921D-436713872B5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940800-E3D9-49AA-A993-7AE44E198D3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06F0C9-ACAD-4313-BD00-9E179A6C963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072F05-120A-4A31-A20A-BFBDD807E58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CC8FB9-FFBE-4F51-80B9-C6C7F98B8B4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D68358-84F9-4948-8FB3-BD5520C6746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A07082-049A-4CAE-A8EF-26E31262F4F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274C62-8CE4-4BAA-B1D8-5DC50601FAB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C40C87-83F5-46D1-BFB9-38626B6B076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E3ADF5-0A88-4F91-8020-56DB4D54669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DF0A66-0C79-4956-9493-2021AFE6F67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836CD0-55E4-44F1-A449-01B19065FCD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5E8C8B-E825-4090-8ACB-4BC195A6513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E54B25-76DE-4A02-9344-4B4E04043ED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FAB526-BDEC-4ED4-9101-EBD144D1139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61AAED-DA5C-485C-915A-1C615E9E34D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499047-2F19-4E90-B641-AE0C44E06CB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5D8C7C-3AC6-46A9-8966-70D95C1285A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656CCB-40B5-43B8-8A64-E5AD782DA37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E48516-E665-4497-8766-DFB1989820E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A12DF2-4AD2-4E72-B47A-FF7BB6BF55D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A9D857-81ED-4AF1-99EC-FDC64AF1BBC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F5B5E4-AC2F-4A7B-9315-7AB95B6BB73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BB9B99-2EDD-49B0-9D1C-1DCBB40CB60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4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8BEC64-CB29-4D41-92A6-E7354EAA25B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672236-B5D8-4306-9E1D-F708873A16B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75229C-195F-4B84-9300-62EA65046CF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793163-2846-4638-B5B1-1D17F7D1A6B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2CA910-5F36-4FE7-AECB-07924B3A58E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238129-E4D3-41A6-937B-45E32EF46C4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9F3EAB-9D6B-4DD9-A506-89B2A975BFD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62EEA7-D288-467D-BA01-36DA7C1A62A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1BAAA0-D09E-4104-AAD4-C5F3ED8E734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5AFB40-8D91-483E-8642-4BB96836863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2B0FF8-1AA0-43C1-B001-7FCAA2CE609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EC953D-1B20-43FA-B272-8C927CDEA9D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6B1C55-BB3B-4073-89B1-B026053D40B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C1BEBF-B229-4E18-B445-70002CE6B1D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641D19-71AC-4B15-A387-7314D5DAEA0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191232-C93D-4F27-93B8-FD1B0A4DC9F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CE355A-C031-45CF-921B-E26474AF389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988369-11A3-442E-A611-C6FB269EDB4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48411F-FCD7-456F-BD4E-5959EAC5754F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5EF886-D22D-47E7-8D1E-DE17002AA58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B9F37D-B591-45F2-90CA-73371E0E220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A39913-704A-4B7A-9295-794A8438AF7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293A96-AF3E-4917-BA19-DABD2765203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3706E4-3362-4FBF-8A01-B1BBCD65EF7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4FB7E6-4396-4B2C-B6B4-FC8B693EF23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237AD8-1486-4948-9EB4-7B984FDA3E4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76CA98-6436-4602-99ED-9808D0819CE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83D819-8837-429C-BB69-11A3517C435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BCA9A7-0978-42C9-AA98-873C8B3FF93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6F82D9-034F-422D-855E-5985CF18D82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8FC9E6-84AF-458D-ABC1-FDDECE38F19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9ECCB9-48D5-4132-8FA6-92DB2F8F6C4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D0B7A5-A610-4357-9AF1-217077E0447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62E8F2-8443-45CF-9E67-493FF134DF1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92BA8D-42E3-44C5-A904-0728C73A6D3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9C92B5-1BBE-41FB-A283-57917B0F005F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302800-764B-45D3-81CA-52D2A66721B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D0C732-EA2F-4478-B47D-02A9D3D5CD6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B0FFFB-01ED-4F9B-9490-662941681239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FE35A2-C0F8-4EE3-AE8B-A1D3CA65D8C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13B1C5-8F53-4784-9DEF-0CEB5334008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0C65EA-B4C4-44FE-8208-1F0B052A14A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1C8AF8-AA73-4794-A84C-5373145D532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274F54-F9A6-4516-A01C-EEB898DDDD2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AC762B-A3EE-4C1E-A270-2697E9E54A3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E017C0-D782-4284-B999-D7D8BC88C3D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120A81-5AB2-4B9E-B81D-DB965A15C7D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870658-7620-4995-8785-0147F272480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D28674-1D78-47A3-BF99-D0CDA9ED72E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63A01D-B1DC-4E9D-882C-40969A74FE3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BAEFB9-E635-4189-BE52-55E833841DD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A8F020-DEFE-4EA6-814C-BDF6B7DF2DB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59D68E-FF01-4C7B-BCF1-A292AA60FE6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DEDCAC-356D-4300-949D-9014311C7D8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C4DDB4-B361-457C-A634-3CE18344929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A64B06-289D-42D4-9F01-538F00305DD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5FB4D2-88C9-4827-BF8C-A77857C87BB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D58D69-5D53-4129-84F1-8F9D0F20A78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53A00B-4010-4EE7-AD49-09AFDCD8C27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B0E654-59EF-409F-9D53-EF7B648D1B9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8DEDBA-FC70-473D-BCDD-02F8BDF62B2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6B83E5-C8CB-4D7F-8A3C-0A4DD52A534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5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A902A5-98F7-4D03-ADC9-35E36751462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145948</xdr:colOff>
      <xdr:row>6</xdr:row>
      <xdr:rowOff>99860</xdr:rowOff>
    </xdr:from>
    <xdr:ext cx="304800" cy="304800"/>
    <xdr:sp macro="" textlink="">
      <xdr:nvSpPr>
        <xdr:cNvPr id="105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5F19E9-8E82-44B8-8C6C-51AE6B89A43E}"/>
            </a:ext>
          </a:extLst>
        </xdr:cNvPr>
        <xdr:cNvSpPr>
          <a:spLocks noChangeAspect="1" noChangeArrowheads="1"/>
        </xdr:cNvSpPr>
      </xdr:nvSpPr>
      <xdr:spPr bwMode="auto">
        <a:xfrm>
          <a:off x="13176148" y="137621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6B977E-22FF-47C3-87B8-DBF7E7C1751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B9516B-E80A-4BAA-9656-C59BC1F981C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588869-4EFA-43D0-BC82-85285298180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4F4A52-E089-4697-87B8-29EB5E18FF1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FFA03D-6395-46E3-BDE3-0C6DC5EDF2B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EA9455-38B7-4D99-AF49-AB08B803F10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5236C6-F9C9-42A9-8737-76C14AC7797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F16746-8DFC-403D-95AC-A0094749849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153DDD-AAAA-44D8-A1FC-3999CF4A925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406B71-FC65-4F83-8F18-144142A9E5D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94DD0B-EC6A-47F1-9FEA-A41FFDDD165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806DC5-B46A-403A-A185-C9A396E2C6BF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70C32F-6C19-4217-84A9-7516402B0AA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0330ED-F31D-4983-9202-5B2E1C06E96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58FF05-9AAE-4B7B-82D5-F47E345B09C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92FB4A-1F85-4AB6-B749-4A550A80696F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CA9720-1A41-4DC0-99C9-129D5CA0840F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002C6B-D4BF-4C6D-AE52-26ECE1B6EF1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78960F-BC42-4D68-B87D-900F51A1E19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655B04-43FF-4D3E-8B00-1E38F768D9C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A58A62-B211-4EE4-8E6B-CE941A14576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2B209E-640F-46EA-AC3C-5F3372B1B83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EF06CA-6962-4257-8104-F99F2A03A0F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D5DEB9-77BF-4F0F-BBF3-05947109707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9ED1C5-B85B-45F9-97C9-EBEE7A906E5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06F200-44CA-4392-93FE-56523384840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5EB5CA-A71A-45A1-BCA3-4DDDC188E72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7F7F14-13EE-4E43-B7A7-92E78BF84F0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037E2C-911D-4327-881A-9C95514C17EF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3CE852-35BB-4CD3-B615-3EE1EE2FCCF9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F61B0D-9962-479F-8E3D-F0638102DD8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36B78F-9C07-468F-9ABD-3BEA1D85260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CBA1C6-A51F-48A1-B6FC-D57B5C7DECA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8889C5-84A2-4F3C-B1DD-A704909703D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B5060C-EC0E-4464-9160-4DFD6A6DEEA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195CBD-9CF8-4D74-909F-0B9C45BFF67F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5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D2EA39-A693-4A09-AF0D-9EA160066CA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6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AA842F-1D77-4FA1-9CEB-40BC73092FE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6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6C3F63-38A2-425B-BAA7-901F2130073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6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CE1C7F-EE70-4AF8-9DE4-B949B6CF3C8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6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E642D7-D886-47B7-A9DC-A04888AC431F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6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8A1DF6-ABC8-4553-B047-94A0204027E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6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B8BE89-6B19-4EF9-A422-90B4A49551D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6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9895A8-3D92-4302-B168-EE2A74C06E5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6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F1E2EE-7650-407B-AD13-93983912F0F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6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934907-4A21-4B78-ACD2-B57F39FA70C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6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6E396A-D3D2-4AC2-907C-F669BAACE7C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6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7F8383-7209-47D8-93DB-AEF86A4372B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6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15DDCB-9C62-4F17-B8EB-9C997519688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9AE16B-69A5-411B-A5AA-38747CF8EE67}">
  <dimension ref="A1:AH124"/>
  <sheetViews>
    <sheetView tabSelected="1" workbookViewId="0">
      <pane xSplit="1" topLeftCell="B1" activePane="topRight" state="frozen"/>
      <selection pane="topRight" activeCell="A152" sqref="A152"/>
    </sheetView>
  </sheetViews>
  <sheetFormatPr defaultRowHeight="15" x14ac:dyDescent="0.25"/>
  <cols>
    <col min="1" max="1" width="46.85546875" customWidth="1"/>
    <col min="2" max="2" width="5.5703125" customWidth="1"/>
    <col min="3" max="3" width="0" hidden="1" customWidth="1"/>
    <col min="4" max="4" width="13.140625" customWidth="1"/>
    <col min="5" max="6" width="3.5703125" customWidth="1"/>
    <col min="7" max="7" width="10.7109375" bestFit="1" customWidth="1"/>
    <col min="8" max="8" width="3.5703125" bestFit="1" customWidth="1"/>
    <col min="9" max="9" width="3.5703125" customWidth="1"/>
    <col min="10" max="10" width="10.7109375" customWidth="1"/>
    <col min="11" max="11" width="3.5703125" bestFit="1" customWidth="1"/>
    <col min="12" max="12" width="3.5703125" customWidth="1"/>
    <col min="13" max="13" width="10.7109375" customWidth="1"/>
    <col min="14" max="15" width="3.5703125" bestFit="1" customWidth="1"/>
    <col min="16" max="16" width="10.7109375" customWidth="1"/>
    <col min="17" max="17" width="3.5703125" bestFit="1" customWidth="1"/>
    <col min="18" max="18" width="3.5703125" customWidth="1"/>
    <col min="19" max="19" width="10.7109375" customWidth="1"/>
    <col min="20" max="20" width="3.5703125" bestFit="1" customWidth="1"/>
    <col min="21" max="21" width="4.140625" bestFit="1" customWidth="1"/>
    <col min="22" max="22" width="10.7109375" customWidth="1"/>
    <col min="23" max="23" width="3.5703125" bestFit="1" customWidth="1"/>
    <col min="24" max="24" width="4.140625" bestFit="1" customWidth="1"/>
    <col min="25" max="25" width="10.7109375" customWidth="1"/>
    <col min="26" max="26" width="3.7109375" bestFit="1" customWidth="1"/>
    <col min="27" max="27" width="4.7109375" bestFit="1" customWidth="1"/>
    <col min="28" max="28" width="10.7109375" customWidth="1"/>
    <col min="29" max="29" width="4.7109375" bestFit="1" customWidth="1"/>
    <col min="30" max="30" width="5.7109375" bestFit="1" customWidth="1"/>
    <col min="31" max="31" width="11.7109375" bestFit="1" customWidth="1"/>
    <col min="32" max="32" width="10.42578125" bestFit="1" customWidth="1"/>
    <col min="33" max="33" width="6.140625" customWidth="1"/>
    <col min="34" max="34" width="16.28515625" customWidth="1"/>
  </cols>
  <sheetData>
    <row r="1" spans="1:34" ht="1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ht="1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34" ht="1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34" ht="1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34" ht="15" customHeight="1" x14ac:dyDescent="0.25">
      <c r="A5" s="2" t="s">
        <v>0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</row>
    <row r="6" spans="1:34" ht="26.25" customHeight="1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</row>
    <row r="7" spans="1:34" x14ac:dyDescent="0.25">
      <c r="A7" s="84"/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84"/>
    </row>
    <row r="8" spans="1:34" x14ac:dyDescent="0.25">
      <c r="A8" s="85"/>
      <c r="B8" s="85"/>
      <c r="C8" s="85"/>
      <c r="D8" s="85"/>
      <c r="E8" s="85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</row>
    <row r="9" spans="1:34" ht="15.75" x14ac:dyDescent="0.25">
      <c r="A9" s="3" t="s">
        <v>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</row>
    <row r="10" spans="1:34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</row>
    <row r="11" spans="1:34" x14ac:dyDescent="0.25">
      <c r="A11" s="5" t="s">
        <v>2</v>
      </c>
      <c r="B11" s="6" t="s">
        <v>3</v>
      </c>
      <c r="C11" s="6"/>
      <c r="D11" s="6"/>
      <c r="E11" s="6" t="s">
        <v>4</v>
      </c>
      <c r="F11" s="6"/>
      <c r="G11" s="6"/>
      <c r="H11" s="7" t="s">
        <v>5</v>
      </c>
      <c r="I11" s="8"/>
      <c r="J11" s="9"/>
      <c r="K11" s="7" t="s">
        <v>6</v>
      </c>
      <c r="L11" s="8"/>
      <c r="M11" s="9"/>
      <c r="N11" s="7" t="s">
        <v>7</v>
      </c>
      <c r="O11" s="8"/>
      <c r="P11" s="9"/>
      <c r="Q11" s="7" t="s">
        <v>8</v>
      </c>
      <c r="R11" s="8"/>
      <c r="S11" s="9"/>
      <c r="T11" s="7" t="s">
        <v>9</v>
      </c>
      <c r="U11" s="8"/>
      <c r="V11" s="9"/>
      <c r="W11" s="7" t="s">
        <v>10</v>
      </c>
      <c r="X11" s="8"/>
      <c r="Y11" s="9"/>
      <c r="Z11" s="7" t="s">
        <v>11</v>
      </c>
      <c r="AA11" s="8"/>
      <c r="AB11" s="9"/>
      <c r="AC11" s="6" t="s">
        <v>12</v>
      </c>
      <c r="AD11" s="6"/>
      <c r="AE11" s="6"/>
      <c r="AF11" s="10" t="s">
        <v>13</v>
      </c>
      <c r="AG11" s="10"/>
      <c r="AH11" s="10"/>
    </row>
    <row r="12" spans="1:34" x14ac:dyDescent="0.25">
      <c r="A12" s="11" t="s">
        <v>14</v>
      </c>
      <c r="B12" s="12">
        <f>B13+B14+B15</f>
        <v>9586.0300000000007</v>
      </c>
      <c r="C12" s="13"/>
      <c r="D12" s="14"/>
      <c r="E12" s="15"/>
      <c r="F12" s="16"/>
      <c r="G12" s="17"/>
      <c r="H12" s="18"/>
      <c r="I12" s="19"/>
      <c r="J12" s="20"/>
      <c r="K12" s="19"/>
      <c r="L12" s="19"/>
      <c r="M12" s="19"/>
      <c r="N12" s="21"/>
      <c r="O12" s="22"/>
      <c r="P12" s="23"/>
      <c r="Q12" s="21"/>
      <c r="R12" s="22"/>
      <c r="S12" s="23"/>
      <c r="T12" s="21"/>
      <c r="U12" s="22"/>
      <c r="V12" s="23"/>
      <c r="W12" s="24"/>
      <c r="X12" s="25"/>
      <c r="Y12" s="26"/>
      <c r="Z12" s="24"/>
      <c r="AA12" s="25"/>
      <c r="AB12" s="26"/>
      <c r="AC12" s="12">
        <f>9586.03</f>
        <v>9586.0300000000007</v>
      </c>
      <c r="AD12" s="13"/>
      <c r="AE12" s="14"/>
      <c r="AF12" s="27">
        <f>9586.03</f>
        <v>9586.0300000000007</v>
      </c>
      <c r="AG12" s="27"/>
      <c r="AH12" s="27"/>
    </row>
    <row r="13" spans="1:34" x14ac:dyDescent="0.25">
      <c r="A13" s="28" t="s">
        <v>15</v>
      </c>
      <c r="B13" s="29">
        <f>13836</f>
        <v>13836</v>
      </c>
      <c r="C13" s="30"/>
      <c r="D13" s="31"/>
      <c r="E13" s="32"/>
      <c r="F13" s="33"/>
      <c r="G13" s="34"/>
      <c r="H13" s="35"/>
      <c r="I13" s="36"/>
      <c r="J13" s="37"/>
      <c r="K13" s="36"/>
      <c r="L13" s="36"/>
      <c r="M13" s="36"/>
      <c r="N13" s="21"/>
      <c r="O13" s="22"/>
      <c r="P13" s="23"/>
      <c r="Q13" s="21"/>
      <c r="R13" s="22"/>
      <c r="S13" s="23"/>
      <c r="T13" s="21"/>
      <c r="U13" s="22"/>
      <c r="V13" s="23"/>
      <c r="W13" s="24"/>
      <c r="X13" s="25"/>
      <c r="Y13" s="26"/>
      <c r="Z13" s="24"/>
      <c r="AA13" s="25"/>
      <c r="AB13" s="26"/>
      <c r="AC13" s="29"/>
      <c r="AD13" s="30"/>
      <c r="AE13" s="31"/>
      <c r="AF13" s="38"/>
      <c r="AG13" s="38"/>
      <c r="AH13" s="38"/>
    </row>
    <row r="14" spans="1:34" x14ac:dyDescent="0.25">
      <c r="A14" s="28" t="s">
        <v>16</v>
      </c>
      <c r="B14" s="29">
        <f>642.76</f>
        <v>642.76</v>
      </c>
      <c r="C14" s="30"/>
      <c r="D14" s="31"/>
      <c r="E14" s="32"/>
      <c r="F14" s="33"/>
      <c r="G14" s="34"/>
      <c r="H14" s="35"/>
      <c r="I14" s="36"/>
      <c r="J14" s="37"/>
      <c r="K14" s="36"/>
      <c r="L14" s="36"/>
      <c r="M14" s="36"/>
      <c r="N14" s="21"/>
      <c r="O14" s="22"/>
      <c r="P14" s="23"/>
      <c r="Q14" s="21"/>
      <c r="R14" s="22"/>
      <c r="S14" s="23"/>
      <c r="T14" s="21"/>
      <c r="U14" s="22"/>
      <c r="V14" s="23"/>
      <c r="W14" s="24"/>
      <c r="X14" s="25"/>
      <c r="Y14" s="26"/>
      <c r="Z14" s="24"/>
      <c r="AA14" s="25"/>
      <c r="AB14" s="26"/>
      <c r="AC14" s="29"/>
      <c r="AD14" s="30"/>
      <c r="AE14" s="31"/>
      <c r="AF14" s="39"/>
      <c r="AG14" s="39"/>
      <c r="AH14" s="39"/>
    </row>
    <row r="15" spans="1:34" x14ac:dyDescent="0.25">
      <c r="A15" s="28" t="s">
        <v>17</v>
      </c>
      <c r="B15" s="29">
        <f>-4892.73</f>
        <v>-4892.7299999999996</v>
      </c>
      <c r="C15" s="30"/>
      <c r="D15" s="31"/>
      <c r="E15" s="32"/>
      <c r="F15" s="33"/>
      <c r="G15" s="34"/>
      <c r="H15" s="35"/>
      <c r="I15" s="36"/>
      <c r="J15" s="37"/>
      <c r="K15" s="40"/>
      <c r="L15" s="41"/>
      <c r="M15" s="42"/>
      <c r="N15" s="21"/>
      <c r="O15" s="22"/>
      <c r="P15" s="23"/>
      <c r="Q15" s="21" t="s">
        <v>18</v>
      </c>
      <c r="R15" s="22"/>
      <c r="S15" s="23"/>
      <c r="T15" s="21"/>
      <c r="U15" s="22"/>
      <c r="V15" s="23"/>
      <c r="W15" s="24"/>
      <c r="X15" s="25"/>
      <c r="Y15" s="26"/>
      <c r="Z15" s="24"/>
      <c r="AA15" s="25"/>
      <c r="AB15" s="26"/>
      <c r="AC15" s="29"/>
      <c r="AD15" s="30"/>
      <c r="AE15" s="31"/>
      <c r="AF15" s="39"/>
      <c r="AG15" s="39"/>
      <c r="AH15" s="39"/>
    </row>
    <row r="16" spans="1:34" x14ac:dyDescent="0.25">
      <c r="A16" s="43" t="s">
        <v>19</v>
      </c>
      <c r="B16" s="44">
        <f>4186449.06</f>
        <v>4186449.06</v>
      </c>
      <c r="C16" s="45"/>
      <c r="D16" s="46"/>
      <c r="E16" s="47"/>
      <c r="F16" s="48"/>
      <c r="G16" s="49"/>
      <c r="H16" s="50"/>
      <c r="I16" s="51"/>
      <c r="J16" s="52"/>
      <c r="K16" s="51"/>
      <c r="L16" s="51"/>
      <c r="M16" s="51"/>
      <c r="N16" s="53"/>
      <c r="O16" s="54"/>
      <c r="P16" s="55"/>
      <c r="Q16" s="47"/>
      <c r="R16" s="48"/>
      <c r="S16" s="49"/>
      <c r="T16" s="47"/>
      <c r="U16" s="48"/>
      <c r="V16" s="49"/>
      <c r="W16" s="53"/>
      <c r="X16" s="54"/>
      <c r="Y16" s="55"/>
      <c r="Z16" s="53"/>
      <c r="AA16" s="54"/>
      <c r="AB16" s="55"/>
      <c r="AC16" s="44">
        <f>AE27</f>
        <v>639117.76000000013</v>
      </c>
      <c r="AD16" s="45"/>
      <c r="AE16" s="46"/>
      <c r="AF16" s="56">
        <f>AH27</f>
        <v>4825566.82</v>
      </c>
      <c r="AG16" s="56"/>
      <c r="AH16" s="56"/>
    </row>
    <row r="17" spans="1:34" x14ac:dyDescent="0.25">
      <c r="A17" s="57" t="s">
        <v>20</v>
      </c>
      <c r="B17" s="58">
        <f>2036201.14</f>
        <v>2036201.14</v>
      </c>
      <c r="C17" s="59"/>
      <c r="D17" s="60"/>
      <c r="E17" s="61"/>
      <c r="F17" s="62"/>
      <c r="G17" s="63"/>
      <c r="H17" s="64"/>
      <c r="I17" s="65"/>
      <c r="J17" s="66"/>
      <c r="K17" s="65"/>
      <c r="L17" s="65"/>
      <c r="M17" s="65"/>
      <c r="N17" s="67"/>
      <c r="O17" s="68"/>
      <c r="P17" s="69"/>
      <c r="Q17" s="61"/>
      <c r="R17" s="62"/>
      <c r="S17" s="63"/>
      <c r="T17" s="61"/>
      <c r="U17" s="62"/>
      <c r="V17" s="63"/>
      <c r="W17" s="67"/>
      <c r="X17" s="68"/>
      <c r="Y17" s="69"/>
      <c r="Z17" s="67"/>
      <c r="AA17" s="68"/>
      <c r="AB17" s="69"/>
      <c r="AC17" s="58">
        <f>AC103</f>
        <v>443521.76</v>
      </c>
      <c r="AD17" s="59"/>
      <c r="AE17" s="60"/>
      <c r="AF17" s="70">
        <f>AG103</f>
        <v>2479722.9000000004</v>
      </c>
      <c r="AG17" s="70"/>
      <c r="AH17" s="70"/>
    </row>
    <row r="18" spans="1:34" x14ac:dyDescent="0.25">
      <c r="A18" s="43" t="s">
        <v>21</v>
      </c>
      <c r="B18" s="71">
        <f>B16-B17+B12</f>
        <v>2159833.9499999997</v>
      </c>
      <c r="C18" s="72"/>
      <c r="D18" s="73"/>
      <c r="E18" s="74"/>
      <c r="F18" s="75"/>
      <c r="G18" s="76"/>
      <c r="H18" s="77"/>
      <c r="I18" s="78"/>
      <c r="J18" s="79"/>
      <c r="K18" s="78"/>
      <c r="L18" s="78"/>
      <c r="M18" s="78"/>
      <c r="N18" s="80"/>
      <c r="O18" s="81"/>
      <c r="P18" s="82"/>
      <c r="Q18" s="74"/>
      <c r="R18" s="75"/>
      <c r="S18" s="76"/>
      <c r="T18" s="74"/>
      <c r="U18" s="75"/>
      <c r="V18" s="76"/>
      <c r="W18" s="80"/>
      <c r="X18" s="81"/>
      <c r="Y18" s="82"/>
      <c r="Z18" s="80"/>
      <c r="AA18" s="81"/>
      <c r="AB18" s="82"/>
      <c r="AC18" s="71">
        <f>AC16-AC17</f>
        <v>195596.00000000012</v>
      </c>
      <c r="AD18" s="72"/>
      <c r="AE18" s="73"/>
      <c r="AF18" s="83">
        <f>AF16-AF17+AF12</f>
        <v>2355429.9499999997</v>
      </c>
      <c r="AG18" s="83"/>
      <c r="AH18" s="83"/>
    </row>
    <row r="19" spans="1:34" x14ac:dyDescent="0.25">
      <c r="A19" s="84"/>
      <c r="B19" s="84"/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84"/>
      <c r="AD19" s="84"/>
      <c r="AE19" s="84"/>
      <c r="AF19" s="84"/>
      <c r="AG19" s="84"/>
      <c r="AH19" s="84"/>
    </row>
    <row r="20" spans="1:34" x14ac:dyDescent="0.25">
      <c r="A20" s="85"/>
      <c r="B20" s="85"/>
      <c r="C20" s="85"/>
      <c r="D20" s="85"/>
      <c r="E20" s="85"/>
      <c r="F20" s="85"/>
      <c r="G20" s="85"/>
      <c r="H20" s="85"/>
      <c r="I20" s="85"/>
      <c r="J20" s="85"/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85"/>
      <c r="AB20" s="85"/>
      <c r="AC20" s="85"/>
      <c r="AD20" s="85"/>
      <c r="AE20" s="85"/>
      <c r="AF20" s="85"/>
      <c r="AG20" s="85"/>
      <c r="AH20" s="85"/>
    </row>
    <row r="21" spans="1:34" x14ac:dyDescent="0.25">
      <c r="A21" s="86" t="s">
        <v>22</v>
      </c>
      <c r="B21" s="6" t="s">
        <v>3</v>
      </c>
      <c r="C21" s="6"/>
      <c r="D21" s="6"/>
      <c r="E21" s="7" t="s">
        <v>4</v>
      </c>
      <c r="F21" s="8"/>
      <c r="G21" s="9"/>
      <c r="H21" s="7" t="s">
        <v>5</v>
      </c>
      <c r="I21" s="8"/>
      <c r="J21" s="9"/>
      <c r="K21" s="7" t="s">
        <v>6</v>
      </c>
      <c r="L21" s="8"/>
      <c r="M21" s="9"/>
      <c r="N21" s="7" t="s">
        <v>7</v>
      </c>
      <c r="O21" s="8"/>
      <c r="P21" s="9"/>
      <c r="Q21" s="7" t="s">
        <v>8</v>
      </c>
      <c r="R21" s="8"/>
      <c r="S21" s="9"/>
      <c r="T21" s="7" t="s">
        <v>9</v>
      </c>
      <c r="U21" s="8"/>
      <c r="V21" s="9"/>
      <c r="W21" s="7" t="s">
        <v>10</v>
      </c>
      <c r="X21" s="8"/>
      <c r="Y21" s="9"/>
      <c r="Z21" s="7" t="s">
        <v>11</v>
      </c>
      <c r="AA21" s="8"/>
      <c r="AB21" s="9"/>
      <c r="AC21" s="6" t="s">
        <v>12</v>
      </c>
      <c r="AD21" s="6"/>
      <c r="AE21" s="6"/>
      <c r="AF21" s="87" t="s">
        <v>23</v>
      </c>
      <c r="AG21" s="10" t="s">
        <v>13</v>
      </c>
      <c r="AH21" s="10"/>
    </row>
    <row r="22" spans="1:34" x14ac:dyDescent="0.25">
      <c r="A22" s="88"/>
      <c r="B22" s="89" t="s">
        <v>24</v>
      </c>
      <c r="C22" s="90"/>
      <c r="D22" s="91" t="s">
        <v>25</v>
      </c>
      <c r="E22" s="91" t="s">
        <v>26</v>
      </c>
      <c r="F22" s="91" t="s">
        <v>27</v>
      </c>
      <c r="G22" s="91" t="s">
        <v>25</v>
      </c>
      <c r="H22" s="91" t="s">
        <v>26</v>
      </c>
      <c r="I22" s="91" t="s">
        <v>27</v>
      </c>
      <c r="J22" s="91"/>
      <c r="K22" s="91" t="s">
        <v>26</v>
      </c>
      <c r="L22" s="91" t="s">
        <v>27</v>
      </c>
      <c r="M22" s="91"/>
      <c r="N22" s="91" t="s">
        <v>26</v>
      </c>
      <c r="O22" s="91" t="s">
        <v>27</v>
      </c>
      <c r="P22" s="91"/>
      <c r="Q22" s="91" t="s">
        <v>26</v>
      </c>
      <c r="R22" s="91" t="s">
        <v>27</v>
      </c>
      <c r="S22" s="91"/>
      <c r="T22" s="91" t="s">
        <v>26</v>
      </c>
      <c r="U22" s="91" t="s">
        <v>27</v>
      </c>
      <c r="V22" s="91"/>
      <c r="W22" s="91" t="s">
        <v>26</v>
      </c>
      <c r="X22" s="91" t="s">
        <v>27</v>
      </c>
      <c r="Y22" s="91"/>
      <c r="Z22" s="91" t="s">
        <v>26</v>
      </c>
      <c r="AA22" s="91" t="s">
        <v>27</v>
      </c>
      <c r="AB22" s="91"/>
      <c r="AC22" s="91" t="s">
        <v>26</v>
      </c>
      <c r="AD22" s="91" t="s">
        <v>27</v>
      </c>
      <c r="AE22" s="91" t="s">
        <v>25</v>
      </c>
      <c r="AF22" s="87"/>
      <c r="AG22" s="92" t="s">
        <v>24</v>
      </c>
      <c r="AH22" s="92" t="s">
        <v>25</v>
      </c>
    </row>
    <row r="23" spans="1:34" x14ac:dyDescent="0.25">
      <c r="A23" s="93" t="s">
        <v>28</v>
      </c>
      <c r="B23" s="94">
        <v>158</v>
      </c>
      <c r="C23" s="95"/>
      <c r="D23" s="96">
        <f>17760.02+186880+2455.53+1205.11</f>
        <v>208300.65999999997</v>
      </c>
      <c r="E23" s="97"/>
      <c r="F23" s="97"/>
      <c r="G23" s="96"/>
      <c r="H23" s="97"/>
      <c r="I23" s="98"/>
      <c r="J23" s="96"/>
      <c r="K23" s="97"/>
      <c r="L23" s="98"/>
      <c r="M23" s="96"/>
      <c r="N23" s="97"/>
      <c r="O23" s="97"/>
      <c r="P23" s="96"/>
      <c r="Q23" s="97"/>
      <c r="R23" s="98"/>
      <c r="S23" s="96"/>
      <c r="T23" s="97"/>
      <c r="U23" s="98"/>
      <c r="V23" s="96"/>
      <c r="W23" s="97"/>
      <c r="X23" s="97"/>
      <c r="Y23" s="96"/>
      <c r="Z23" s="97"/>
      <c r="AA23" s="97"/>
      <c r="AB23" s="96"/>
      <c r="AC23" s="97"/>
      <c r="AD23" s="98"/>
      <c r="AE23" s="99"/>
      <c r="AF23" s="100"/>
      <c r="AG23" s="101">
        <v>158</v>
      </c>
      <c r="AH23" s="102">
        <f>208300.66</f>
        <v>208300.66</v>
      </c>
    </row>
    <row r="24" spans="1:34" x14ac:dyDescent="0.25">
      <c r="A24" s="28" t="s">
        <v>29</v>
      </c>
      <c r="B24" s="94">
        <v>5872</v>
      </c>
      <c r="C24" s="95"/>
      <c r="D24" s="96">
        <f>3713342.03</f>
        <v>3713342.03</v>
      </c>
      <c r="E24" s="97">
        <f>-10</f>
        <v>-10</v>
      </c>
      <c r="F24" s="97">
        <v>9</v>
      </c>
      <c r="G24" s="103">
        <f>40+40+120+20+115920+40+127.33</f>
        <v>116307.33</v>
      </c>
      <c r="H24" s="97">
        <v>-8</v>
      </c>
      <c r="I24" s="98">
        <v>20</v>
      </c>
      <c r="J24" s="103">
        <f>20+60+80+80+80+80+180+114720+280</f>
        <v>115580</v>
      </c>
      <c r="K24" s="97">
        <v>-7</v>
      </c>
      <c r="L24" s="98">
        <v>17</v>
      </c>
      <c r="M24" s="103">
        <f>80+40+80+40+80+360+80+80+60+80+80+40+80+40+1700+20+80+80+80+80+80+80+80+80</f>
        <v>3580</v>
      </c>
      <c r="N24" s="97">
        <v>-16</v>
      </c>
      <c r="O24" s="97">
        <v>9</v>
      </c>
      <c r="P24" s="103">
        <f>520+120+400+80+20+30+80+20+116620+100+60+160</f>
        <v>118210</v>
      </c>
      <c r="Q24" s="97">
        <v>-16</v>
      </c>
      <c r="R24" s="98">
        <v>13</v>
      </c>
      <c r="S24" s="103">
        <f>100+140+100+100+80+160+80+80+20+60+40+100+140+40+220+620</f>
        <v>2080</v>
      </c>
      <c r="T24" s="97">
        <v>-21</v>
      </c>
      <c r="U24" s="98">
        <v>132</v>
      </c>
      <c r="V24" s="103">
        <f>20+80+20+20+100+115940+40+280+40+40</f>
        <v>116580</v>
      </c>
      <c r="W24" s="97">
        <v>-22</v>
      </c>
      <c r="X24" s="97">
        <v>347</v>
      </c>
      <c r="Y24" s="103">
        <f>240+140+120+80+65+90+20+280</f>
        <v>1035</v>
      </c>
      <c r="Z24" s="97">
        <v>-29</v>
      </c>
      <c r="AA24" s="97">
        <v>721</v>
      </c>
      <c r="AB24" s="103">
        <f>160+65+120+80+20+60+120+80+40+80+20+120+120+140+125200+20</f>
        <v>126445</v>
      </c>
      <c r="AC24" s="97">
        <f>-10-8-7-16-16-21-22-29</f>
        <v>-129</v>
      </c>
      <c r="AD24" s="104">
        <f>9+20+17+9+13+132+347+721</f>
        <v>1268</v>
      </c>
      <c r="AE24" s="99">
        <f>0+G24+J24+M24+P24+S24+V24+Y24+AB24</f>
        <v>599817.33000000007</v>
      </c>
      <c r="AF24" s="105">
        <f>AE24/AE27</f>
        <v>0.93850831183286154</v>
      </c>
      <c r="AG24" s="106">
        <f>5872+AC24+AD24</f>
        <v>7011</v>
      </c>
      <c r="AH24" s="107">
        <f>3713342.03+AE24</f>
        <v>4313159.3599999994</v>
      </c>
    </row>
    <row r="25" spans="1:34" x14ac:dyDescent="0.25">
      <c r="A25" s="108" t="s">
        <v>30</v>
      </c>
      <c r="B25" s="94"/>
      <c r="C25" s="95"/>
      <c r="D25" s="96">
        <f>263771.64</f>
        <v>263771.64</v>
      </c>
      <c r="E25" s="97"/>
      <c r="F25" s="97"/>
      <c r="G25" s="103">
        <f>3456.99+2528.85+1258.22+447.4</f>
        <v>7691.46</v>
      </c>
      <c r="H25" s="97"/>
      <c r="I25" s="98"/>
      <c r="J25" s="103">
        <f>2097.79+989.67+2306.35</f>
        <v>5393.8099999999995</v>
      </c>
      <c r="K25" s="97"/>
      <c r="L25" s="98"/>
      <c r="M25" s="103">
        <f>2670.71+1353.08+748.68</f>
        <v>4772.47</v>
      </c>
      <c r="N25" s="97"/>
      <c r="O25" s="97"/>
      <c r="P25" s="103">
        <f>994.9+25.38+2243.52</f>
        <v>3263.8</v>
      </c>
      <c r="Q25" s="97"/>
      <c r="R25" s="98"/>
      <c r="S25" s="103">
        <f>766.4+2494.19+209.71+1884.67</f>
        <v>5354.97</v>
      </c>
      <c r="T25" s="97"/>
      <c r="U25" s="98"/>
      <c r="V25" s="103">
        <f>573.82+1968.57+184.59+1703.34</f>
        <v>4430.32</v>
      </c>
      <c r="W25" s="97"/>
      <c r="X25" s="97"/>
      <c r="Y25" s="103">
        <f>397.83+2362.86+161.21+2538.73</f>
        <v>5460.63</v>
      </c>
      <c r="Z25" s="97"/>
      <c r="AA25" s="97"/>
      <c r="AB25" s="103">
        <f>282.95+1202.2+129.87+1317.95</f>
        <v>2932.9700000000003</v>
      </c>
      <c r="AC25" s="97"/>
      <c r="AD25" s="98"/>
      <c r="AE25" s="99">
        <f>0+G25+J25+M25+P25+S25+V25+Y25+AB25</f>
        <v>39300.43</v>
      </c>
      <c r="AF25" s="105">
        <f>AE25/AE27</f>
        <v>6.1491688167138389E-2</v>
      </c>
      <c r="AG25" s="98"/>
      <c r="AH25" s="107">
        <f>263771.64+AE25</f>
        <v>303072.07</v>
      </c>
    </row>
    <row r="26" spans="1:34" x14ac:dyDescent="0.25">
      <c r="A26" s="98" t="s">
        <v>31</v>
      </c>
      <c r="B26" s="94"/>
      <c r="C26" s="95"/>
      <c r="D26" s="96">
        <f>1034.73</f>
        <v>1034.73</v>
      </c>
      <c r="E26" s="97"/>
      <c r="F26" s="97"/>
      <c r="G26" s="96"/>
      <c r="H26" s="97"/>
      <c r="I26" s="98"/>
      <c r="J26" s="96"/>
      <c r="K26" s="97"/>
      <c r="L26" s="98"/>
      <c r="M26" s="96"/>
      <c r="N26" s="97"/>
      <c r="O26" s="97"/>
      <c r="P26" s="96"/>
      <c r="Q26" s="97"/>
      <c r="R26" s="98"/>
      <c r="S26" s="96"/>
      <c r="T26" s="97"/>
      <c r="U26" s="98"/>
      <c r="V26" s="96"/>
      <c r="W26" s="97"/>
      <c r="X26" s="97"/>
      <c r="Y26" s="96"/>
      <c r="Z26" s="97"/>
      <c r="AA26" s="97"/>
      <c r="AB26" s="96"/>
      <c r="AC26" s="97"/>
      <c r="AD26" s="98"/>
      <c r="AE26" s="99">
        <f>0+G26</f>
        <v>0</v>
      </c>
      <c r="AF26" s="100">
        <f>AE26/AE27</f>
        <v>0</v>
      </c>
      <c r="AG26" s="109"/>
      <c r="AH26" s="102">
        <f>1034.73+AE26</f>
        <v>1034.73</v>
      </c>
    </row>
    <row r="27" spans="1:34" x14ac:dyDescent="0.25">
      <c r="A27" s="110" t="s">
        <v>32</v>
      </c>
      <c r="B27" s="111">
        <f>SUM(B23:C26)</f>
        <v>6030</v>
      </c>
      <c r="C27" s="112"/>
      <c r="D27" s="113">
        <f>SUM(D23:D26)</f>
        <v>4186449.06</v>
      </c>
      <c r="E27" s="111">
        <f>B27+E24+F24</f>
        <v>6029</v>
      </c>
      <c r="F27" s="112"/>
      <c r="G27" s="113">
        <f>SUM(G23:G26)</f>
        <v>123998.79000000001</v>
      </c>
      <c r="H27" s="114">
        <f>E27+H24+I24</f>
        <v>6041</v>
      </c>
      <c r="I27" s="114"/>
      <c r="J27" s="113">
        <f>SUM(J24:J26)</f>
        <v>120973.81</v>
      </c>
      <c r="K27" s="114">
        <f>H27+K24+L24</f>
        <v>6051</v>
      </c>
      <c r="L27" s="114"/>
      <c r="M27" s="113">
        <f>SUM(M24:M26)</f>
        <v>8352.4700000000012</v>
      </c>
      <c r="N27" s="115">
        <f>K27+N24+O24</f>
        <v>6044</v>
      </c>
      <c r="O27" s="116"/>
      <c r="P27" s="113">
        <f>SUM(P24:P26)</f>
        <v>121473.8</v>
      </c>
      <c r="Q27" s="115">
        <f>N27+Q24+R24</f>
        <v>6041</v>
      </c>
      <c r="R27" s="116"/>
      <c r="S27" s="113">
        <f>SUM(S24:S26)</f>
        <v>7434.97</v>
      </c>
      <c r="T27" s="115">
        <f>Q27+T24+U24</f>
        <v>6152</v>
      </c>
      <c r="U27" s="116"/>
      <c r="V27" s="113">
        <f>SUM(V24:V26)</f>
        <v>121010.32</v>
      </c>
      <c r="W27" s="115">
        <f>T27+W24+X24</f>
        <v>6477</v>
      </c>
      <c r="X27" s="116"/>
      <c r="Y27" s="113">
        <f>SUM(Y24:Y26)</f>
        <v>6495.63</v>
      </c>
      <c r="Z27" s="115">
        <f>W27+Z24+AA24</f>
        <v>7169</v>
      </c>
      <c r="AA27" s="116"/>
      <c r="AB27" s="113">
        <f>SUM(AB23:AB26)</f>
        <v>129377.97</v>
      </c>
      <c r="AC27" s="114">
        <f>B27+AC24+AD24</f>
        <v>7169</v>
      </c>
      <c r="AD27" s="114"/>
      <c r="AE27" s="113">
        <f>SUM(AE23:AE26)</f>
        <v>639117.76000000013</v>
      </c>
      <c r="AF27" s="117">
        <f>AE27/AE27</f>
        <v>1</v>
      </c>
      <c r="AG27" s="118">
        <f>SUM(AG23:AG26)</f>
        <v>7169</v>
      </c>
      <c r="AH27" s="119">
        <f>SUM(AH23:AH26)</f>
        <v>4825566.82</v>
      </c>
    </row>
    <row r="28" spans="1:34" x14ac:dyDescent="0.25">
      <c r="A28" s="120"/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</row>
    <row r="29" spans="1:34" x14ac:dyDescent="0.25">
      <c r="A29" s="120"/>
      <c r="B29" s="120"/>
      <c r="C29" s="120"/>
      <c r="D29" s="120"/>
      <c r="E29" s="120"/>
      <c r="F29" s="120"/>
      <c r="G29" s="120"/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  <c r="V29" s="120"/>
      <c r="W29" s="120"/>
      <c r="X29" s="120"/>
      <c r="Y29" s="120"/>
      <c r="Z29" s="120"/>
      <c r="AA29" s="120"/>
      <c r="AB29" s="120"/>
      <c r="AC29" s="120"/>
      <c r="AD29" s="120"/>
      <c r="AE29" s="120"/>
      <c r="AF29" s="120"/>
      <c r="AG29" s="120"/>
      <c r="AH29" s="120"/>
    </row>
    <row r="30" spans="1:34" ht="15.75" x14ac:dyDescent="0.25">
      <c r="A30" s="3" t="s">
        <v>33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</row>
    <row r="31" spans="1:34" x14ac:dyDescent="0.25">
      <c r="A31" s="121"/>
      <c r="B31" s="121"/>
      <c r="C31" s="121"/>
      <c r="D31" s="121"/>
      <c r="E31" s="121"/>
      <c r="F31" s="121"/>
      <c r="G31" s="121"/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21"/>
      <c r="Z31" s="121"/>
      <c r="AA31" s="121"/>
      <c r="AB31" s="121"/>
      <c r="AC31" s="121"/>
      <c r="AD31" s="121"/>
      <c r="AE31" s="121"/>
      <c r="AF31" s="121"/>
      <c r="AG31" s="121"/>
      <c r="AH31" s="121"/>
    </row>
    <row r="32" spans="1:34" x14ac:dyDescent="0.25">
      <c r="A32" s="122" t="s">
        <v>20</v>
      </c>
      <c r="B32" s="6" t="s">
        <v>3</v>
      </c>
      <c r="C32" s="6"/>
      <c r="D32" s="6"/>
      <c r="E32" s="123" t="s">
        <v>4</v>
      </c>
      <c r="F32" s="124"/>
      <c r="G32" s="124"/>
      <c r="H32" s="123" t="s">
        <v>5</v>
      </c>
      <c r="I32" s="124"/>
      <c r="J32" s="125"/>
      <c r="K32" s="123" t="s">
        <v>6</v>
      </c>
      <c r="L32" s="124"/>
      <c r="M32" s="125"/>
      <c r="N32" s="123" t="s">
        <v>7</v>
      </c>
      <c r="O32" s="124"/>
      <c r="P32" s="125"/>
      <c r="Q32" s="7" t="s">
        <v>8</v>
      </c>
      <c r="R32" s="8"/>
      <c r="S32" s="9"/>
      <c r="T32" s="7" t="s">
        <v>9</v>
      </c>
      <c r="U32" s="8"/>
      <c r="V32" s="9"/>
      <c r="W32" s="7" t="s">
        <v>10</v>
      </c>
      <c r="X32" s="8"/>
      <c r="Y32" s="9"/>
      <c r="Z32" s="7" t="s">
        <v>11</v>
      </c>
      <c r="AA32" s="8"/>
      <c r="AB32" s="9"/>
      <c r="AC32" s="6" t="s">
        <v>12</v>
      </c>
      <c r="AD32" s="6"/>
      <c r="AE32" s="6"/>
      <c r="AF32" s="126" t="s">
        <v>23</v>
      </c>
      <c r="AG32" s="10" t="s">
        <v>13</v>
      </c>
      <c r="AH32" s="10"/>
    </row>
    <row r="33" spans="1:34" x14ac:dyDescent="0.25">
      <c r="A33" s="127" t="s">
        <v>34</v>
      </c>
      <c r="B33" s="128">
        <f>SUM(B34:D41)</f>
        <v>291683.03000000003</v>
      </c>
      <c r="C33" s="128"/>
      <c r="D33" s="128"/>
      <c r="E33" s="129">
        <f>SUM(E34:G41)</f>
        <v>16540.830000000002</v>
      </c>
      <c r="F33" s="130"/>
      <c r="G33" s="131"/>
      <c r="H33" s="129">
        <f>SUM(H34:J41)</f>
        <v>9994.66</v>
      </c>
      <c r="I33" s="130"/>
      <c r="J33" s="131"/>
      <c r="K33" s="129">
        <f>SUM(K34:M41)</f>
        <v>22394.66</v>
      </c>
      <c r="L33" s="130"/>
      <c r="M33" s="131"/>
      <c r="N33" s="129">
        <f>SUM(N34:P41)</f>
        <v>20217.91</v>
      </c>
      <c r="O33" s="130"/>
      <c r="P33" s="131"/>
      <c r="Q33" s="129">
        <f>SUM(Q34:S41)</f>
        <v>11771.41</v>
      </c>
      <c r="R33" s="130"/>
      <c r="S33" s="131"/>
      <c r="T33" s="129">
        <f>SUM(T34:V41)</f>
        <v>15994.66</v>
      </c>
      <c r="U33" s="130"/>
      <c r="V33" s="131"/>
      <c r="W33" s="129">
        <f>SUM(W34:Y41)</f>
        <v>16187.58</v>
      </c>
      <c r="X33" s="130"/>
      <c r="Y33" s="131"/>
      <c r="Z33" s="129">
        <f>SUM(Z34:AB41)</f>
        <v>15994.66</v>
      </c>
      <c r="AA33" s="130"/>
      <c r="AB33" s="131"/>
      <c r="AC33" s="128">
        <f>SUM(AC34:AE41)</f>
        <v>129096.37</v>
      </c>
      <c r="AD33" s="128"/>
      <c r="AE33" s="128"/>
      <c r="AF33" s="132">
        <f>AC33/AC103</f>
        <v>0.29107110776255934</v>
      </c>
      <c r="AG33" s="133">
        <f>SUM(AG34:AH41)</f>
        <v>420779.4</v>
      </c>
      <c r="AH33" s="133"/>
    </row>
    <row r="34" spans="1:34" x14ac:dyDescent="0.25">
      <c r="A34" s="134" t="s">
        <v>35</v>
      </c>
      <c r="B34" s="135">
        <f>72200.64</f>
        <v>72200.639999999999</v>
      </c>
      <c r="C34" s="135"/>
      <c r="D34" s="135"/>
      <c r="E34" s="21">
        <v>0</v>
      </c>
      <c r="F34" s="22"/>
      <c r="G34" s="23"/>
      <c r="H34" s="21">
        <v>0</v>
      </c>
      <c r="I34" s="22"/>
      <c r="J34" s="23"/>
      <c r="K34" s="21">
        <v>0</v>
      </c>
      <c r="L34" s="22"/>
      <c r="M34" s="23"/>
      <c r="N34" s="21">
        <v>0</v>
      </c>
      <c r="O34" s="22"/>
      <c r="P34" s="23"/>
      <c r="Q34" s="21">
        <v>0</v>
      </c>
      <c r="R34" s="22"/>
      <c r="S34" s="23"/>
      <c r="T34" s="21">
        <v>0</v>
      </c>
      <c r="U34" s="22"/>
      <c r="V34" s="23"/>
      <c r="W34" s="21">
        <v>0</v>
      </c>
      <c r="X34" s="22"/>
      <c r="Y34" s="23"/>
      <c r="Z34" s="21">
        <v>0</v>
      </c>
      <c r="AA34" s="22"/>
      <c r="AB34" s="23"/>
      <c r="AC34" s="135">
        <f>0+E34+H34+K34+N34+Q34+T34+W34+Z34</f>
        <v>0</v>
      </c>
      <c r="AD34" s="135"/>
      <c r="AE34" s="135"/>
      <c r="AF34" s="136">
        <f>AC34/AC103</f>
        <v>0</v>
      </c>
      <c r="AG34" s="137">
        <f>72200.64+AC34</f>
        <v>72200.639999999999</v>
      </c>
      <c r="AH34" s="137"/>
    </row>
    <row r="35" spans="1:34" x14ac:dyDescent="0.25">
      <c r="A35" s="138" t="s">
        <v>36</v>
      </c>
      <c r="B35" s="135">
        <v>36000</v>
      </c>
      <c r="C35" s="135"/>
      <c r="D35" s="135"/>
      <c r="E35" s="139">
        <f>6000</f>
        <v>6000</v>
      </c>
      <c r="F35" s="140"/>
      <c r="G35" s="141"/>
      <c r="H35" s="21">
        <v>0</v>
      </c>
      <c r="I35" s="22"/>
      <c r="J35" s="23"/>
      <c r="K35" s="21">
        <f>6000+6000</f>
        <v>12000</v>
      </c>
      <c r="L35" s="22"/>
      <c r="M35" s="23"/>
      <c r="N35" s="21">
        <f>6000</f>
        <v>6000</v>
      </c>
      <c r="O35" s="22"/>
      <c r="P35" s="23"/>
      <c r="Q35" s="21">
        <f>6000</f>
        <v>6000</v>
      </c>
      <c r="R35" s="22"/>
      <c r="S35" s="23"/>
      <c r="T35" s="21">
        <f>6000</f>
        <v>6000</v>
      </c>
      <c r="U35" s="22"/>
      <c r="V35" s="23"/>
      <c r="W35" s="21">
        <f>6000</f>
        <v>6000</v>
      </c>
      <c r="X35" s="22"/>
      <c r="Y35" s="23"/>
      <c r="Z35" s="21">
        <f>6000</f>
        <v>6000</v>
      </c>
      <c r="AA35" s="22"/>
      <c r="AB35" s="23"/>
      <c r="AC35" s="135">
        <f t="shared" ref="AC35:AC38" si="0">0+E35+H35+K35+N35+Q35+T35+W35+Z35</f>
        <v>48000</v>
      </c>
      <c r="AD35" s="135"/>
      <c r="AE35" s="135"/>
      <c r="AF35" s="136">
        <f>AC35/AC103</f>
        <v>0.10822467876209727</v>
      </c>
      <c r="AG35" s="137">
        <f>36000+AC35</f>
        <v>84000</v>
      </c>
      <c r="AH35" s="137"/>
    </row>
    <row r="36" spans="1:34" x14ac:dyDescent="0.25">
      <c r="A36" s="134" t="s">
        <v>37</v>
      </c>
      <c r="B36" s="135">
        <v>41057.96</v>
      </c>
      <c r="C36" s="135"/>
      <c r="D36" s="135"/>
      <c r="E36" s="21">
        <f>1260</f>
        <v>1260</v>
      </c>
      <c r="F36" s="22"/>
      <c r="G36" s="23"/>
      <c r="H36" s="21">
        <f>925</f>
        <v>925</v>
      </c>
      <c r="I36" s="22"/>
      <c r="J36" s="23"/>
      <c r="K36" s="21">
        <f>1325</f>
        <v>1325</v>
      </c>
      <c r="L36" s="22"/>
      <c r="M36" s="23"/>
      <c r="N36" s="21">
        <f>925</f>
        <v>925</v>
      </c>
      <c r="O36" s="22"/>
      <c r="P36" s="23"/>
      <c r="Q36" s="21">
        <f>925</f>
        <v>925</v>
      </c>
      <c r="R36" s="22"/>
      <c r="S36" s="23"/>
      <c r="T36" s="21">
        <f>925</f>
        <v>925</v>
      </c>
      <c r="U36" s="22"/>
      <c r="V36" s="23"/>
      <c r="W36" s="21">
        <f>1117.92</f>
        <v>1117.92</v>
      </c>
      <c r="X36" s="22"/>
      <c r="Y36" s="23"/>
      <c r="Z36" s="21">
        <f>925</f>
        <v>925</v>
      </c>
      <c r="AA36" s="22"/>
      <c r="AB36" s="23"/>
      <c r="AC36" s="135">
        <f t="shared" si="0"/>
        <v>8327.92</v>
      </c>
      <c r="AD36" s="135"/>
      <c r="AE36" s="135"/>
      <c r="AF36" s="136">
        <f>AC36/AC103</f>
        <v>1.8776801390759271E-2</v>
      </c>
      <c r="AG36" s="137">
        <f>41057.96+AC36</f>
        <v>49385.88</v>
      </c>
      <c r="AH36" s="137"/>
    </row>
    <row r="37" spans="1:34" x14ac:dyDescent="0.25">
      <c r="A37" s="134" t="s">
        <v>38</v>
      </c>
      <c r="B37" s="135">
        <v>97597.28</v>
      </c>
      <c r="C37" s="135"/>
      <c r="D37" s="135"/>
      <c r="E37" s="21">
        <v>4846.41</v>
      </c>
      <c r="F37" s="22"/>
      <c r="G37" s="23"/>
      <c r="H37" s="21">
        <f>4846.41</f>
        <v>4846.41</v>
      </c>
      <c r="I37" s="22"/>
      <c r="J37" s="23"/>
      <c r="K37" s="21">
        <f>4846.41</f>
        <v>4846.41</v>
      </c>
      <c r="L37" s="22"/>
      <c r="M37" s="23"/>
      <c r="N37" s="21">
        <f>4846.41</f>
        <v>4846.41</v>
      </c>
      <c r="O37" s="22"/>
      <c r="P37" s="23"/>
      <c r="Q37" s="21">
        <f>4846.41</f>
        <v>4846.41</v>
      </c>
      <c r="R37" s="22"/>
      <c r="S37" s="23"/>
      <c r="T37" s="21">
        <f>4846.41</f>
        <v>4846.41</v>
      </c>
      <c r="U37" s="22"/>
      <c r="V37" s="23"/>
      <c r="W37" s="21">
        <f>4846.41</f>
        <v>4846.41</v>
      </c>
      <c r="X37" s="22"/>
      <c r="Y37" s="23"/>
      <c r="Z37" s="21">
        <f>4846.41</f>
        <v>4846.41</v>
      </c>
      <c r="AA37" s="22"/>
      <c r="AB37" s="23"/>
      <c r="AC37" s="135">
        <f t="shared" si="0"/>
        <v>38771.279999999999</v>
      </c>
      <c r="AD37" s="135"/>
      <c r="AE37" s="135"/>
      <c r="AF37" s="136">
        <f>AC37/AC103</f>
        <v>8.7416860899902624E-2</v>
      </c>
      <c r="AG37" s="137">
        <f>97597.28+AC37</f>
        <v>136368.56</v>
      </c>
      <c r="AH37" s="137"/>
    </row>
    <row r="38" spans="1:34" x14ac:dyDescent="0.25">
      <c r="A38" s="134" t="s">
        <v>39</v>
      </c>
      <c r="B38" s="135">
        <v>26669.75</v>
      </c>
      <c r="C38" s="135"/>
      <c r="D38" s="135"/>
      <c r="E38" s="21">
        <v>4434.42</v>
      </c>
      <c r="F38" s="22"/>
      <c r="G38" s="23"/>
      <c r="H38" s="21">
        <f>4223.25</f>
        <v>4223.25</v>
      </c>
      <c r="I38" s="22"/>
      <c r="J38" s="23"/>
      <c r="K38" s="21">
        <f>4223.25</f>
        <v>4223.25</v>
      </c>
      <c r="L38" s="22"/>
      <c r="M38" s="23"/>
      <c r="N38" s="21">
        <f>4223.25+4223.25</f>
        <v>8446.5</v>
      </c>
      <c r="O38" s="22"/>
      <c r="P38" s="23"/>
      <c r="Q38" s="21">
        <v>0</v>
      </c>
      <c r="R38" s="22"/>
      <c r="S38" s="23"/>
      <c r="T38" s="21">
        <f>4223.25</f>
        <v>4223.25</v>
      </c>
      <c r="U38" s="22"/>
      <c r="V38" s="23"/>
      <c r="W38" s="21">
        <f>4223.25</f>
        <v>4223.25</v>
      </c>
      <c r="X38" s="22"/>
      <c r="Y38" s="23"/>
      <c r="Z38" s="21">
        <f>4223.25</f>
        <v>4223.25</v>
      </c>
      <c r="AA38" s="22"/>
      <c r="AB38" s="23"/>
      <c r="AC38" s="135">
        <f t="shared" si="0"/>
        <v>33997.17</v>
      </c>
      <c r="AD38" s="135"/>
      <c r="AE38" s="135"/>
      <c r="AF38" s="136">
        <f>AC38/AC103</f>
        <v>7.6652766709800202E-2</v>
      </c>
      <c r="AG38" s="137">
        <f>26669.75+AC38</f>
        <v>60666.92</v>
      </c>
      <c r="AH38" s="137"/>
    </row>
    <row r="39" spans="1:34" x14ac:dyDescent="0.25">
      <c r="A39" s="134" t="s">
        <v>40</v>
      </c>
      <c r="B39" s="135">
        <f>8289</f>
        <v>8289</v>
      </c>
      <c r="C39" s="135"/>
      <c r="D39" s="135"/>
      <c r="E39" s="21">
        <v>0</v>
      </c>
      <c r="F39" s="22"/>
      <c r="G39" s="23"/>
      <c r="H39" s="21">
        <v>0</v>
      </c>
      <c r="I39" s="22"/>
      <c r="J39" s="23"/>
      <c r="K39" s="21">
        <v>0</v>
      </c>
      <c r="L39" s="22"/>
      <c r="M39" s="23"/>
      <c r="N39" s="21">
        <v>0</v>
      </c>
      <c r="O39" s="22"/>
      <c r="P39" s="23"/>
      <c r="Q39" s="21">
        <v>0</v>
      </c>
      <c r="R39" s="22"/>
      <c r="S39" s="23"/>
      <c r="T39" s="21">
        <v>0</v>
      </c>
      <c r="U39" s="22"/>
      <c r="V39" s="23"/>
      <c r="W39" s="21">
        <v>0</v>
      </c>
      <c r="X39" s="22"/>
      <c r="Y39" s="23"/>
      <c r="Z39" s="21">
        <v>0</v>
      </c>
      <c r="AA39" s="22"/>
      <c r="AB39" s="23"/>
      <c r="AC39" s="135">
        <f>0+E39+H39+K39+N39+Q39+T39+W39+Z39</f>
        <v>0</v>
      </c>
      <c r="AD39" s="135"/>
      <c r="AE39" s="135"/>
      <c r="AF39" s="136">
        <f>AC39/AC103</f>
        <v>0</v>
      </c>
      <c r="AG39" s="137">
        <f>8289+AC39</f>
        <v>8289</v>
      </c>
      <c r="AH39" s="137"/>
    </row>
    <row r="40" spans="1:34" x14ac:dyDescent="0.25">
      <c r="A40" s="134" t="s">
        <v>41</v>
      </c>
      <c r="B40" s="135">
        <f>7863.4</f>
        <v>7863.4</v>
      </c>
      <c r="C40" s="135"/>
      <c r="D40" s="135"/>
      <c r="E40" s="21">
        <v>0</v>
      </c>
      <c r="F40" s="22"/>
      <c r="G40" s="23"/>
      <c r="H40" s="21">
        <v>0</v>
      </c>
      <c r="I40" s="22"/>
      <c r="J40" s="23"/>
      <c r="K40" s="21">
        <v>0</v>
      </c>
      <c r="L40" s="22"/>
      <c r="M40" s="23"/>
      <c r="N40" s="21">
        <v>0</v>
      </c>
      <c r="O40" s="22"/>
      <c r="P40" s="23"/>
      <c r="Q40" s="21">
        <v>0</v>
      </c>
      <c r="R40" s="22"/>
      <c r="S40" s="23"/>
      <c r="T40" s="21">
        <v>0</v>
      </c>
      <c r="U40" s="22"/>
      <c r="V40" s="23"/>
      <c r="W40" s="21">
        <v>0</v>
      </c>
      <c r="X40" s="22"/>
      <c r="Y40" s="23"/>
      <c r="Z40" s="21">
        <v>0</v>
      </c>
      <c r="AA40" s="22"/>
      <c r="AB40" s="23"/>
      <c r="AC40" s="135">
        <f t="shared" ref="AC40:AC41" si="1">0+E40+H40+K40+N40+Q40+T40+W40+Z40</f>
        <v>0</v>
      </c>
      <c r="AD40" s="135"/>
      <c r="AE40" s="135"/>
      <c r="AF40" s="136">
        <f>AC40/AC103</f>
        <v>0</v>
      </c>
      <c r="AG40" s="137">
        <f>7863.4+AC40</f>
        <v>7863.4</v>
      </c>
      <c r="AH40" s="137"/>
    </row>
    <row r="41" spans="1:34" x14ac:dyDescent="0.25">
      <c r="A41" s="134" t="s">
        <v>42</v>
      </c>
      <c r="B41" s="135">
        <f>2005</f>
        <v>2005</v>
      </c>
      <c r="C41" s="135"/>
      <c r="D41" s="135"/>
      <c r="E41" s="21">
        <v>0</v>
      </c>
      <c r="F41" s="22"/>
      <c r="G41" s="23"/>
      <c r="H41" s="21">
        <v>0</v>
      </c>
      <c r="I41" s="22"/>
      <c r="J41" s="23"/>
      <c r="K41" s="21">
        <v>0</v>
      </c>
      <c r="L41" s="22"/>
      <c r="M41" s="23"/>
      <c r="N41" s="21">
        <v>0</v>
      </c>
      <c r="O41" s="22"/>
      <c r="P41" s="23"/>
      <c r="Q41" s="21">
        <v>0</v>
      </c>
      <c r="R41" s="22"/>
      <c r="S41" s="23"/>
      <c r="T41" s="21">
        <v>0</v>
      </c>
      <c r="U41" s="22"/>
      <c r="V41" s="23"/>
      <c r="W41" s="21">
        <v>0</v>
      </c>
      <c r="X41" s="22"/>
      <c r="Y41" s="23"/>
      <c r="Z41" s="21">
        <v>0</v>
      </c>
      <c r="AA41" s="22"/>
      <c r="AB41" s="23"/>
      <c r="AC41" s="135">
        <f t="shared" si="1"/>
        <v>0</v>
      </c>
      <c r="AD41" s="135"/>
      <c r="AE41" s="135"/>
      <c r="AF41" s="136">
        <f>AC41/AC103</f>
        <v>0</v>
      </c>
      <c r="AG41" s="137">
        <f>2005+AC41</f>
        <v>2005</v>
      </c>
      <c r="AH41" s="137"/>
    </row>
    <row r="42" spans="1:34" x14ac:dyDescent="0.25">
      <c r="A42" s="127" t="s">
        <v>43</v>
      </c>
      <c r="B42" s="128">
        <f>SUM(B43:D45)</f>
        <v>380413.85</v>
      </c>
      <c r="C42" s="128"/>
      <c r="D42" s="128"/>
      <c r="E42" s="128">
        <f>SUM(E43:G45)</f>
        <v>0</v>
      </c>
      <c r="F42" s="128"/>
      <c r="G42" s="128"/>
      <c r="H42" s="128">
        <f>SUM(H43:J45)</f>
        <v>0</v>
      </c>
      <c r="I42" s="128"/>
      <c r="J42" s="128"/>
      <c r="K42" s="128">
        <f>SUM(K43:M45)</f>
        <v>0</v>
      </c>
      <c r="L42" s="128"/>
      <c r="M42" s="128"/>
      <c r="N42" s="128">
        <f>SUM(N43:P45)</f>
        <v>25000</v>
      </c>
      <c r="O42" s="128"/>
      <c r="P42" s="128"/>
      <c r="Q42" s="128">
        <f>SUM(Q43:S45)</f>
        <v>25000</v>
      </c>
      <c r="R42" s="128"/>
      <c r="S42" s="128"/>
      <c r="T42" s="128">
        <f>SUM(T43:V45)</f>
        <v>40000</v>
      </c>
      <c r="U42" s="128"/>
      <c r="V42" s="128"/>
      <c r="W42" s="128">
        <f>SUM(W43:Y45)</f>
        <v>0</v>
      </c>
      <c r="X42" s="128"/>
      <c r="Y42" s="128"/>
      <c r="Z42" s="128">
        <f>SUM(Z43:AB45)</f>
        <v>0</v>
      </c>
      <c r="AA42" s="128"/>
      <c r="AB42" s="128"/>
      <c r="AC42" s="128">
        <f>SUM(AC43:AE45)</f>
        <v>90000</v>
      </c>
      <c r="AD42" s="128"/>
      <c r="AE42" s="128"/>
      <c r="AF42" s="132">
        <f>AC42/AC103</f>
        <v>0.20292127267893237</v>
      </c>
      <c r="AG42" s="133">
        <f>SUM(AG43:AH45)</f>
        <v>470413.85</v>
      </c>
      <c r="AH42" s="133"/>
    </row>
    <row r="43" spans="1:34" x14ac:dyDescent="0.25">
      <c r="A43" s="134" t="s">
        <v>44</v>
      </c>
      <c r="B43" s="135">
        <f>214077.5</f>
        <v>214077.5</v>
      </c>
      <c r="C43" s="135"/>
      <c r="D43" s="135"/>
      <c r="E43" s="21">
        <v>0</v>
      </c>
      <c r="F43" s="22"/>
      <c r="G43" s="23"/>
      <c r="H43" s="21">
        <v>0</v>
      </c>
      <c r="I43" s="22"/>
      <c r="J43" s="23"/>
      <c r="K43" s="21">
        <v>0</v>
      </c>
      <c r="L43" s="22"/>
      <c r="M43" s="23"/>
      <c r="N43" s="21">
        <f>25000</f>
        <v>25000</v>
      </c>
      <c r="O43" s="22"/>
      <c r="P43" s="23"/>
      <c r="Q43" s="21">
        <f>25000</f>
        <v>25000</v>
      </c>
      <c r="R43" s="22"/>
      <c r="S43" s="23"/>
      <c r="T43" s="21">
        <f>40000</f>
        <v>40000</v>
      </c>
      <c r="U43" s="22"/>
      <c r="V43" s="23"/>
      <c r="W43" s="21">
        <v>0</v>
      </c>
      <c r="X43" s="22"/>
      <c r="Y43" s="23"/>
      <c r="Z43" s="21">
        <v>0</v>
      </c>
      <c r="AA43" s="22"/>
      <c r="AB43" s="23"/>
      <c r="AC43" s="135">
        <f>E43+H43+K43+N43+Q43+T43+W43+Z43</f>
        <v>90000</v>
      </c>
      <c r="AD43" s="135"/>
      <c r="AE43" s="135"/>
      <c r="AF43" s="136">
        <f>AC43/AC103</f>
        <v>0.20292127267893237</v>
      </c>
      <c r="AG43" s="137">
        <f>214077.5+AC43</f>
        <v>304077.5</v>
      </c>
      <c r="AH43" s="137"/>
    </row>
    <row r="44" spans="1:34" x14ac:dyDescent="0.25">
      <c r="A44" s="134" t="s">
        <v>45</v>
      </c>
      <c r="B44" s="135">
        <f>151996.63</f>
        <v>151996.63</v>
      </c>
      <c r="C44" s="135"/>
      <c r="D44" s="135"/>
      <c r="E44" s="21">
        <v>0</v>
      </c>
      <c r="F44" s="22"/>
      <c r="G44" s="23"/>
      <c r="H44" s="21">
        <v>0</v>
      </c>
      <c r="I44" s="22"/>
      <c r="J44" s="23"/>
      <c r="K44" s="21">
        <v>0</v>
      </c>
      <c r="L44" s="22"/>
      <c r="M44" s="23"/>
      <c r="N44" s="21">
        <v>0</v>
      </c>
      <c r="O44" s="22"/>
      <c r="P44" s="23"/>
      <c r="Q44" s="21">
        <v>0</v>
      </c>
      <c r="R44" s="22"/>
      <c r="S44" s="23"/>
      <c r="T44" s="21">
        <v>0</v>
      </c>
      <c r="U44" s="22"/>
      <c r="V44" s="23"/>
      <c r="W44" s="21">
        <v>0</v>
      </c>
      <c r="X44" s="22"/>
      <c r="Y44" s="23"/>
      <c r="Z44" s="21">
        <v>0</v>
      </c>
      <c r="AA44" s="22"/>
      <c r="AB44" s="23"/>
      <c r="AC44" s="29">
        <f t="shared" ref="AC44:AC45" si="2">E44+H44+K44+N44+Q44+T44+W44</f>
        <v>0</v>
      </c>
      <c r="AD44" s="30"/>
      <c r="AE44" s="31"/>
      <c r="AF44" s="136">
        <f>AC44/AC103</f>
        <v>0</v>
      </c>
      <c r="AG44" s="137">
        <f>151996.63+AC44</f>
        <v>151996.63</v>
      </c>
      <c r="AH44" s="137"/>
    </row>
    <row r="45" spans="1:34" x14ac:dyDescent="0.25">
      <c r="A45" s="134" t="s">
        <v>46</v>
      </c>
      <c r="B45" s="29">
        <v>14339.72</v>
      </c>
      <c r="C45" s="30"/>
      <c r="D45" s="31"/>
      <c r="E45" s="139">
        <v>0</v>
      </c>
      <c r="F45" s="140"/>
      <c r="G45" s="141"/>
      <c r="H45" s="21">
        <v>0</v>
      </c>
      <c r="I45" s="22"/>
      <c r="J45" s="23"/>
      <c r="K45" s="21">
        <v>0</v>
      </c>
      <c r="L45" s="22"/>
      <c r="M45" s="23"/>
      <c r="N45" s="21">
        <v>0</v>
      </c>
      <c r="O45" s="22"/>
      <c r="P45" s="23"/>
      <c r="Q45" s="21">
        <v>0</v>
      </c>
      <c r="R45" s="22"/>
      <c r="S45" s="23"/>
      <c r="T45" s="21">
        <v>0</v>
      </c>
      <c r="U45" s="22"/>
      <c r="V45" s="23"/>
      <c r="W45" s="21">
        <v>0</v>
      </c>
      <c r="X45" s="22"/>
      <c r="Y45" s="23"/>
      <c r="Z45" s="21">
        <v>0</v>
      </c>
      <c r="AA45" s="22"/>
      <c r="AB45" s="23"/>
      <c r="AC45" s="29">
        <f t="shared" si="2"/>
        <v>0</v>
      </c>
      <c r="AD45" s="30"/>
      <c r="AE45" s="31"/>
      <c r="AF45" s="136">
        <f>AC45/AC104</f>
        <v>0</v>
      </c>
      <c r="AG45" s="137">
        <f>14339.72+AC45</f>
        <v>14339.72</v>
      </c>
      <c r="AH45" s="137"/>
    </row>
    <row r="46" spans="1:34" x14ac:dyDescent="0.25">
      <c r="A46" s="127" t="s">
        <v>47</v>
      </c>
      <c r="B46" s="128">
        <f>SUM(B47:D49)</f>
        <v>77211.740000000005</v>
      </c>
      <c r="C46" s="128"/>
      <c r="D46" s="128"/>
      <c r="E46" s="128">
        <f>SUM(E47:G49)</f>
        <v>0</v>
      </c>
      <c r="F46" s="128"/>
      <c r="G46" s="128"/>
      <c r="H46" s="128">
        <f>SUM(H47:J49)</f>
        <v>0</v>
      </c>
      <c r="I46" s="128"/>
      <c r="J46" s="128"/>
      <c r="K46" s="128">
        <f>SUM(K47:M49)</f>
        <v>0</v>
      </c>
      <c r="L46" s="128"/>
      <c r="M46" s="128"/>
      <c r="N46" s="128">
        <f>SUM(N47:P49)</f>
        <v>0</v>
      </c>
      <c r="O46" s="128"/>
      <c r="P46" s="128"/>
      <c r="Q46" s="128">
        <f>SUM(Q47:S49)</f>
        <v>0</v>
      </c>
      <c r="R46" s="128"/>
      <c r="S46" s="128"/>
      <c r="T46" s="128">
        <f>SUM(T47:V49)</f>
        <v>0</v>
      </c>
      <c r="U46" s="128"/>
      <c r="V46" s="128"/>
      <c r="W46" s="128">
        <f>SUM(W47:Y49)</f>
        <v>0</v>
      </c>
      <c r="X46" s="128"/>
      <c r="Y46" s="128"/>
      <c r="Z46" s="128">
        <f>SUM(Z47:AB49)</f>
        <v>19.350000000000001</v>
      </c>
      <c r="AA46" s="128"/>
      <c r="AB46" s="128"/>
      <c r="AC46" s="128">
        <f>SUM(AC47:AE49)</f>
        <v>19.350000000000001</v>
      </c>
      <c r="AD46" s="128"/>
      <c r="AE46" s="128"/>
      <c r="AF46" s="132">
        <f>AC46/AC103</f>
        <v>4.3628073625970463E-5</v>
      </c>
      <c r="AG46" s="133">
        <f>SUM(AG47:AH49)</f>
        <v>77231.09</v>
      </c>
      <c r="AH46" s="133"/>
    </row>
    <row r="47" spans="1:34" x14ac:dyDescent="0.25">
      <c r="A47" s="134" t="s">
        <v>48</v>
      </c>
      <c r="B47" s="142">
        <v>3414.91</v>
      </c>
      <c r="C47" s="142"/>
      <c r="D47" s="142"/>
      <c r="E47" s="21">
        <v>0</v>
      </c>
      <c r="F47" s="22"/>
      <c r="G47" s="23"/>
      <c r="H47" s="21">
        <v>0</v>
      </c>
      <c r="I47" s="22"/>
      <c r="J47" s="23"/>
      <c r="K47" s="21">
        <v>0</v>
      </c>
      <c r="L47" s="22"/>
      <c r="M47" s="23"/>
      <c r="N47" s="21">
        <v>0</v>
      </c>
      <c r="O47" s="22"/>
      <c r="P47" s="23"/>
      <c r="Q47" s="21">
        <v>0</v>
      </c>
      <c r="R47" s="22"/>
      <c r="S47" s="23"/>
      <c r="T47" s="21">
        <v>0</v>
      </c>
      <c r="U47" s="22"/>
      <c r="V47" s="23"/>
      <c r="W47" s="21">
        <v>0</v>
      </c>
      <c r="X47" s="22"/>
      <c r="Y47" s="23"/>
      <c r="Z47" s="21">
        <v>0</v>
      </c>
      <c r="AA47" s="22"/>
      <c r="AB47" s="23"/>
      <c r="AC47" s="135">
        <f>0+E47+H47+K47+N47+Q47+T47+W47+Z47</f>
        <v>0</v>
      </c>
      <c r="AD47" s="135"/>
      <c r="AE47" s="135"/>
      <c r="AF47" s="136">
        <f>AC47/AC103</f>
        <v>0</v>
      </c>
      <c r="AG47" s="137">
        <f>3414.91+AC47</f>
        <v>3414.91</v>
      </c>
      <c r="AH47" s="137"/>
    </row>
    <row r="48" spans="1:34" x14ac:dyDescent="0.25">
      <c r="A48" s="134" t="s">
        <v>49</v>
      </c>
      <c r="B48" s="135">
        <v>11615.83</v>
      </c>
      <c r="C48" s="135"/>
      <c r="D48" s="135"/>
      <c r="E48" s="21">
        <v>0</v>
      </c>
      <c r="F48" s="22"/>
      <c r="G48" s="23"/>
      <c r="H48" s="21">
        <v>0</v>
      </c>
      <c r="I48" s="22"/>
      <c r="J48" s="23"/>
      <c r="K48" s="21">
        <v>0</v>
      </c>
      <c r="L48" s="22"/>
      <c r="M48" s="23"/>
      <c r="N48" s="21">
        <v>0</v>
      </c>
      <c r="O48" s="22"/>
      <c r="P48" s="23"/>
      <c r="Q48" s="21">
        <v>0</v>
      </c>
      <c r="R48" s="22"/>
      <c r="S48" s="23"/>
      <c r="T48" s="21">
        <v>0</v>
      </c>
      <c r="U48" s="22"/>
      <c r="V48" s="23"/>
      <c r="W48" s="21">
        <v>0</v>
      </c>
      <c r="X48" s="22"/>
      <c r="Y48" s="23"/>
      <c r="Z48" s="21">
        <f>19.35</f>
        <v>19.350000000000001</v>
      </c>
      <c r="AA48" s="22"/>
      <c r="AB48" s="23"/>
      <c r="AC48" s="135">
        <f t="shared" ref="AC48:AC49" si="3">0+E48+H48+K48+N48+Q48+T48+W48+Z48</f>
        <v>19.350000000000001</v>
      </c>
      <c r="AD48" s="135"/>
      <c r="AE48" s="135"/>
      <c r="AF48" s="136">
        <f>AC48/AC103</f>
        <v>4.3628073625970463E-5</v>
      </c>
      <c r="AG48" s="137">
        <f>11615.83+AC48</f>
        <v>11635.18</v>
      </c>
      <c r="AH48" s="137"/>
    </row>
    <row r="49" spans="1:34" x14ac:dyDescent="0.25">
      <c r="A49" s="134" t="s">
        <v>50</v>
      </c>
      <c r="B49" s="135">
        <v>62181</v>
      </c>
      <c r="C49" s="135"/>
      <c r="D49" s="135"/>
      <c r="E49" s="21">
        <v>0</v>
      </c>
      <c r="F49" s="22"/>
      <c r="G49" s="23"/>
      <c r="H49" s="21">
        <v>0</v>
      </c>
      <c r="I49" s="22"/>
      <c r="J49" s="23"/>
      <c r="K49" s="21">
        <v>0</v>
      </c>
      <c r="L49" s="22"/>
      <c r="M49" s="23"/>
      <c r="N49" s="21">
        <v>0</v>
      </c>
      <c r="O49" s="22"/>
      <c r="P49" s="23"/>
      <c r="Q49" s="21">
        <v>0</v>
      </c>
      <c r="R49" s="22"/>
      <c r="S49" s="23"/>
      <c r="T49" s="21">
        <v>0</v>
      </c>
      <c r="U49" s="22"/>
      <c r="V49" s="23"/>
      <c r="W49" s="21">
        <v>0</v>
      </c>
      <c r="X49" s="22"/>
      <c r="Y49" s="23"/>
      <c r="Z49" s="21">
        <v>0</v>
      </c>
      <c r="AA49" s="22"/>
      <c r="AB49" s="23"/>
      <c r="AC49" s="135">
        <f t="shared" si="3"/>
        <v>0</v>
      </c>
      <c r="AD49" s="135"/>
      <c r="AE49" s="135"/>
      <c r="AF49" s="136">
        <f>AC49/AC103</f>
        <v>0</v>
      </c>
      <c r="AG49" s="137">
        <f>62181+AC49</f>
        <v>62181</v>
      </c>
      <c r="AH49" s="137"/>
    </row>
    <row r="50" spans="1:34" x14ac:dyDescent="0.25">
      <c r="A50" s="127" t="s">
        <v>51</v>
      </c>
      <c r="B50" s="128">
        <f>SUM(B51:D63)</f>
        <v>241215.44999999998</v>
      </c>
      <c r="C50" s="128"/>
      <c r="D50" s="128"/>
      <c r="E50" s="128">
        <f>SUM(E51:G63)</f>
        <v>3895.7200000000003</v>
      </c>
      <c r="F50" s="128"/>
      <c r="G50" s="128"/>
      <c r="H50" s="128">
        <f>SUM(H51:J63)</f>
        <v>3671.7200000000003</v>
      </c>
      <c r="I50" s="128"/>
      <c r="J50" s="128"/>
      <c r="K50" s="128">
        <f>SUM(K51:M63)</f>
        <v>3677.12</v>
      </c>
      <c r="L50" s="128"/>
      <c r="M50" s="128"/>
      <c r="N50" s="128">
        <f>SUM(N51:P63)</f>
        <v>3721.62</v>
      </c>
      <c r="O50" s="128"/>
      <c r="P50" s="128"/>
      <c r="Q50" s="128">
        <f>SUM(Q51:S63)</f>
        <v>4178.0200000000004</v>
      </c>
      <c r="R50" s="128"/>
      <c r="S50" s="128"/>
      <c r="T50" s="128">
        <f>SUM(T51:V63)</f>
        <v>3677.57</v>
      </c>
      <c r="U50" s="128"/>
      <c r="V50" s="128"/>
      <c r="W50" s="128">
        <f>SUM(W51:Y63)</f>
        <v>3766.07</v>
      </c>
      <c r="X50" s="128"/>
      <c r="Y50" s="128"/>
      <c r="Z50" s="128">
        <f>SUM(Z51:AB63)</f>
        <v>3913.67</v>
      </c>
      <c r="AA50" s="128"/>
      <c r="AB50" s="128"/>
      <c r="AC50" s="128">
        <f>SUM(AC51:AE63)</f>
        <v>30501.510000000002</v>
      </c>
      <c r="AD50" s="128"/>
      <c r="AE50" s="128"/>
      <c r="AF50" s="132">
        <f>AC50/AC103</f>
        <v>6.8771169198102028E-2</v>
      </c>
      <c r="AG50" s="133">
        <f>SUM(AG51:AH63)</f>
        <v>271716.96000000002</v>
      </c>
      <c r="AH50" s="133"/>
    </row>
    <row r="51" spans="1:34" x14ac:dyDescent="0.25">
      <c r="A51" s="143" t="s">
        <v>52</v>
      </c>
      <c r="B51" s="135">
        <v>28211.279999999999</v>
      </c>
      <c r="C51" s="135"/>
      <c r="D51" s="135"/>
      <c r="E51" s="21">
        <v>0</v>
      </c>
      <c r="F51" s="22"/>
      <c r="G51" s="23"/>
      <c r="H51" s="21">
        <v>0</v>
      </c>
      <c r="I51" s="22"/>
      <c r="J51" s="23"/>
      <c r="K51" s="21">
        <v>0</v>
      </c>
      <c r="L51" s="22"/>
      <c r="M51" s="23"/>
      <c r="N51" s="21">
        <v>0</v>
      </c>
      <c r="O51" s="22"/>
      <c r="P51" s="23"/>
      <c r="Q51" s="21">
        <v>0</v>
      </c>
      <c r="R51" s="22"/>
      <c r="S51" s="23"/>
      <c r="T51" s="21">
        <v>0</v>
      </c>
      <c r="U51" s="22"/>
      <c r="V51" s="23"/>
      <c r="W51" s="21">
        <v>0</v>
      </c>
      <c r="X51" s="22"/>
      <c r="Y51" s="23"/>
      <c r="Z51" s="21">
        <v>0</v>
      </c>
      <c r="AA51" s="22"/>
      <c r="AB51" s="23"/>
      <c r="AC51" s="135">
        <f>0+E51+H51+K51+N51+Q51+T51+W51+Z51</f>
        <v>0</v>
      </c>
      <c r="AD51" s="135"/>
      <c r="AE51" s="135"/>
      <c r="AF51" s="136">
        <f>AC51/AC103</f>
        <v>0</v>
      </c>
      <c r="AG51" s="137">
        <f>28211.28+AC51</f>
        <v>28211.279999999999</v>
      </c>
      <c r="AH51" s="137"/>
    </row>
    <row r="52" spans="1:34" x14ac:dyDescent="0.25">
      <c r="A52" s="134" t="s">
        <v>53</v>
      </c>
      <c r="B52" s="135">
        <v>9340</v>
      </c>
      <c r="C52" s="135"/>
      <c r="D52" s="135"/>
      <c r="E52" s="21">
        <v>0</v>
      </c>
      <c r="F52" s="22"/>
      <c r="G52" s="23"/>
      <c r="H52" s="21">
        <v>0</v>
      </c>
      <c r="I52" s="22"/>
      <c r="J52" s="23"/>
      <c r="K52" s="21">
        <v>0</v>
      </c>
      <c r="L52" s="22"/>
      <c r="M52" s="23"/>
      <c r="N52" s="21">
        <v>0</v>
      </c>
      <c r="O52" s="22"/>
      <c r="P52" s="23"/>
      <c r="Q52" s="21">
        <v>0</v>
      </c>
      <c r="R52" s="22"/>
      <c r="S52" s="23"/>
      <c r="T52" s="21">
        <v>0</v>
      </c>
      <c r="U52" s="22"/>
      <c r="V52" s="23"/>
      <c r="W52" s="21">
        <v>0</v>
      </c>
      <c r="X52" s="22"/>
      <c r="Y52" s="23"/>
      <c r="Z52" s="21">
        <v>0</v>
      </c>
      <c r="AA52" s="22"/>
      <c r="AB52" s="23"/>
      <c r="AC52" s="135">
        <f t="shared" ref="AC52:AC63" si="4">0+E52+H52+K52+N52+Q52+T52+W52+Z52</f>
        <v>0</v>
      </c>
      <c r="AD52" s="135"/>
      <c r="AE52" s="135"/>
      <c r="AF52" s="136">
        <f>AC52/AC103</f>
        <v>0</v>
      </c>
      <c r="AG52" s="137">
        <f>9340+AC52</f>
        <v>9340</v>
      </c>
      <c r="AH52" s="137"/>
    </row>
    <row r="53" spans="1:34" x14ac:dyDescent="0.25">
      <c r="A53" s="134" t="s">
        <v>54</v>
      </c>
      <c r="B53" s="135">
        <v>16890</v>
      </c>
      <c r="C53" s="135"/>
      <c r="D53" s="135"/>
      <c r="E53" s="21">
        <f>450</f>
        <v>450</v>
      </c>
      <c r="F53" s="22"/>
      <c r="G53" s="23"/>
      <c r="H53" s="21">
        <f>450</f>
        <v>450</v>
      </c>
      <c r="I53" s="22"/>
      <c r="J53" s="23"/>
      <c r="K53" s="21">
        <f>450</f>
        <v>450</v>
      </c>
      <c r="L53" s="22"/>
      <c r="M53" s="23"/>
      <c r="N53" s="21">
        <f>450</f>
        <v>450</v>
      </c>
      <c r="O53" s="22"/>
      <c r="P53" s="23"/>
      <c r="Q53" s="21">
        <f>450</f>
        <v>450</v>
      </c>
      <c r="R53" s="22"/>
      <c r="S53" s="23"/>
      <c r="T53" s="21">
        <f>450</f>
        <v>450</v>
      </c>
      <c r="U53" s="22"/>
      <c r="V53" s="23"/>
      <c r="W53" s="21">
        <f>450</f>
        <v>450</v>
      </c>
      <c r="X53" s="22"/>
      <c r="Y53" s="23"/>
      <c r="Z53" s="21">
        <f>450</f>
        <v>450</v>
      </c>
      <c r="AA53" s="22"/>
      <c r="AB53" s="23"/>
      <c r="AC53" s="135">
        <f t="shared" si="4"/>
        <v>3600</v>
      </c>
      <c r="AD53" s="135"/>
      <c r="AE53" s="135"/>
      <c r="AF53" s="136">
        <f>AC53/AC103</f>
        <v>8.1168509071572938E-3</v>
      </c>
      <c r="AG53" s="137">
        <f>16890+AC53</f>
        <v>20490</v>
      </c>
      <c r="AH53" s="137"/>
    </row>
    <row r="54" spans="1:34" x14ac:dyDescent="0.25">
      <c r="A54" s="134" t="s">
        <v>55</v>
      </c>
      <c r="B54" s="135">
        <v>43576.7</v>
      </c>
      <c r="C54" s="135"/>
      <c r="D54" s="135"/>
      <c r="E54" s="21">
        <v>0</v>
      </c>
      <c r="F54" s="22"/>
      <c r="G54" s="23"/>
      <c r="H54" s="21">
        <v>0</v>
      </c>
      <c r="I54" s="22"/>
      <c r="J54" s="23"/>
      <c r="K54" s="21">
        <v>0</v>
      </c>
      <c r="L54" s="22"/>
      <c r="M54" s="23"/>
      <c r="N54" s="21">
        <v>0</v>
      </c>
      <c r="O54" s="22"/>
      <c r="P54" s="23"/>
      <c r="Q54" s="21">
        <v>0</v>
      </c>
      <c r="R54" s="22"/>
      <c r="S54" s="23"/>
      <c r="T54" s="21">
        <v>0</v>
      </c>
      <c r="U54" s="22"/>
      <c r="V54" s="23"/>
      <c r="W54" s="21">
        <v>0</v>
      </c>
      <c r="X54" s="22"/>
      <c r="Y54" s="23"/>
      <c r="Z54" s="21">
        <v>0</v>
      </c>
      <c r="AA54" s="22"/>
      <c r="AB54" s="23"/>
      <c r="AC54" s="135">
        <f t="shared" si="4"/>
        <v>0</v>
      </c>
      <c r="AD54" s="135"/>
      <c r="AE54" s="135"/>
      <c r="AF54" s="136">
        <f>AC54/AC103</f>
        <v>0</v>
      </c>
      <c r="AG54" s="137">
        <f>43576.7+AC54</f>
        <v>43576.7</v>
      </c>
      <c r="AH54" s="137"/>
    </row>
    <row r="55" spans="1:34" x14ac:dyDescent="0.25">
      <c r="A55" s="134" t="s">
        <v>56</v>
      </c>
      <c r="B55" s="135">
        <v>96857.71</v>
      </c>
      <c r="C55" s="135"/>
      <c r="D55" s="135"/>
      <c r="E55" s="21">
        <f>2722.05</f>
        <v>2722.05</v>
      </c>
      <c r="F55" s="22"/>
      <c r="G55" s="23"/>
      <c r="H55" s="21">
        <f>2713.05</f>
        <v>2713.05</v>
      </c>
      <c r="I55" s="22"/>
      <c r="J55" s="23"/>
      <c r="K55" s="21">
        <f>2718.45</f>
        <v>2718.45</v>
      </c>
      <c r="L55" s="22"/>
      <c r="M55" s="23"/>
      <c r="N55" s="21">
        <f>2722.95</f>
        <v>2722.95</v>
      </c>
      <c r="O55" s="22"/>
      <c r="P55" s="23"/>
      <c r="Q55" s="21">
        <f>2719.35</f>
        <v>2719.35</v>
      </c>
      <c r="R55" s="22"/>
      <c r="S55" s="23"/>
      <c r="T55" s="21">
        <f>2718.9</f>
        <v>2718.9</v>
      </c>
      <c r="U55" s="22"/>
      <c r="V55" s="23"/>
      <c r="W55" s="21">
        <f>2768.4</f>
        <v>2768.4</v>
      </c>
      <c r="X55" s="22"/>
      <c r="Y55" s="23"/>
      <c r="Z55" s="21">
        <f>2916</f>
        <v>2916</v>
      </c>
      <c r="AA55" s="22"/>
      <c r="AB55" s="23"/>
      <c r="AC55" s="135">
        <f t="shared" si="4"/>
        <v>21999.15</v>
      </c>
      <c r="AD55" s="135"/>
      <c r="AE55" s="135"/>
      <c r="AF55" s="136">
        <f>AC55/AC103</f>
        <v>4.9601061287274838E-2</v>
      </c>
      <c r="AG55" s="137">
        <f>96857.71+AC55</f>
        <v>118856.86000000002</v>
      </c>
      <c r="AH55" s="137"/>
    </row>
    <row r="56" spans="1:34" x14ac:dyDescent="0.25">
      <c r="A56" s="134" t="s">
        <v>57</v>
      </c>
      <c r="B56" s="135">
        <v>9150.25</v>
      </c>
      <c r="C56" s="135"/>
      <c r="D56" s="135"/>
      <c r="E56" s="21">
        <f>293.67</f>
        <v>293.67</v>
      </c>
      <c r="F56" s="22"/>
      <c r="G56" s="23"/>
      <c r="H56" s="21">
        <f>293.67</f>
        <v>293.67</v>
      </c>
      <c r="I56" s="22"/>
      <c r="J56" s="23"/>
      <c r="K56" s="21">
        <f>293.67</f>
        <v>293.67</v>
      </c>
      <c r="L56" s="22"/>
      <c r="M56" s="23"/>
      <c r="N56" s="21">
        <f>293.67</f>
        <v>293.67</v>
      </c>
      <c r="O56" s="22"/>
      <c r="P56" s="23"/>
      <c r="Q56" s="21">
        <f>293.67</f>
        <v>293.67</v>
      </c>
      <c r="R56" s="22"/>
      <c r="S56" s="23"/>
      <c r="T56" s="21">
        <f>293.67</f>
        <v>293.67</v>
      </c>
      <c r="U56" s="22"/>
      <c r="V56" s="23"/>
      <c r="W56" s="21">
        <f>293.67</f>
        <v>293.67</v>
      </c>
      <c r="X56" s="22"/>
      <c r="Y56" s="23"/>
      <c r="Z56" s="21">
        <f>293.67</f>
        <v>293.67</v>
      </c>
      <c r="AA56" s="22"/>
      <c r="AB56" s="23"/>
      <c r="AC56" s="135">
        <f t="shared" si="4"/>
        <v>2349.36</v>
      </c>
      <c r="AD56" s="135"/>
      <c r="AE56" s="135"/>
      <c r="AF56" s="136">
        <f>AC56/AC103</f>
        <v>5.2970569020108511E-3</v>
      </c>
      <c r="AG56" s="137">
        <f>9150.25+AC56</f>
        <v>11499.61</v>
      </c>
      <c r="AH56" s="137"/>
    </row>
    <row r="57" spans="1:34" x14ac:dyDescent="0.25">
      <c r="A57" s="134" t="s">
        <v>58</v>
      </c>
      <c r="B57" s="135">
        <v>2618.94</v>
      </c>
      <c r="C57" s="135"/>
      <c r="D57" s="135"/>
      <c r="E57" s="21">
        <f>215+215</f>
        <v>430</v>
      </c>
      <c r="F57" s="22"/>
      <c r="G57" s="23"/>
      <c r="H57" s="21">
        <f>215</f>
        <v>215</v>
      </c>
      <c r="I57" s="22"/>
      <c r="J57" s="23"/>
      <c r="K57" s="21">
        <f>215</f>
        <v>215</v>
      </c>
      <c r="L57" s="22"/>
      <c r="M57" s="23"/>
      <c r="N57" s="21">
        <f>215</f>
        <v>215</v>
      </c>
      <c r="O57" s="22"/>
      <c r="P57" s="23"/>
      <c r="Q57" s="21">
        <f>215</f>
        <v>215</v>
      </c>
      <c r="R57" s="22"/>
      <c r="S57" s="23"/>
      <c r="T57" s="21">
        <f>215</f>
        <v>215</v>
      </c>
      <c r="U57" s="22"/>
      <c r="V57" s="23"/>
      <c r="W57" s="21">
        <f>215</f>
        <v>215</v>
      </c>
      <c r="X57" s="22"/>
      <c r="Y57" s="23"/>
      <c r="Z57" s="21">
        <f>215</f>
        <v>215</v>
      </c>
      <c r="AA57" s="22"/>
      <c r="AB57" s="23"/>
      <c r="AC57" s="135">
        <f t="shared" si="4"/>
        <v>1935</v>
      </c>
      <c r="AD57" s="135"/>
      <c r="AE57" s="135"/>
      <c r="AF57" s="136">
        <f>AC57/AC103</f>
        <v>4.3628073625970459E-3</v>
      </c>
      <c r="AG57" s="137">
        <f>2618.94+AC57</f>
        <v>4553.9400000000005</v>
      </c>
      <c r="AH57" s="137"/>
    </row>
    <row r="58" spans="1:34" x14ac:dyDescent="0.25">
      <c r="A58" s="134" t="s">
        <v>59</v>
      </c>
      <c r="B58" s="29">
        <v>0</v>
      </c>
      <c r="C58" s="30"/>
      <c r="D58" s="31"/>
      <c r="E58" s="21">
        <v>0</v>
      </c>
      <c r="F58" s="22"/>
      <c r="G58" s="23"/>
      <c r="H58" s="21">
        <v>0</v>
      </c>
      <c r="I58" s="22"/>
      <c r="J58" s="23"/>
      <c r="K58" s="21">
        <v>0</v>
      </c>
      <c r="L58" s="22"/>
      <c r="M58" s="23"/>
      <c r="N58" s="21">
        <v>0</v>
      </c>
      <c r="O58" s="22"/>
      <c r="P58" s="23"/>
      <c r="Q58" s="21">
        <v>0</v>
      </c>
      <c r="R58" s="22"/>
      <c r="S58" s="23"/>
      <c r="T58" s="21">
        <v>0</v>
      </c>
      <c r="U58" s="22"/>
      <c r="V58" s="23"/>
      <c r="W58" s="21">
        <f>39</f>
        <v>39</v>
      </c>
      <c r="X58" s="22"/>
      <c r="Y58" s="23"/>
      <c r="Z58" s="21">
        <f>39</f>
        <v>39</v>
      </c>
      <c r="AA58" s="22"/>
      <c r="AB58" s="23"/>
      <c r="AC58" s="135">
        <f t="shared" si="4"/>
        <v>78</v>
      </c>
      <c r="AD58" s="135"/>
      <c r="AE58" s="135"/>
      <c r="AF58" s="136">
        <f>AC58/AC104</f>
        <v>3.9878116116893981E-4</v>
      </c>
      <c r="AG58" s="139">
        <f>0+AC58</f>
        <v>78</v>
      </c>
      <c r="AH58" s="141"/>
    </row>
    <row r="59" spans="1:34" x14ac:dyDescent="0.25">
      <c r="A59" s="134" t="s">
        <v>60</v>
      </c>
      <c r="B59" s="135">
        <v>25282.46</v>
      </c>
      <c r="C59" s="135"/>
      <c r="D59" s="135"/>
      <c r="E59" s="21">
        <v>0</v>
      </c>
      <c r="F59" s="22"/>
      <c r="G59" s="23"/>
      <c r="H59" s="21">
        <v>0</v>
      </c>
      <c r="I59" s="22"/>
      <c r="J59" s="23"/>
      <c r="K59" s="21">
        <v>0</v>
      </c>
      <c r="L59" s="22"/>
      <c r="M59" s="23"/>
      <c r="N59" s="21">
        <v>0</v>
      </c>
      <c r="O59" s="22"/>
      <c r="P59" s="23"/>
      <c r="Q59" s="21">
        <f>500</f>
        <v>500</v>
      </c>
      <c r="R59" s="22"/>
      <c r="S59" s="23"/>
      <c r="T59" s="21">
        <v>0</v>
      </c>
      <c r="U59" s="22"/>
      <c r="V59" s="23"/>
      <c r="W59" s="21">
        <v>0</v>
      </c>
      <c r="X59" s="22"/>
      <c r="Y59" s="23"/>
      <c r="Z59" s="21">
        <v>0</v>
      </c>
      <c r="AA59" s="22"/>
      <c r="AB59" s="23"/>
      <c r="AC59" s="135">
        <f t="shared" si="4"/>
        <v>500</v>
      </c>
      <c r="AD59" s="135"/>
      <c r="AE59" s="135"/>
      <c r="AF59" s="136">
        <f>AC59/AC103</f>
        <v>1.1273404037718466E-3</v>
      </c>
      <c r="AG59" s="137">
        <f>25282.46+AC59</f>
        <v>25782.46</v>
      </c>
      <c r="AH59" s="137"/>
    </row>
    <row r="60" spans="1:34" x14ac:dyDescent="0.25">
      <c r="A60" s="134" t="s">
        <v>61</v>
      </c>
      <c r="B60" s="135">
        <v>1500</v>
      </c>
      <c r="C60" s="135"/>
      <c r="D60" s="135"/>
      <c r="E60" s="21">
        <v>0</v>
      </c>
      <c r="F60" s="22"/>
      <c r="G60" s="23"/>
      <c r="H60" s="21">
        <v>0</v>
      </c>
      <c r="I60" s="22"/>
      <c r="J60" s="23"/>
      <c r="K60" s="21">
        <v>0</v>
      </c>
      <c r="L60" s="22"/>
      <c r="M60" s="23"/>
      <c r="N60" s="21">
        <v>0</v>
      </c>
      <c r="O60" s="22"/>
      <c r="P60" s="23"/>
      <c r="Q60" s="21">
        <v>0</v>
      </c>
      <c r="R60" s="22"/>
      <c r="S60" s="23"/>
      <c r="T60" s="21">
        <v>0</v>
      </c>
      <c r="U60" s="22"/>
      <c r="V60" s="23"/>
      <c r="W60" s="21">
        <v>0</v>
      </c>
      <c r="X60" s="22"/>
      <c r="Y60" s="23"/>
      <c r="Z60" s="21">
        <v>0</v>
      </c>
      <c r="AA60" s="22"/>
      <c r="AB60" s="23"/>
      <c r="AC60" s="135">
        <f t="shared" si="4"/>
        <v>0</v>
      </c>
      <c r="AD60" s="135"/>
      <c r="AE60" s="135"/>
      <c r="AF60" s="136">
        <f>AC60/AC103</f>
        <v>0</v>
      </c>
      <c r="AG60" s="137">
        <f>1500+AC60</f>
        <v>1500</v>
      </c>
      <c r="AH60" s="137"/>
    </row>
    <row r="61" spans="1:34" x14ac:dyDescent="0.25">
      <c r="A61" s="134" t="s">
        <v>62</v>
      </c>
      <c r="B61" s="135">
        <v>5618.11</v>
      </c>
      <c r="C61" s="135"/>
      <c r="D61" s="135"/>
      <c r="E61" s="21">
        <v>0</v>
      </c>
      <c r="F61" s="22"/>
      <c r="G61" s="23"/>
      <c r="H61" s="21">
        <v>0</v>
      </c>
      <c r="I61" s="22"/>
      <c r="J61" s="23"/>
      <c r="K61" s="21">
        <v>0</v>
      </c>
      <c r="L61" s="22"/>
      <c r="M61" s="23"/>
      <c r="N61" s="21">
        <v>0</v>
      </c>
      <c r="O61" s="22"/>
      <c r="P61" s="23"/>
      <c r="Q61" s="21">
        <v>0</v>
      </c>
      <c r="R61" s="22"/>
      <c r="S61" s="23"/>
      <c r="T61" s="21">
        <v>0</v>
      </c>
      <c r="U61" s="22"/>
      <c r="V61" s="23"/>
      <c r="W61" s="21">
        <v>0</v>
      </c>
      <c r="X61" s="22"/>
      <c r="Y61" s="23"/>
      <c r="Z61" s="21">
        <v>0</v>
      </c>
      <c r="AA61" s="22"/>
      <c r="AB61" s="23"/>
      <c r="AC61" s="135">
        <f t="shared" si="4"/>
        <v>0</v>
      </c>
      <c r="AD61" s="135"/>
      <c r="AE61" s="135"/>
      <c r="AF61" s="136">
        <f>AC61/AC103</f>
        <v>0</v>
      </c>
      <c r="AG61" s="137">
        <f>5618.11+AC61</f>
        <v>5618.11</v>
      </c>
      <c r="AH61" s="137"/>
    </row>
    <row r="62" spans="1:34" x14ac:dyDescent="0.25">
      <c r="A62" s="134" t="s">
        <v>63</v>
      </c>
      <c r="B62" s="135">
        <v>0</v>
      </c>
      <c r="C62" s="135"/>
      <c r="D62" s="135"/>
      <c r="E62" s="21">
        <v>0</v>
      </c>
      <c r="F62" s="22"/>
      <c r="G62" s="23"/>
      <c r="H62" s="21">
        <v>0</v>
      </c>
      <c r="I62" s="22"/>
      <c r="J62" s="23"/>
      <c r="K62" s="21">
        <v>0</v>
      </c>
      <c r="L62" s="22"/>
      <c r="M62" s="23"/>
      <c r="N62" s="21">
        <f>40</f>
        <v>40</v>
      </c>
      <c r="O62" s="22"/>
      <c r="P62" s="23"/>
      <c r="Q62" s="21">
        <v>0</v>
      </c>
      <c r="R62" s="22"/>
      <c r="S62" s="23"/>
      <c r="T62" s="21">
        <v>0</v>
      </c>
      <c r="U62" s="22"/>
      <c r="V62" s="23"/>
      <c r="W62" s="21">
        <v>0</v>
      </c>
      <c r="X62" s="22"/>
      <c r="Y62" s="23"/>
      <c r="Z62" s="21">
        <v>0</v>
      </c>
      <c r="AA62" s="22"/>
      <c r="AB62" s="23"/>
      <c r="AC62" s="135">
        <f t="shared" si="4"/>
        <v>40</v>
      </c>
      <c r="AD62" s="135"/>
      <c r="AE62" s="135"/>
      <c r="AF62" s="136">
        <f>AC62/AC103</f>
        <v>9.0187232301747712E-5</v>
      </c>
      <c r="AG62" s="137">
        <f t="shared" ref="AG62" si="5">0+AC62</f>
        <v>40</v>
      </c>
      <c r="AH62" s="137"/>
    </row>
    <row r="63" spans="1:34" x14ac:dyDescent="0.25">
      <c r="A63" s="134" t="s">
        <v>64</v>
      </c>
      <c r="B63" s="135">
        <v>2170</v>
      </c>
      <c r="C63" s="135"/>
      <c r="D63" s="135"/>
      <c r="E63" s="21">
        <v>0</v>
      </c>
      <c r="F63" s="22"/>
      <c r="G63" s="23"/>
      <c r="H63" s="21">
        <v>0</v>
      </c>
      <c r="I63" s="22"/>
      <c r="J63" s="23"/>
      <c r="K63" s="21">
        <v>0</v>
      </c>
      <c r="L63" s="22"/>
      <c r="M63" s="23"/>
      <c r="N63" s="21">
        <v>0</v>
      </c>
      <c r="O63" s="22"/>
      <c r="P63" s="23"/>
      <c r="Q63" s="21">
        <v>0</v>
      </c>
      <c r="R63" s="22"/>
      <c r="S63" s="23"/>
      <c r="T63" s="21">
        <v>0</v>
      </c>
      <c r="U63" s="22"/>
      <c r="V63" s="23"/>
      <c r="W63" s="21">
        <v>0</v>
      </c>
      <c r="X63" s="22"/>
      <c r="Y63" s="23"/>
      <c r="Z63" s="21">
        <v>0</v>
      </c>
      <c r="AA63" s="22"/>
      <c r="AB63" s="23"/>
      <c r="AC63" s="135">
        <f t="shared" si="4"/>
        <v>0</v>
      </c>
      <c r="AD63" s="135"/>
      <c r="AE63" s="135"/>
      <c r="AF63" s="136">
        <f>AC63/AC103</f>
        <v>0</v>
      </c>
      <c r="AG63" s="137">
        <f>2170+AC63</f>
        <v>2170</v>
      </c>
      <c r="AH63" s="137"/>
    </row>
    <row r="64" spans="1:34" x14ac:dyDescent="0.25">
      <c r="A64" s="127" t="s">
        <v>65</v>
      </c>
      <c r="B64" s="128">
        <f>SUM(B65:D68)</f>
        <v>192764.56999999998</v>
      </c>
      <c r="C64" s="128"/>
      <c r="D64" s="128"/>
      <c r="E64" s="129">
        <f>SUM(E65:G68)</f>
        <v>13428.149999999998</v>
      </c>
      <c r="F64" s="130"/>
      <c r="G64" s="131"/>
      <c r="H64" s="129">
        <f>SUM(H65:J68)</f>
        <v>12011.390000000001</v>
      </c>
      <c r="I64" s="130"/>
      <c r="J64" s="131"/>
      <c r="K64" s="129">
        <f>SUM(K65:M68)</f>
        <v>1386.5400000000002</v>
      </c>
      <c r="L64" s="130"/>
      <c r="M64" s="131"/>
      <c r="N64" s="129">
        <f>SUM(N65:P68)</f>
        <v>13324.27</v>
      </c>
      <c r="O64" s="130"/>
      <c r="P64" s="131"/>
      <c r="Q64" s="129">
        <f>SUM(Q65:S68)</f>
        <v>3314.84</v>
      </c>
      <c r="R64" s="130"/>
      <c r="S64" s="131"/>
      <c r="T64" s="129">
        <f>SUM(T65:V68)</f>
        <v>12706.07</v>
      </c>
      <c r="U64" s="130"/>
      <c r="V64" s="131"/>
      <c r="W64" s="129">
        <f>SUM(W65:Y68)</f>
        <v>959.34999999999991</v>
      </c>
      <c r="X64" s="130"/>
      <c r="Y64" s="131"/>
      <c r="Z64" s="129">
        <f>SUM(Z65:AB68)</f>
        <v>13477.11</v>
      </c>
      <c r="AA64" s="130"/>
      <c r="AB64" s="131"/>
      <c r="AC64" s="144">
        <f>SUM(AC65:AE68)</f>
        <v>70607.72</v>
      </c>
      <c r="AD64" s="145"/>
      <c r="AE64" s="146"/>
      <c r="AF64" s="132">
        <f>AC64/AC103</f>
        <v>0.15919787114841896</v>
      </c>
      <c r="AG64" s="133">
        <f>SUM(AG65:AH68)</f>
        <v>263372.28999999998</v>
      </c>
      <c r="AH64" s="133"/>
    </row>
    <row r="65" spans="1:34" x14ac:dyDescent="0.25">
      <c r="A65" s="134" t="s">
        <v>66</v>
      </c>
      <c r="B65" s="135">
        <v>120948.56</v>
      </c>
      <c r="C65" s="135"/>
      <c r="D65" s="135"/>
      <c r="E65" s="21">
        <f>9.5+9.5+39.8+9.5+11623.59+3.98+42+1+1+9.5</f>
        <v>11749.369999999999</v>
      </c>
      <c r="F65" s="22"/>
      <c r="G65" s="23"/>
      <c r="H65" s="21">
        <f>89.55+9.5+9.5+45.77+42+11502.2+27.86</f>
        <v>11726.380000000001</v>
      </c>
      <c r="I65" s="22"/>
      <c r="J65" s="23"/>
      <c r="K65" s="21">
        <f>9.5+7.96+9.5+9.5+9.5+11.94+145.27+9.5+250.74+42+1.99+9.5</f>
        <v>516.90000000000009</v>
      </c>
      <c r="L65" s="22"/>
      <c r="M65" s="23"/>
      <c r="N65" s="21">
        <f>11851.69</f>
        <v>11851.69</v>
      </c>
      <c r="O65" s="22"/>
      <c r="P65" s="23"/>
      <c r="Q65" s="21">
        <f>9.95+10+10+15.92+36.5+10+13.93+69.65</f>
        <v>175.95000000000002</v>
      </c>
      <c r="R65" s="22"/>
      <c r="S65" s="23"/>
      <c r="T65" s="21">
        <f>1.99+7.96+10+1.99+10+1.99+1.99+10+10+11589.76+3.98</f>
        <v>11649.66</v>
      </c>
      <c r="U65" s="22"/>
      <c r="V65" s="23"/>
      <c r="W65" s="21">
        <f>35.82+11.94+10+1.99+10+27.86</f>
        <v>97.61</v>
      </c>
      <c r="X65" s="22"/>
      <c r="Y65" s="23"/>
      <c r="Z65" s="21">
        <f>10+7.96+5.97+12535.01+10</f>
        <v>12568.94</v>
      </c>
      <c r="AA65" s="22"/>
      <c r="AB65" s="23"/>
      <c r="AC65" s="135">
        <f>0+E65+H65+K65+N65+Q65+T65+W65+Z65</f>
        <v>60336.5</v>
      </c>
      <c r="AD65" s="135"/>
      <c r="AE65" s="135"/>
      <c r="AF65" s="136">
        <f>AC65/AC103</f>
        <v>0.13603954854436004</v>
      </c>
      <c r="AG65" s="137">
        <f>120948.56+AC65</f>
        <v>181285.06</v>
      </c>
      <c r="AH65" s="137"/>
    </row>
    <row r="66" spans="1:34" x14ac:dyDescent="0.25">
      <c r="A66" s="134" t="s">
        <v>67</v>
      </c>
      <c r="B66" s="135">
        <v>47642.8</v>
      </c>
      <c r="C66" s="135"/>
      <c r="D66" s="135"/>
      <c r="E66" s="21">
        <f>77.46+240.13+70.87+219.71+77.46+70.87+240.13+219.71+203.66+203.66</f>
        <v>1623.66</v>
      </c>
      <c r="F66" s="22"/>
      <c r="G66" s="23"/>
      <c r="H66" s="21">
        <f>113.42+94.16</f>
        <v>207.57999999999998</v>
      </c>
      <c r="I66" s="22"/>
      <c r="J66" s="23"/>
      <c r="K66" s="21">
        <f>67.5+77.46+209.25+159.05+252.91</f>
        <v>766.17</v>
      </c>
      <c r="L66" s="22"/>
      <c r="M66" s="23"/>
      <c r="N66" s="21">
        <f>240.13+209.25+77.46+67.5+252.91</f>
        <v>847.25</v>
      </c>
      <c r="O66" s="22"/>
      <c r="P66" s="23"/>
      <c r="Q66" s="21">
        <f>209.25+67.5+240.13+77.46+252.91</f>
        <v>847.25</v>
      </c>
      <c r="R66" s="22"/>
      <c r="S66" s="23"/>
      <c r="T66" s="21">
        <f>67.5+209.25+77.46+240.13+56.2+97.25+210.76</f>
        <v>958.55</v>
      </c>
      <c r="U66" s="22"/>
      <c r="V66" s="23"/>
      <c r="W66" s="21">
        <f>240.13+77.46+209.25+67.5+219.74</f>
        <v>814.07999999999993</v>
      </c>
      <c r="X66" s="22"/>
      <c r="Y66" s="23"/>
      <c r="Z66" s="21">
        <f>77.46+67.5+240.13+209.25+270.09</f>
        <v>864.42999999999984</v>
      </c>
      <c r="AA66" s="22"/>
      <c r="AB66" s="23"/>
      <c r="AC66" s="135">
        <f t="shared" ref="AC66:AC68" si="6">0+E66+H66+K66+N66+Q66+T66+W66+Z66</f>
        <v>6928.9699999999993</v>
      </c>
      <c r="AD66" s="135"/>
      <c r="AE66" s="135"/>
      <c r="AF66" s="136">
        <f>AC66/AC103</f>
        <v>1.562261567504602E-2</v>
      </c>
      <c r="AG66" s="137">
        <f>47642.8+AC66</f>
        <v>54571.770000000004</v>
      </c>
      <c r="AH66" s="137"/>
    </row>
    <row r="67" spans="1:34" x14ac:dyDescent="0.25">
      <c r="A67" s="134" t="s">
        <v>68</v>
      </c>
      <c r="B67" s="135">
        <v>24147.84</v>
      </c>
      <c r="C67" s="135"/>
      <c r="D67" s="135"/>
      <c r="E67" s="21">
        <f>48.46</f>
        <v>48.46</v>
      </c>
      <c r="F67" s="22"/>
      <c r="G67" s="23"/>
      <c r="H67" s="21">
        <f>72.49</f>
        <v>72.489999999999995</v>
      </c>
      <c r="I67" s="22"/>
      <c r="J67" s="23"/>
      <c r="K67" s="21">
        <f>103.47</f>
        <v>103.47</v>
      </c>
      <c r="L67" s="22"/>
      <c r="M67" s="23"/>
      <c r="N67" s="21">
        <f>163</f>
        <v>163</v>
      </c>
      <c r="O67" s="22"/>
      <c r="P67" s="23"/>
      <c r="Q67" s="21">
        <f>808.1+1448.28+35.26</f>
        <v>2291.6400000000003</v>
      </c>
      <c r="R67" s="22"/>
      <c r="S67" s="23"/>
      <c r="T67" s="21">
        <f>97.86</f>
        <v>97.86</v>
      </c>
      <c r="U67" s="22"/>
      <c r="V67" s="23"/>
      <c r="W67" s="21">
        <f>46.61</f>
        <v>46.61</v>
      </c>
      <c r="X67" s="22"/>
      <c r="Y67" s="23"/>
      <c r="Z67" s="21">
        <f>43.74</f>
        <v>43.74</v>
      </c>
      <c r="AA67" s="22"/>
      <c r="AB67" s="23"/>
      <c r="AC67" s="135">
        <f t="shared" si="6"/>
        <v>2867.2700000000004</v>
      </c>
      <c r="AD67" s="135"/>
      <c r="AE67" s="135"/>
      <c r="AF67" s="136">
        <f>AC67/AC103</f>
        <v>6.4647786390458059E-3</v>
      </c>
      <c r="AG67" s="137">
        <f>24147.84+AC67</f>
        <v>27015.11</v>
      </c>
      <c r="AH67" s="137"/>
    </row>
    <row r="68" spans="1:34" x14ac:dyDescent="0.25">
      <c r="A68" s="134" t="s">
        <v>69</v>
      </c>
      <c r="B68" s="135">
        <v>25.37</v>
      </c>
      <c r="C68" s="135"/>
      <c r="D68" s="135"/>
      <c r="E68" s="21">
        <f>6.66</f>
        <v>6.66</v>
      </c>
      <c r="F68" s="22"/>
      <c r="G68" s="23"/>
      <c r="H68" s="21">
        <f>1.37+1.09+2.48</f>
        <v>4.9399999999999995</v>
      </c>
      <c r="I68" s="22"/>
      <c r="J68" s="23"/>
      <c r="K68" s="21">
        <v>0</v>
      </c>
      <c r="L68" s="22"/>
      <c r="M68" s="23"/>
      <c r="N68" s="21">
        <f>462.33</f>
        <v>462.33</v>
      </c>
      <c r="O68" s="22"/>
      <c r="P68" s="23"/>
      <c r="Q68" s="21">
        <v>0</v>
      </c>
      <c r="R68" s="22"/>
      <c r="S68" s="23"/>
      <c r="T68" s="21">
        <v>0</v>
      </c>
      <c r="U68" s="22"/>
      <c r="V68" s="23"/>
      <c r="W68" s="21">
        <f>1.05</f>
        <v>1.05</v>
      </c>
      <c r="X68" s="22"/>
      <c r="Y68" s="23"/>
      <c r="Z68" s="21">
        <v>0</v>
      </c>
      <c r="AA68" s="22"/>
      <c r="AB68" s="23"/>
      <c r="AC68" s="135">
        <f t="shared" si="6"/>
        <v>474.98</v>
      </c>
      <c r="AD68" s="135"/>
      <c r="AE68" s="135"/>
      <c r="AF68" s="136">
        <f>AC68/AC103</f>
        <v>1.0709282899671034E-3</v>
      </c>
      <c r="AG68" s="137">
        <f>25.37+AC68</f>
        <v>500.35</v>
      </c>
      <c r="AH68" s="137"/>
    </row>
    <row r="69" spans="1:34" x14ac:dyDescent="0.25">
      <c r="A69" s="127" t="s">
        <v>70</v>
      </c>
      <c r="B69" s="128">
        <f>SUM(B70:D83)</f>
        <v>379800.62</v>
      </c>
      <c r="C69" s="128"/>
      <c r="D69" s="128"/>
      <c r="E69" s="129">
        <f>SUM(E70:G83)</f>
        <v>11747.81</v>
      </c>
      <c r="F69" s="130"/>
      <c r="G69" s="131"/>
      <c r="H69" s="129">
        <f>SUM(H70:J83)</f>
        <v>9765.11</v>
      </c>
      <c r="I69" s="130"/>
      <c r="J69" s="131"/>
      <c r="K69" s="129">
        <f>SUM(K70:M83)</f>
        <v>11378.32</v>
      </c>
      <c r="L69" s="130"/>
      <c r="M69" s="131"/>
      <c r="N69" s="129">
        <f>SUM(N70:P83)</f>
        <v>10209.619999999999</v>
      </c>
      <c r="O69" s="130"/>
      <c r="P69" s="131"/>
      <c r="Q69" s="129">
        <f>SUM(Q70:S83)</f>
        <v>10249.41</v>
      </c>
      <c r="R69" s="130"/>
      <c r="S69" s="131"/>
      <c r="T69" s="129">
        <f>SUM(T70:V83)</f>
        <v>10155.92</v>
      </c>
      <c r="U69" s="130"/>
      <c r="V69" s="131"/>
      <c r="W69" s="129">
        <f>SUM(W70:Y83)</f>
        <v>12112.19</v>
      </c>
      <c r="X69" s="130"/>
      <c r="Y69" s="131"/>
      <c r="Z69" s="129">
        <f>SUM(Z70:AB83)</f>
        <v>9880.83</v>
      </c>
      <c r="AA69" s="130"/>
      <c r="AB69" s="131"/>
      <c r="AC69" s="144">
        <f>SUM(AC70:AE83)</f>
        <v>85499.209999999992</v>
      </c>
      <c r="AD69" s="145"/>
      <c r="AE69" s="146"/>
      <c r="AF69" s="132">
        <f>AC69/AC103</f>
        <v>0.19277342784714777</v>
      </c>
      <c r="AG69" s="133">
        <f>SUM(AG70:AH83)</f>
        <v>465299.83</v>
      </c>
      <c r="AH69" s="133"/>
    </row>
    <row r="70" spans="1:34" x14ac:dyDescent="0.25">
      <c r="A70" s="143" t="s">
        <v>71</v>
      </c>
      <c r="B70" s="135">
        <v>9608.91</v>
      </c>
      <c r="C70" s="135"/>
      <c r="D70" s="135"/>
      <c r="E70" s="21">
        <v>0</v>
      </c>
      <c r="F70" s="22"/>
      <c r="G70" s="23"/>
      <c r="H70" s="21">
        <v>0</v>
      </c>
      <c r="I70" s="22"/>
      <c r="J70" s="23"/>
      <c r="K70" s="21">
        <v>0</v>
      </c>
      <c r="L70" s="22"/>
      <c r="M70" s="23"/>
      <c r="N70" s="21">
        <v>0</v>
      </c>
      <c r="O70" s="22"/>
      <c r="P70" s="23"/>
      <c r="Q70" s="21">
        <v>0</v>
      </c>
      <c r="R70" s="22"/>
      <c r="S70" s="23"/>
      <c r="T70" s="21">
        <v>0</v>
      </c>
      <c r="U70" s="22"/>
      <c r="V70" s="23"/>
      <c r="W70" s="21">
        <v>0</v>
      </c>
      <c r="X70" s="22"/>
      <c r="Y70" s="23"/>
      <c r="Z70" s="21">
        <v>0</v>
      </c>
      <c r="AA70" s="22"/>
      <c r="AB70" s="23"/>
      <c r="AC70" s="135">
        <f>0+E70+H70+K70+N70+Q70+T70+W70+Z70</f>
        <v>0</v>
      </c>
      <c r="AD70" s="135"/>
      <c r="AE70" s="135"/>
      <c r="AF70" s="136">
        <f>AC70/AC103</f>
        <v>0</v>
      </c>
      <c r="AG70" s="137">
        <f>9608.91+AC70</f>
        <v>9608.91</v>
      </c>
      <c r="AH70" s="137"/>
    </row>
    <row r="71" spans="1:34" x14ac:dyDescent="0.25">
      <c r="A71" s="143" t="s">
        <v>72</v>
      </c>
      <c r="B71" s="135">
        <v>9110</v>
      </c>
      <c r="C71" s="135"/>
      <c r="D71" s="135"/>
      <c r="E71" s="21">
        <v>0</v>
      </c>
      <c r="F71" s="22"/>
      <c r="G71" s="23"/>
      <c r="H71" s="21">
        <v>0</v>
      </c>
      <c r="I71" s="22"/>
      <c r="J71" s="23"/>
      <c r="K71" s="21">
        <v>0</v>
      </c>
      <c r="L71" s="22"/>
      <c r="M71" s="23"/>
      <c r="N71" s="21">
        <v>0</v>
      </c>
      <c r="O71" s="22"/>
      <c r="P71" s="23"/>
      <c r="Q71" s="21">
        <v>0</v>
      </c>
      <c r="R71" s="22"/>
      <c r="S71" s="23"/>
      <c r="T71" s="21">
        <v>0</v>
      </c>
      <c r="U71" s="22"/>
      <c r="V71" s="23"/>
      <c r="W71" s="21">
        <v>0</v>
      </c>
      <c r="X71" s="22"/>
      <c r="Y71" s="23"/>
      <c r="Z71" s="21">
        <v>0</v>
      </c>
      <c r="AA71" s="22"/>
      <c r="AB71" s="23"/>
      <c r="AC71" s="135">
        <f t="shared" ref="AC71:AC82" si="7">0+E71+H71+K71+N71+Q71+T71+W71+Z71</f>
        <v>0</v>
      </c>
      <c r="AD71" s="135"/>
      <c r="AE71" s="135"/>
      <c r="AF71" s="136">
        <f>AC71/AC103</f>
        <v>0</v>
      </c>
      <c r="AG71" s="137">
        <f>9110+AC71</f>
        <v>9110</v>
      </c>
      <c r="AH71" s="137"/>
    </row>
    <row r="72" spans="1:34" x14ac:dyDescent="0.25">
      <c r="A72" s="143" t="s">
        <v>73</v>
      </c>
      <c r="B72" s="135">
        <v>4130.22</v>
      </c>
      <c r="C72" s="135"/>
      <c r="D72" s="135"/>
      <c r="E72" s="21">
        <f>271.63</f>
        <v>271.63</v>
      </c>
      <c r="F72" s="22"/>
      <c r="G72" s="23"/>
      <c r="H72" s="21">
        <f>271.63+1285.2</f>
        <v>1556.83</v>
      </c>
      <c r="I72" s="22"/>
      <c r="J72" s="23"/>
      <c r="K72" s="21">
        <f>271.63</f>
        <v>271.63</v>
      </c>
      <c r="L72" s="22"/>
      <c r="M72" s="23"/>
      <c r="N72" s="21">
        <v>0</v>
      </c>
      <c r="O72" s="22"/>
      <c r="P72" s="23"/>
      <c r="Q72" s="21">
        <v>0</v>
      </c>
      <c r="R72" s="22"/>
      <c r="S72" s="23"/>
      <c r="T72" s="21">
        <v>0</v>
      </c>
      <c r="U72" s="22"/>
      <c r="V72" s="23"/>
      <c r="W72" s="21">
        <v>0</v>
      </c>
      <c r="X72" s="22"/>
      <c r="Y72" s="23"/>
      <c r="Z72" s="21">
        <v>0</v>
      </c>
      <c r="AA72" s="22"/>
      <c r="AB72" s="23"/>
      <c r="AC72" s="135">
        <f t="shared" si="7"/>
        <v>2100.09</v>
      </c>
      <c r="AD72" s="135"/>
      <c r="AE72" s="135"/>
      <c r="AF72" s="136">
        <f>AC72/AC103</f>
        <v>4.7350326171144343E-3</v>
      </c>
      <c r="AG72" s="137">
        <f>4130.22+AC72</f>
        <v>6230.31</v>
      </c>
      <c r="AH72" s="137"/>
    </row>
    <row r="73" spans="1:34" x14ac:dyDescent="0.25">
      <c r="A73" s="143" t="s">
        <v>74</v>
      </c>
      <c r="B73" s="29">
        <v>0</v>
      </c>
      <c r="C73" s="30"/>
      <c r="D73" s="31"/>
      <c r="E73" s="21">
        <v>0</v>
      </c>
      <c r="F73" s="22"/>
      <c r="G73" s="23"/>
      <c r="H73" s="21">
        <v>99</v>
      </c>
      <c r="I73" s="22"/>
      <c r="J73" s="23"/>
      <c r="K73" s="21">
        <v>0</v>
      </c>
      <c r="L73" s="22"/>
      <c r="M73" s="23"/>
      <c r="N73" s="21">
        <v>0</v>
      </c>
      <c r="O73" s="22"/>
      <c r="P73" s="23"/>
      <c r="Q73" s="21">
        <v>0</v>
      </c>
      <c r="R73" s="22"/>
      <c r="S73" s="23"/>
      <c r="T73" s="21">
        <v>0</v>
      </c>
      <c r="U73" s="22"/>
      <c r="V73" s="23"/>
      <c r="W73" s="21">
        <v>0</v>
      </c>
      <c r="X73" s="22"/>
      <c r="Y73" s="23"/>
      <c r="Z73" s="21">
        <v>0</v>
      </c>
      <c r="AA73" s="22"/>
      <c r="AB73" s="23"/>
      <c r="AC73" s="135">
        <f t="shared" si="7"/>
        <v>99</v>
      </c>
      <c r="AD73" s="135"/>
      <c r="AE73" s="135"/>
      <c r="AF73" s="136">
        <f>AC73/AC103</f>
        <v>2.232133999468256E-4</v>
      </c>
      <c r="AG73" s="139">
        <f>0+AC73</f>
        <v>99</v>
      </c>
      <c r="AH73" s="141"/>
    </row>
    <row r="74" spans="1:34" x14ac:dyDescent="0.25">
      <c r="A74" s="134" t="s">
        <v>75</v>
      </c>
      <c r="B74" s="135">
        <v>6043.01</v>
      </c>
      <c r="C74" s="135"/>
      <c r="D74" s="135"/>
      <c r="E74" s="21">
        <f>191.6+35.42</f>
        <v>227.01999999999998</v>
      </c>
      <c r="F74" s="22"/>
      <c r="G74" s="23"/>
      <c r="H74" s="21">
        <f>51.3</f>
        <v>51.3</v>
      </c>
      <c r="I74" s="22"/>
      <c r="J74" s="23"/>
      <c r="K74" s="21">
        <v>0</v>
      </c>
      <c r="L74" s="22"/>
      <c r="M74" s="23"/>
      <c r="N74" s="21">
        <v>0</v>
      </c>
      <c r="O74" s="22"/>
      <c r="P74" s="23"/>
      <c r="Q74" s="21">
        <f>43.8</f>
        <v>43.8</v>
      </c>
      <c r="R74" s="22"/>
      <c r="S74" s="23"/>
      <c r="T74" s="21">
        <v>0</v>
      </c>
      <c r="U74" s="22"/>
      <c r="V74" s="23"/>
      <c r="W74" s="21">
        <f>47.8</f>
        <v>47.8</v>
      </c>
      <c r="X74" s="22"/>
      <c r="Y74" s="23"/>
      <c r="Z74" s="21">
        <f>48.3+179.8</f>
        <v>228.10000000000002</v>
      </c>
      <c r="AA74" s="22"/>
      <c r="AB74" s="23"/>
      <c r="AC74" s="135">
        <f t="shared" si="7"/>
        <v>598.02</v>
      </c>
      <c r="AD74" s="135"/>
      <c r="AE74" s="135"/>
      <c r="AF74" s="136">
        <f>AC74/AC103</f>
        <v>1.3483442165272792E-3</v>
      </c>
      <c r="AG74" s="137">
        <f>6043.01+AC74</f>
        <v>6641.0300000000007</v>
      </c>
      <c r="AH74" s="137"/>
    </row>
    <row r="75" spans="1:34" x14ac:dyDescent="0.25">
      <c r="A75" s="143" t="s">
        <v>76</v>
      </c>
      <c r="B75" s="135">
        <v>53374.36</v>
      </c>
      <c r="C75" s="135"/>
      <c r="D75" s="135"/>
      <c r="E75" s="21">
        <f>1263.86+290.51</f>
        <v>1554.37</v>
      </c>
      <c r="F75" s="22"/>
      <c r="G75" s="23"/>
      <c r="H75" s="21">
        <f>1413.96+54.44</f>
        <v>1468.4</v>
      </c>
      <c r="I75" s="22"/>
      <c r="J75" s="23"/>
      <c r="K75" s="21">
        <f>1413.96+54.26</f>
        <v>1468.22</v>
      </c>
      <c r="L75" s="22"/>
      <c r="M75" s="23"/>
      <c r="N75" s="21">
        <f>1414.91+54.37</f>
        <v>1469.28</v>
      </c>
      <c r="O75" s="22"/>
      <c r="P75" s="23"/>
      <c r="Q75" s="21">
        <f>1416.52+54.46</f>
        <v>1470.98</v>
      </c>
      <c r="R75" s="22"/>
      <c r="S75" s="23"/>
      <c r="T75" s="21">
        <f>1416.52+54.39</f>
        <v>1470.91</v>
      </c>
      <c r="U75" s="22"/>
      <c r="V75" s="23"/>
      <c r="W75" s="21">
        <f>54.38+1416.52</f>
        <v>1470.9</v>
      </c>
      <c r="X75" s="22"/>
      <c r="Y75" s="23"/>
      <c r="Z75" s="21">
        <f>1416.52+57.32</f>
        <v>1473.84</v>
      </c>
      <c r="AA75" s="22"/>
      <c r="AB75" s="23"/>
      <c r="AC75" s="135">
        <f t="shared" si="7"/>
        <v>11846.9</v>
      </c>
      <c r="AD75" s="135"/>
      <c r="AE75" s="135"/>
      <c r="AF75" s="136">
        <f>AC75/AC103</f>
        <v>2.6710978058889376E-2</v>
      </c>
      <c r="AG75" s="137">
        <f>53374.36+AC75</f>
        <v>65221.26</v>
      </c>
      <c r="AH75" s="137"/>
    </row>
    <row r="76" spans="1:34" x14ac:dyDescent="0.25">
      <c r="A76" s="143" t="s">
        <v>77</v>
      </c>
      <c r="B76" s="135">
        <v>13234.67</v>
      </c>
      <c r="C76" s="135"/>
      <c r="D76" s="135"/>
      <c r="E76" s="21">
        <f>114.99+49.99+154.41</f>
        <v>319.39</v>
      </c>
      <c r="F76" s="22"/>
      <c r="G76" s="23"/>
      <c r="H76" s="21">
        <f>114.99+49.99+155.27</f>
        <v>320.25</v>
      </c>
      <c r="I76" s="22"/>
      <c r="J76" s="23"/>
      <c r="K76" s="21">
        <f>49.99+114.99+149.34</f>
        <v>314.32</v>
      </c>
      <c r="L76" s="22"/>
      <c r="M76" s="23"/>
      <c r="N76" s="21">
        <f>52.23+114.99+116.06</f>
        <v>283.27999999999997</v>
      </c>
      <c r="O76" s="22"/>
      <c r="P76" s="23"/>
      <c r="Q76" s="21">
        <f>52.23+114.99</f>
        <v>167.22</v>
      </c>
      <c r="R76" s="22"/>
      <c r="S76" s="23"/>
      <c r="T76" s="21">
        <f>59.66+52.23+114.99</f>
        <v>226.88</v>
      </c>
      <c r="U76" s="22"/>
      <c r="V76" s="23"/>
      <c r="W76" s="21">
        <f>58.3+114.99+52.23+97.26</f>
        <v>322.77999999999997</v>
      </c>
      <c r="X76" s="22"/>
      <c r="Y76" s="23"/>
      <c r="Z76" s="21">
        <f>52.23+114.47</f>
        <v>166.7</v>
      </c>
      <c r="AA76" s="22"/>
      <c r="AB76" s="23"/>
      <c r="AC76" s="135">
        <f t="shared" si="7"/>
        <v>2120.8200000000002</v>
      </c>
      <c r="AD76" s="135"/>
      <c r="AE76" s="135"/>
      <c r="AF76" s="136">
        <f>AC76/AC103</f>
        <v>4.7817721502548156E-3</v>
      </c>
      <c r="AG76" s="137">
        <f>13234.67+AC76</f>
        <v>15355.49</v>
      </c>
      <c r="AH76" s="137"/>
    </row>
    <row r="77" spans="1:34" x14ac:dyDescent="0.25">
      <c r="A77" s="143" t="s">
        <v>78</v>
      </c>
      <c r="B77" s="135">
        <v>7492.77</v>
      </c>
      <c r="C77" s="135"/>
      <c r="D77" s="135"/>
      <c r="E77" s="21">
        <f>23+11.39+23+23+11.39</f>
        <v>91.78</v>
      </c>
      <c r="F77" s="22"/>
      <c r="G77" s="23"/>
      <c r="H77" s="21">
        <f>10.8+23+23+26.9</f>
        <v>83.699999999999989</v>
      </c>
      <c r="I77" s="22"/>
      <c r="J77" s="23"/>
      <c r="K77" s="21">
        <f>23+23</f>
        <v>46</v>
      </c>
      <c r="L77" s="22"/>
      <c r="M77" s="23"/>
      <c r="N77" s="21">
        <v>0</v>
      </c>
      <c r="O77" s="22"/>
      <c r="P77" s="23"/>
      <c r="Q77" s="21">
        <v>0</v>
      </c>
      <c r="R77" s="22"/>
      <c r="S77" s="23"/>
      <c r="T77" s="21">
        <v>0</v>
      </c>
      <c r="U77" s="22"/>
      <c r="V77" s="23"/>
      <c r="W77" s="21">
        <f>14.99</f>
        <v>14.99</v>
      </c>
      <c r="X77" s="22"/>
      <c r="Y77" s="23"/>
      <c r="Z77" s="21">
        <f>23</f>
        <v>23</v>
      </c>
      <c r="AA77" s="22"/>
      <c r="AB77" s="23"/>
      <c r="AC77" s="135">
        <f t="shared" si="7"/>
        <v>259.47000000000003</v>
      </c>
      <c r="AD77" s="135"/>
      <c r="AE77" s="135"/>
      <c r="AF77" s="136">
        <f>AC77/AC103</f>
        <v>5.850220291333621E-4</v>
      </c>
      <c r="AG77" s="137">
        <f>7492.77+AC77</f>
        <v>7752.2400000000007</v>
      </c>
      <c r="AH77" s="137"/>
    </row>
    <row r="78" spans="1:34" x14ac:dyDescent="0.25">
      <c r="A78" s="143" t="s">
        <v>79</v>
      </c>
      <c r="B78" s="135">
        <v>4171.6000000000004</v>
      </c>
      <c r="C78" s="135"/>
      <c r="D78" s="135"/>
      <c r="E78" s="21">
        <v>0</v>
      </c>
      <c r="F78" s="22"/>
      <c r="G78" s="23"/>
      <c r="H78" s="21">
        <v>0</v>
      </c>
      <c r="I78" s="22"/>
      <c r="J78" s="23"/>
      <c r="K78" s="21">
        <v>0</v>
      </c>
      <c r="L78" s="22"/>
      <c r="M78" s="23"/>
      <c r="N78" s="21">
        <v>0</v>
      </c>
      <c r="O78" s="22"/>
      <c r="P78" s="23"/>
      <c r="Q78" s="21">
        <v>0</v>
      </c>
      <c r="R78" s="22"/>
      <c r="S78" s="23"/>
      <c r="T78" s="21">
        <v>0</v>
      </c>
      <c r="U78" s="22"/>
      <c r="V78" s="23"/>
      <c r="W78" s="21">
        <v>0</v>
      </c>
      <c r="X78" s="22"/>
      <c r="Y78" s="23"/>
      <c r="Z78" s="21">
        <v>0</v>
      </c>
      <c r="AA78" s="22"/>
      <c r="AB78" s="23"/>
      <c r="AC78" s="135">
        <f t="shared" si="7"/>
        <v>0</v>
      </c>
      <c r="AD78" s="135"/>
      <c r="AE78" s="135"/>
      <c r="AF78" s="136">
        <f>AC78/AC103</f>
        <v>0</v>
      </c>
      <c r="AG78" s="137">
        <f>4171.6+AC78</f>
        <v>4171.6000000000004</v>
      </c>
      <c r="AH78" s="137"/>
    </row>
    <row r="79" spans="1:34" x14ac:dyDescent="0.25">
      <c r="A79" s="143" t="s">
        <v>80</v>
      </c>
      <c r="B79" s="135">
        <v>3563.88</v>
      </c>
      <c r="C79" s="135"/>
      <c r="D79" s="135"/>
      <c r="E79" s="21">
        <f>4.99+32.58+19.77+100</f>
        <v>157.34</v>
      </c>
      <c r="F79" s="22"/>
      <c r="G79" s="23"/>
      <c r="H79" s="21">
        <f>27.9</f>
        <v>27.9</v>
      </c>
      <c r="I79" s="22"/>
      <c r="J79" s="23"/>
      <c r="K79" s="21">
        <v>0</v>
      </c>
      <c r="L79" s="22"/>
      <c r="M79" s="23"/>
      <c r="N79" s="21">
        <v>0</v>
      </c>
      <c r="O79" s="22"/>
      <c r="P79" s="23"/>
      <c r="Q79" s="21">
        <v>0</v>
      </c>
      <c r="R79" s="22"/>
      <c r="S79" s="23"/>
      <c r="T79" s="21">
        <v>0</v>
      </c>
      <c r="U79" s="22"/>
      <c r="V79" s="23"/>
      <c r="W79" s="21">
        <v>0</v>
      </c>
      <c r="X79" s="22"/>
      <c r="Y79" s="23"/>
      <c r="Z79" s="21">
        <v>0</v>
      </c>
      <c r="AA79" s="22"/>
      <c r="AB79" s="23"/>
      <c r="AC79" s="135">
        <f t="shared" si="7"/>
        <v>185.24</v>
      </c>
      <c r="AD79" s="135"/>
      <c r="AE79" s="135"/>
      <c r="AF79" s="136">
        <f>AC79/AC103</f>
        <v>4.176570727893937E-4</v>
      </c>
      <c r="AG79" s="137">
        <f>3563.88+AC79</f>
        <v>3749.12</v>
      </c>
      <c r="AH79" s="137"/>
    </row>
    <row r="80" spans="1:34" x14ac:dyDescent="0.25">
      <c r="A80" s="143" t="s">
        <v>81</v>
      </c>
      <c r="B80" s="29">
        <v>0</v>
      </c>
      <c r="C80" s="30"/>
      <c r="D80" s="31"/>
      <c r="E80" s="21">
        <f>2359.55</f>
        <v>2359.5500000000002</v>
      </c>
      <c r="F80" s="22"/>
      <c r="G80" s="23"/>
      <c r="H80" s="21">
        <v>0</v>
      </c>
      <c r="I80" s="22"/>
      <c r="J80" s="23"/>
      <c r="K80" s="21">
        <v>0</v>
      </c>
      <c r="L80" s="22"/>
      <c r="M80" s="23"/>
      <c r="N80" s="21">
        <v>0</v>
      </c>
      <c r="O80" s="22"/>
      <c r="P80" s="23"/>
      <c r="Q80" s="21">
        <v>0</v>
      </c>
      <c r="R80" s="22"/>
      <c r="S80" s="23"/>
      <c r="T80" s="21">
        <v>0</v>
      </c>
      <c r="U80" s="22"/>
      <c r="V80" s="23"/>
      <c r="W80" s="21">
        <v>0</v>
      </c>
      <c r="X80" s="22"/>
      <c r="Y80" s="23"/>
      <c r="Z80" s="21">
        <v>0</v>
      </c>
      <c r="AA80" s="22"/>
      <c r="AB80" s="23"/>
      <c r="AC80" s="135">
        <f t="shared" si="7"/>
        <v>2359.5500000000002</v>
      </c>
      <c r="AD80" s="135"/>
      <c r="AE80" s="135"/>
      <c r="AF80" s="136">
        <f>AC80/AC103</f>
        <v>5.3200320994397209E-3</v>
      </c>
      <c r="AG80" s="137">
        <f>0+AC80</f>
        <v>2359.5500000000002</v>
      </c>
      <c r="AH80" s="137"/>
    </row>
    <row r="81" spans="1:34" x14ac:dyDescent="0.25">
      <c r="A81" s="143" t="s">
        <v>82</v>
      </c>
      <c r="B81" s="135">
        <v>2056.7600000000002</v>
      </c>
      <c r="C81" s="135"/>
      <c r="D81" s="135"/>
      <c r="E81" s="21">
        <v>0</v>
      </c>
      <c r="F81" s="22"/>
      <c r="G81" s="23"/>
      <c r="H81" s="21">
        <v>0</v>
      </c>
      <c r="I81" s="22"/>
      <c r="J81" s="23"/>
      <c r="K81" s="21">
        <v>0</v>
      </c>
      <c r="L81" s="22"/>
      <c r="M81" s="23"/>
      <c r="N81" s="21">
        <v>0</v>
      </c>
      <c r="O81" s="22"/>
      <c r="P81" s="23"/>
      <c r="Q81" s="21">
        <v>0</v>
      </c>
      <c r="R81" s="22"/>
      <c r="S81" s="23"/>
      <c r="T81" s="21">
        <v>0</v>
      </c>
      <c r="U81" s="22"/>
      <c r="V81" s="23"/>
      <c r="W81" s="21">
        <v>0</v>
      </c>
      <c r="X81" s="22"/>
      <c r="Y81" s="23"/>
      <c r="Z81" s="21">
        <v>0</v>
      </c>
      <c r="AA81" s="22"/>
      <c r="AB81" s="23"/>
      <c r="AC81" s="135">
        <f t="shared" si="7"/>
        <v>0</v>
      </c>
      <c r="AD81" s="135"/>
      <c r="AE81" s="135"/>
      <c r="AF81" s="136">
        <f>AC81/AC103</f>
        <v>0</v>
      </c>
      <c r="AG81" s="137">
        <f>2056.76+AC81</f>
        <v>2056.7600000000002</v>
      </c>
      <c r="AH81" s="137"/>
    </row>
    <row r="82" spans="1:34" x14ac:dyDescent="0.25">
      <c r="A82" s="143" t="s">
        <v>83</v>
      </c>
      <c r="B82" s="135">
        <v>147202.01999999999</v>
      </c>
      <c r="C82" s="135"/>
      <c r="D82" s="135"/>
      <c r="E82" s="21">
        <f>1386.11+400</f>
        <v>1786.11</v>
      </c>
      <c r="F82" s="22"/>
      <c r="G82" s="23"/>
      <c r="H82" s="21">
        <f>600+1904.25+2113.13</f>
        <v>4617.38</v>
      </c>
      <c r="I82" s="22"/>
      <c r="J82" s="23"/>
      <c r="K82" s="21">
        <f>600+2242.97+2528.19</f>
        <v>5371.16</v>
      </c>
      <c r="L82" s="22"/>
      <c r="M82" s="23"/>
      <c r="N82" s="21">
        <f>600+2571.62+2246.21</f>
        <v>5417.83</v>
      </c>
      <c r="O82" s="22"/>
      <c r="P82" s="23"/>
      <c r="Q82" s="21">
        <f>600+2654.97+2246.21</f>
        <v>5501.18</v>
      </c>
      <c r="R82" s="22"/>
      <c r="S82" s="23"/>
      <c r="T82" s="21">
        <f>600+2759.14+2246.23</f>
        <v>5605.37</v>
      </c>
      <c r="U82" s="22"/>
      <c r="V82" s="23"/>
      <c r="W82" s="21">
        <f>2759.14+2441.19+600+1280.38</f>
        <v>7080.71</v>
      </c>
      <c r="X82" s="22"/>
      <c r="Y82" s="23"/>
      <c r="Z82" s="21">
        <f>600+1876.62+2246.23</f>
        <v>4722.8500000000004</v>
      </c>
      <c r="AA82" s="22"/>
      <c r="AB82" s="23"/>
      <c r="AC82" s="135">
        <f t="shared" si="7"/>
        <v>40102.589999999997</v>
      </c>
      <c r="AD82" s="135"/>
      <c r="AE82" s="135"/>
      <c r="AF82" s="136">
        <f>AC82/AC103</f>
        <v>9.0418540005793621E-2</v>
      </c>
      <c r="AG82" s="137">
        <f>147202.02+AC82</f>
        <v>187304.61</v>
      </c>
      <c r="AH82" s="137"/>
    </row>
    <row r="83" spans="1:34" x14ac:dyDescent="0.25">
      <c r="A83" s="143" t="s">
        <v>84</v>
      </c>
      <c r="B83" s="135">
        <v>119812.42</v>
      </c>
      <c r="C83" s="135"/>
      <c r="D83" s="135"/>
      <c r="E83" s="21">
        <f>35+47+47+14.1+94+488.27+380.7+503+47.63+66.81+66.81+31.4+45.25+47.63+1493.53+1493.53+78.96</f>
        <v>4980.62</v>
      </c>
      <c r="F83" s="22"/>
      <c r="G83" s="23"/>
      <c r="H83" s="21">
        <f>183.3+201.63+528+606.3+21.12</f>
        <v>1540.35</v>
      </c>
      <c r="I83" s="22"/>
      <c r="J83" s="23"/>
      <c r="K83" s="21">
        <f>184.98+532+449.62+93.29+61.2+371.3+677+1537.6</f>
        <v>3906.99</v>
      </c>
      <c r="L83" s="22"/>
      <c r="M83" s="23"/>
      <c r="N83" s="21">
        <f>449.62+97.24+1754.17+61.2+677</f>
        <v>3039.23</v>
      </c>
      <c r="O83" s="22"/>
      <c r="P83" s="23"/>
      <c r="Q83" s="21">
        <f>449.62+97.24+56.2+1754.17+709</f>
        <v>3066.23</v>
      </c>
      <c r="R83" s="22"/>
      <c r="S83" s="23"/>
      <c r="T83" s="21">
        <f>449.62+1854.14+549</f>
        <v>2852.76</v>
      </c>
      <c r="U83" s="22"/>
      <c r="V83" s="23"/>
      <c r="W83" s="21">
        <f>58.59+113.06+449.62+19.16+1835.58+699</f>
        <v>3175.0099999999998</v>
      </c>
      <c r="X83" s="22"/>
      <c r="Y83" s="23"/>
      <c r="Z83" s="21">
        <f>480.15+27.75+60.01+1891.33+108.1+699</f>
        <v>3266.3399999999997</v>
      </c>
      <c r="AA83" s="22"/>
      <c r="AB83" s="23"/>
      <c r="AC83" s="135">
        <f>0+E83+H83+K83+N83+Q83+T83+W83+Z83</f>
        <v>25827.53</v>
      </c>
      <c r="AD83" s="135"/>
      <c r="AE83" s="135"/>
      <c r="AF83" s="136">
        <f>AC83/AC103</f>
        <v>5.8232836197258955E-2</v>
      </c>
      <c r="AG83" s="137">
        <f>119812.42+AC83</f>
        <v>145639.95000000001</v>
      </c>
      <c r="AH83" s="137"/>
    </row>
    <row r="84" spans="1:34" x14ac:dyDescent="0.25">
      <c r="A84" s="127" t="s">
        <v>85</v>
      </c>
      <c r="B84" s="128">
        <f>SUM(B85:D89)</f>
        <v>21260.080000000002</v>
      </c>
      <c r="C84" s="128"/>
      <c r="D84" s="128"/>
      <c r="E84" s="129">
        <f>SUM(E85:G89)</f>
        <v>189.5</v>
      </c>
      <c r="F84" s="130"/>
      <c r="G84" s="131"/>
      <c r="H84" s="129">
        <f>SUM(H85:J89)</f>
        <v>34</v>
      </c>
      <c r="I84" s="130"/>
      <c r="J84" s="131"/>
      <c r="K84" s="129">
        <f>SUM(K85:M89)</f>
        <v>165.2</v>
      </c>
      <c r="L84" s="130"/>
      <c r="M84" s="131"/>
      <c r="N84" s="129">
        <f>SUM(N85:P89)</f>
        <v>0</v>
      </c>
      <c r="O84" s="130"/>
      <c r="P84" s="131"/>
      <c r="Q84" s="129">
        <f>SUM(Q85:S89)</f>
        <v>174.45999999999998</v>
      </c>
      <c r="R84" s="130"/>
      <c r="S84" s="131"/>
      <c r="T84" s="129">
        <f>SUM(T85:V89)</f>
        <v>237.11</v>
      </c>
      <c r="U84" s="130"/>
      <c r="V84" s="131"/>
      <c r="W84" s="129">
        <f>SUM(W85:Y89)</f>
        <v>116.2</v>
      </c>
      <c r="X84" s="130"/>
      <c r="Y84" s="131"/>
      <c r="Z84" s="129">
        <f>SUM(Z85:AB89)</f>
        <v>285.23</v>
      </c>
      <c r="AA84" s="130"/>
      <c r="AB84" s="131"/>
      <c r="AC84" s="144">
        <f>SUM(AC85:AE89)</f>
        <v>1201.6999999999998</v>
      </c>
      <c r="AD84" s="145"/>
      <c r="AE84" s="146"/>
      <c r="AF84" s="132">
        <f>AC84/AC103</f>
        <v>2.7094499264252556E-3</v>
      </c>
      <c r="AG84" s="133">
        <f>SUM(AG85:AH89)</f>
        <v>22461.78</v>
      </c>
      <c r="AH84" s="133"/>
    </row>
    <row r="85" spans="1:34" x14ac:dyDescent="0.25">
      <c r="A85" s="134" t="s">
        <v>86</v>
      </c>
      <c r="B85" s="135">
        <v>4832.0600000000004</v>
      </c>
      <c r="C85" s="135"/>
      <c r="D85" s="135"/>
      <c r="E85" s="21">
        <v>0</v>
      </c>
      <c r="F85" s="22"/>
      <c r="G85" s="23"/>
      <c r="H85" s="21">
        <v>0</v>
      </c>
      <c r="I85" s="22"/>
      <c r="J85" s="23"/>
      <c r="K85" s="21">
        <v>0</v>
      </c>
      <c r="L85" s="22"/>
      <c r="M85" s="23"/>
      <c r="N85" s="21">
        <v>0</v>
      </c>
      <c r="O85" s="22"/>
      <c r="P85" s="23"/>
      <c r="Q85" s="21">
        <v>0</v>
      </c>
      <c r="R85" s="22"/>
      <c r="S85" s="23"/>
      <c r="T85" s="21">
        <v>0</v>
      </c>
      <c r="U85" s="22"/>
      <c r="V85" s="23"/>
      <c r="W85" s="21">
        <v>0</v>
      </c>
      <c r="X85" s="22"/>
      <c r="Y85" s="23"/>
      <c r="Z85" s="21">
        <v>0</v>
      </c>
      <c r="AA85" s="22"/>
      <c r="AB85" s="23"/>
      <c r="AC85" s="29">
        <f>0+E85+H85+K85+N85+Q85+T85+W85+Z85</f>
        <v>0</v>
      </c>
      <c r="AD85" s="30"/>
      <c r="AE85" s="31"/>
      <c r="AF85" s="136">
        <f>AC85/AC103</f>
        <v>0</v>
      </c>
      <c r="AG85" s="137">
        <f>4832.06+AC85</f>
        <v>4832.0600000000004</v>
      </c>
      <c r="AH85" s="137"/>
    </row>
    <row r="86" spans="1:34" x14ac:dyDescent="0.25">
      <c r="A86" s="134" t="s">
        <v>87</v>
      </c>
      <c r="B86" s="29">
        <v>0</v>
      </c>
      <c r="C86" s="30"/>
      <c r="D86" s="31"/>
      <c r="E86" s="21">
        <v>0</v>
      </c>
      <c r="F86" s="22"/>
      <c r="G86" s="23"/>
      <c r="H86" s="21">
        <v>0</v>
      </c>
      <c r="I86" s="22"/>
      <c r="J86" s="23"/>
      <c r="K86" s="21">
        <v>0</v>
      </c>
      <c r="L86" s="22"/>
      <c r="M86" s="23"/>
      <c r="N86" s="21">
        <v>0</v>
      </c>
      <c r="O86" s="22"/>
      <c r="P86" s="23"/>
      <c r="Q86" s="21">
        <v>0</v>
      </c>
      <c r="R86" s="22"/>
      <c r="S86" s="23"/>
      <c r="T86" s="21">
        <v>0</v>
      </c>
      <c r="U86" s="22"/>
      <c r="V86" s="23"/>
      <c r="W86" s="21">
        <v>0</v>
      </c>
      <c r="X86" s="22"/>
      <c r="Y86" s="23"/>
      <c r="Z86" s="21">
        <v>0</v>
      </c>
      <c r="AA86" s="22"/>
      <c r="AB86" s="23"/>
      <c r="AC86" s="29">
        <f t="shared" ref="AC86:AC89" si="8">0+E86+H86+K86+N86+Q86+T86+W86+Z86</f>
        <v>0</v>
      </c>
      <c r="AD86" s="30"/>
      <c r="AE86" s="31"/>
      <c r="AF86" s="136">
        <f>AC86/AC103</f>
        <v>0</v>
      </c>
      <c r="AG86" s="137">
        <f t="shared" ref="AG86" si="9">0+AC86</f>
        <v>0</v>
      </c>
      <c r="AH86" s="137"/>
    </row>
    <row r="87" spans="1:34" x14ac:dyDescent="0.25">
      <c r="A87" s="134" t="s">
        <v>88</v>
      </c>
      <c r="B87" s="29">
        <v>1100</v>
      </c>
      <c r="C87" s="30"/>
      <c r="D87" s="31"/>
      <c r="E87" s="21">
        <f>17</f>
        <v>17</v>
      </c>
      <c r="F87" s="22"/>
      <c r="G87" s="23"/>
      <c r="H87" s="21">
        <f>17+17</f>
        <v>34</v>
      </c>
      <c r="I87" s="22"/>
      <c r="J87" s="23"/>
      <c r="K87" s="21">
        <f>17+27</f>
        <v>44</v>
      </c>
      <c r="L87" s="22"/>
      <c r="M87" s="23"/>
      <c r="N87" s="21">
        <v>0</v>
      </c>
      <c r="O87" s="22"/>
      <c r="P87" s="23"/>
      <c r="Q87" s="21">
        <f>17+15</f>
        <v>32</v>
      </c>
      <c r="R87" s="22"/>
      <c r="S87" s="23"/>
      <c r="T87" s="21">
        <f>17+15+31.04+29.71+17.66</f>
        <v>110.41</v>
      </c>
      <c r="U87" s="22"/>
      <c r="V87" s="23"/>
      <c r="W87" s="21">
        <f>15+17</f>
        <v>32</v>
      </c>
      <c r="X87" s="22"/>
      <c r="Y87" s="23"/>
      <c r="Z87" s="21">
        <f>17+14</f>
        <v>31</v>
      </c>
      <c r="AA87" s="22"/>
      <c r="AB87" s="23"/>
      <c r="AC87" s="29">
        <f t="shared" si="8"/>
        <v>300.40999999999997</v>
      </c>
      <c r="AD87" s="30"/>
      <c r="AE87" s="31"/>
      <c r="AF87" s="136">
        <f>AC87/AC103</f>
        <v>6.7732866139420074E-4</v>
      </c>
      <c r="AG87" s="137">
        <f>1100+AC87</f>
        <v>1400.4099999999999</v>
      </c>
      <c r="AH87" s="137"/>
    </row>
    <row r="88" spans="1:34" x14ac:dyDescent="0.25">
      <c r="A88" s="134" t="s">
        <v>89</v>
      </c>
      <c r="B88" s="29">
        <v>14793.96</v>
      </c>
      <c r="C88" s="30"/>
      <c r="D88" s="31"/>
      <c r="E88" s="21">
        <f>35.1+107.4</f>
        <v>142.5</v>
      </c>
      <c r="F88" s="22"/>
      <c r="G88" s="23"/>
      <c r="H88" s="21">
        <v>0</v>
      </c>
      <c r="I88" s="22"/>
      <c r="J88" s="23"/>
      <c r="K88" s="21">
        <f>44.3+35.1</f>
        <v>79.400000000000006</v>
      </c>
      <c r="L88" s="22"/>
      <c r="M88" s="23"/>
      <c r="N88" s="21">
        <v>0</v>
      </c>
      <c r="O88" s="22"/>
      <c r="P88" s="23"/>
      <c r="Q88" s="21">
        <f>9.2+35.1+38.2</f>
        <v>82.5</v>
      </c>
      <c r="R88" s="22"/>
      <c r="S88" s="23"/>
      <c r="T88" s="21">
        <f>45.8+80.9</f>
        <v>126.7</v>
      </c>
      <c r="U88" s="22"/>
      <c r="V88" s="23"/>
      <c r="W88" s="21">
        <f>49.1+35.1</f>
        <v>84.2</v>
      </c>
      <c r="X88" s="22"/>
      <c r="Y88" s="23"/>
      <c r="Z88" s="21">
        <f>74.1+35.1+12.85+70.2+20.35</f>
        <v>212.6</v>
      </c>
      <c r="AA88" s="22"/>
      <c r="AB88" s="23"/>
      <c r="AC88" s="29">
        <f t="shared" si="8"/>
        <v>727.9</v>
      </c>
      <c r="AD88" s="30"/>
      <c r="AE88" s="31"/>
      <c r="AF88" s="136">
        <f>AC88/AC103</f>
        <v>1.6411821598110541E-3</v>
      </c>
      <c r="AG88" s="137">
        <f>14793.96+AC88</f>
        <v>15521.859999999999</v>
      </c>
      <c r="AH88" s="137"/>
    </row>
    <row r="89" spans="1:34" x14ac:dyDescent="0.25">
      <c r="A89" s="134" t="s">
        <v>90</v>
      </c>
      <c r="B89" s="29">
        <v>534.05999999999995</v>
      </c>
      <c r="C89" s="30"/>
      <c r="D89" s="31"/>
      <c r="E89" s="21">
        <f>16+14</f>
        <v>30</v>
      </c>
      <c r="F89" s="22"/>
      <c r="G89" s="23"/>
      <c r="H89" s="21">
        <v>0</v>
      </c>
      <c r="I89" s="22"/>
      <c r="J89" s="23"/>
      <c r="K89" s="21">
        <f>11.6+15.2+15</f>
        <v>41.8</v>
      </c>
      <c r="L89" s="22"/>
      <c r="M89" s="23"/>
      <c r="N89" s="21">
        <v>0</v>
      </c>
      <c r="O89" s="22"/>
      <c r="P89" s="23"/>
      <c r="Q89" s="21">
        <f>11+15.3+33.66</f>
        <v>59.959999999999994</v>
      </c>
      <c r="R89" s="22"/>
      <c r="S89" s="23"/>
      <c r="T89" s="21">
        <v>0</v>
      </c>
      <c r="U89" s="22"/>
      <c r="V89" s="23"/>
      <c r="W89" s="21">
        <v>0</v>
      </c>
      <c r="X89" s="22"/>
      <c r="Y89" s="23"/>
      <c r="Z89" s="21">
        <f>33.23+8.4</f>
        <v>41.629999999999995</v>
      </c>
      <c r="AA89" s="22"/>
      <c r="AB89" s="23"/>
      <c r="AC89" s="29">
        <f t="shared" si="8"/>
        <v>173.39</v>
      </c>
      <c r="AD89" s="30"/>
      <c r="AE89" s="31"/>
      <c r="AF89" s="136">
        <f>AC89/AC103</f>
        <v>3.9093910522000088E-4</v>
      </c>
      <c r="AG89" s="137">
        <f>534.06+AC89</f>
        <v>707.44999999999993</v>
      </c>
      <c r="AH89" s="137"/>
    </row>
    <row r="90" spans="1:34" x14ac:dyDescent="0.25">
      <c r="A90" s="127" t="s">
        <v>91</v>
      </c>
      <c r="B90" s="144">
        <f>SUM(B91:D94)</f>
        <v>273602.88</v>
      </c>
      <c r="C90" s="145"/>
      <c r="D90" s="146"/>
      <c r="E90" s="129">
        <f>SUM(E91:G94)</f>
        <v>10089.06</v>
      </c>
      <c r="F90" s="130"/>
      <c r="G90" s="131"/>
      <c r="H90" s="129">
        <f t="shared" ref="H90" si="10">SUM(H91:J94)</f>
        <v>200</v>
      </c>
      <c r="I90" s="130"/>
      <c r="J90" s="131"/>
      <c r="K90" s="129">
        <f t="shared" ref="K90" si="11">SUM(K91:M94)</f>
        <v>300</v>
      </c>
      <c r="L90" s="130"/>
      <c r="M90" s="131"/>
      <c r="N90" s="129">
        <f t="shared" ref="N90" si="12">SUM(N91:P94)</f>
        <v>0</v>
      </c>
      <c r="O90" s="130"/>
      <c r="P90" s="131"/>
      <c r="Q90" s="129">
        <f t="shared" ref="Q90" si="13">SUM(Q91:S94)</f>
        <v>5783.0499999999993</v>
      </c>
      <c r="R90" s="130"/>
      <c r="S90" s="131"/>
      <c r="T90" s="129">
        <f t="shared" ref="T90" si="14">SUM(T91:V94)</f>
        <v>0</v>
      </c>
      <c r="U90" s="130"/>
      <c r="V90" s="131"/>
      <c r="W90" s="129">
        <f t="shared" ref="W90" si="15">SUM(W91:Y94)</f>
        <v>0</v>
      </c>
      <c r="X90" s="130"/>
      <c r="Y90" s="131"/>
      <c r="Z90" s="129">
        <f t="shared" ref="Z90" si="16">SUM(Z91:AB94)</f>
        <v>461</v>
      </c>
      <c r="AA90" s="130"/>
      <c r="AB90" s="131"/>
      <c r="AC90" s="144">
        <f>SUM(AC91:AE94)</f>
        <v>16833.11</v>
      </c>
      <c r="AD90" s="145"/>
      <c r="AE90" s="146"/>
      <c r="AF90" s="132">
        <f>AC90/AC103</f>
        <v>3.7953290048271818E-2</v>
      </c>
      <c r="AG90" s="133">
        <f>SUM(AG91:AH94)</f>
        <v>290435.99</v>
      </c>
      <c r="AH90" s="133"/>
    </row>
    <row r="91" spans="1:34" x14ac:dyDescent="0.25">
      <c r="A91" s="134" t="s">
        <v>92</v>
      </c>
      <c r="B91" s="29">
        <f>93359.5</f>
        <v>93359.5</v>
      </c>
      <c r="C91" s="30"/>
      <c r="D91" s="31"/>
      <c r="E91" s="21">
        <f>9027.03+667.8</f>
        <v>9694.83</v>
      </c>
      <c r="F91" s="22"/>
      <c r="G91" s="23"/>
      <c r="H91" s="21">
        <v>0</v>
      </c>
      <c r="I91" s="22"/>
      <c r="J91" s="23"/>
      <c r="K91" s="21">
        <v>0</v>
      </c>
      <c r="L91" s="22"/>
      <c r="M91" s="23"/>
      <c r="N91" s="21">
        <v>0</v>
      </c>
      <c r="O91" s="22"/>
      <c r="P91" s="23"/>
      <c r="Q91" s="21">
        <f>4279.9+1503.15</f>
        <v>5783.0499999999993</v>
      </c>
      <c r="R91" s="22"/>
      <c r="S91" s="23"/>
      <c r="T91" s="21">
        <v>0</v>
      </c>
      <c r="U91" s="22"/>
      <c r="V91" s="23"/>
      <c r="W91" s="21">
        <v>0</v>
      </c>
      <c r="X91" s="22"/>
      <c r="Y91" s="23"/>
      <c r="Z91" s="21">
        <f>200+201</f>
        <v>401</v>
      </c>
      <c r="AA91" s="22"/>
      <c r="AB91" s="23"/>
      <c r="AC91" s="29">
        <f>0+E91+H91+K91+N91+Q91+T91+W91+Z91</f>
        <v>15878.88</v>
      </c>
      <c r="AD91" s="30"/>
      <c r="AE91" s="31"/>
      <c r="AF91" s="136">
        <f>AC91/AC103</f>
        <v>3.5801805981289396E-2</v>
      </c>
      <c r="AG91" s="137">
        <f>93359.5+AC91</f>
        <v>109238.38</v>
      </c>
      <c r="AH91" s="137"/>
    </row>
    <row r="92" spans="1:34" x14ac:dyDescent="0.25">
      <c r="A92" s="134" t="s">
        <v>93</v>
      </c>
      <c r="B92" s="29">
        <v>1000</v>
      </c>
      <c r="C92" s="30"/>
      <c r="D92" s="31"/>
      <c r="E92" s="21">
        <v>0</v>
      </c>
      <c r="F92" s="22"/>
      <c r="G92" s="23"/>
      <c r="H92" s="21">
        <f>200</f>
        <v>200</v>
      </c>
      <c r="I92" s="22"/>
      <c r="J92" s="23"/>
      <c r="K92" s="21">
        <v>0</v>
      </c>
      <c r="L92" s="22"/>
      <c r="M92" s="23"/>
      <c r="N92" s="21">
        <v>0</v>
      </c>
      <c r="O92" s="22"/>
      <c r="P92" s="23"/>
      <c r="Q92" s="21">
        <v>0</v>
      </c>
      <c r="R92" s="22"/>
      <c r="S92" s="23"/>
      <c r="T92" s="21">
        <v>0</v>
      </c>
      <c r="U92" s="22"/>
      <c r="V92" s="23"/>
      <c r="W92" s="21">
        <v>0</v>
      </c>
      <c r="X92" s="22"/>
      <c r="Y92" s="23"/>
      <c r="Z92" s="21">
        <v>0</v>
      </c>
      <c r="AA92" s="22"/>
      <c r="AB92" s="23"/>
      <c r="AC92" s="29">
        <f t="shared" ref="AC92:AC94" si="17">0+E92+H92+K92+N92+Q92+T92+W92+Z92</f>
        <v>200</v>
      </c>
      <c r="AD92" s="30"/>
      <c r="AE92" s="31"/>
      <c r="AF92" s="136">
        <f>AC92/AC103</f>
        <v>4.509361615087386E-4</v>
      </c>
      <c r="AG92" s="137">
        <f>1000+AC92</f>
        <v>1200</v>
      </c>
      <c r="AH92" s="137"/>
    </row>
    <row r="93" spans="1:34" x14ac:dyDescent="0.25">
      <c r="A93" s="134" t="s">
        <v>94</v>
      </c>
      <c r="B93" s="29">
        <v>179183.38</v>
      </c>
      <c r="C93" s="30"/>
      <c r="D93" s="31"/>
      <c r="E93" s="21">
        <f>20+20+20+20+20+20+100+174.23</f>
        <v>394.23</v>
      </c>
      <c r="F93" s="22"/>
      <c r="G93" s="23"/>
      <c r="H93" s="21">
        <v>0</v>
      </c>
      <c r="I93" s="22"/>
      <c r="J93" s="23"/>
      <c r="K93" s="21">
        <f>120+180</f>
        <v>300</v>
      </c>
      <c r="L93" s="22"/>
      <c r="M93" s="23"/>
      <c r="N93" s="21">
        <v>0</v>
      </c>
      <c r="O93" s="22"/>
      <c r="P93" s="23"/>
      <c r="Q93" s="21">
        <v>0</v>
      </c>
      <c r="R93" s="22"/>
      <c r="S93" s="23"/>
      <c r="T93" s="21">
        <v>0</v>
      </c>
      <c r="U93" s="22"/>
      <c r="V93" s="23"/>
      <c r="W93" s="21">
        <v>0</v>
      </c>
      <c r="X93" s="22"/>
      <c r="Y93" s="23"/>
      <c r="Z93" s="21">
        <v>0</v>
      </c>
      <c r="AA93" s="22"/>
      <c r="AB93" s="23"/>
      <c r="AC93" s="29">
        <f t="shared" si="17"/>
        <v>694.23</v>
      </c>
      <c r="AD93" s="30"/>
      <c r="AE93" s="31"/>
      <c r="AF93" s="136">
        <f>AC93/AC103</f>
        <v>1.565267057021058E-3</v>
      </c>
      <c r="AG93" s="137">
        <f>179183.38+AC93</f>
        <v>179877.61000000002</v>
      </c>
      <c r="AH93" s="137"/>
    </row>
    <row r="94" spans="1:34" x14ac:dyDescent="0.25">
      <c r="A94" s="134" t="s">
        <v>95</v>
      </c>
      <c r="B94" s="29">
        <v>60</v>
      </c>
      <c r="C94" s="30"/>
      <c r="D94" s="31"/>
      <c r="E94" s="21">
        <v>0</v>
      </c>
      <c r="F94" s="22"/>
      <c r="G94" s="23"/>
      <c r="H94" s="21">
        <v>0</v>
      </c>
      <c r="I94" s="22"/>
      <c r="J94" s="23"/>
      <c r="K94" s="21">
        <v>0</v>
      </c>
      <c r="L94" s="22"/>
      <c r="M94" s="23"/>
      <c r="N94" s="21">
        <v>0</v>
      </c>
      <c r="O94" s="22"/>
      <c r="P94" s="23"/>
      <c r="Q94" s="21">
        <v>0</v>
      </c>
      <c r="R94" s="22"/>
      <c r="S94" s="23"/>
      <c r="T94" s="21">
        <v>0</v>
      </c>
      <c r="U94" s="22"/>
      <c r="V94" s="23"/>
      <c r="W94" s="21">
        <v>0</v>
      </c>
      <c r="X94" s="22"/>
      <c r="Y94" s="23"/>
      <c r="Z94" s="21">
        <f>60</f>
        <v>60</v>
      </c>
      <c r="AA94" s="22"/>
      <c r="AB94" s="23"/>
      <c r="AC94" s="29">
        <f t="shared" si="17"/>
        <v>60</v>
      </c>
      <c r="AD94" s="30"/>
      <c r="AE94" s="31"/>
      <c r="AF94" s="136">
        <f>AC94/AC103</f>
        <v>1.3528084845262157E-4</v>
      </c>
      <c r="AG94" s="137">
        <f>60+AC94</f>
        <v>120</v>
      </c>
      <c r="AH94" s="137"/>
    </row>
    <row r="95" spans="1:34" x14ac:dyDescent="0.25">
      <c r="A95" s="127" t="s">
        <v>96</v>
      </c>
      <c r="B95" s="144">
        <f>SUM(B96:D102)</f>
        <v>178248.91999999998</v>
      </c>
      <c r="C95" s="145"/>
      <c r="D95" s="146"/>
      <c r="E95" s="129">
        <f>SUM(E96:G102)</f>
        <v>4770.4400000000005</v>
      </c>
      <c r="F95" s="130"/>
      <c r="G95" s="131"/>
      <c r="H95" s="129">
        <f t="shared" ref="H95" si="18">SUM(H96:J102)</f>
        <v>6178.1900000000005</v>
      </c>
      <c r="I95" s="130"/>
      <c r="J95" s="131"/>
      <c r="K95" s="129">
        <f t="shared" ref="K95" si="19">SUM(K96:M102)</f>
        <v>8814.16</v>
      </c>
      <c r="L95" s="130"/>
      <c r="M95" s="131"/>
      <c r="N95" s="129">
        <f t="shared" ref="N95" si="20">SUM(N96:P102)</f>
        <v>0</v>
      </c>
      <c r="O95" s="130"/>
      <c r="P95" s="131"/>
      <c r="Q95" s="129">
        <f t="shared" ref="Q95" si="21">SUM(Q96:S102)</f>
        <v>0</v>
      </c>
      <c r="R95" s="130"/>
      <c r="S95" s="131"/>
      <c r="T95" s="129">
        <f t="shared" ref="T95" si="22">SUM(T96:V102)</f>
        <v>0</v>
      </c>
      <c r="U95" s="130"/>
      <c r="V95" s="131"/>
      <c r="W95" s="129">
        <f t="shared" ref="W95" si="23">SUM(W96:Y102)</f>
        <v>0</v>
      </c>
      <c r="X95" s="130"/>
      <c r="Y95" s="131"/>
      <c r="Z95" s="129">
        <f t="shared" ref="Z95" si="24">SUM(Z96:AB102)</f>
        <v>0</v>
      </c>
      <c r="AA95" s="130"/>
      <c r="AB95" s="131"/>
      <c r="AC95" s="144">
        <f>SUM(AC96:AE102)</f>
        <v>19762.79</v>
      </c>
      <c r="AD95" s="145"/>
      <c r="AE95" s="146"/>
      <c r="AF95" s="132">
        <f>AC95/AC103</f>
        <v>4.4558783316516422E-2</v>
      </c>
      <c r="AG95" s="133">
        <f>SUM(AG96:AH102)</f>
        <v>198011.71000000002</v>
      </c>
      <c r="AH95" s="133"/>
    </row>
    <row r="96" spans="1:34" x14ac:dyDescent="0.25">
      <c r="A96" s="143" t="s">
        <v>97</v>
      </c>
      <c r="B96" s="29">
        <v>74980.759999999995</v>
      </c>
      <c r="C96" s="30"/>
      <c r="D96" s="31"/>
      <c r="E96" s="21">
        <v>2616.9499999999998</v>
      </c>
      <c r="F96" s="22"/>
      <c r="G96" s="23"/>
      <c r="H96" s="21">
        <f>1710.68+355.51+1760.11</f>
        <v>3826.3</v>
      </c>
      <c r="I96" s="22"/>
      <c r="J96" s="23"/>
      <c r="K96" s="21">
        <f>1556.68+1195.41</f>
        <v>2752.09</v>
      </c>
      <c r="L96" s="22"/>
      <c r="M96" s="23"/>
      <c r="N96" s="21">
        <v>0</v>
      </c>
      <c r="O96" s="22"/>
      <c r="P96" s="23"/>
      <c r="Q96" s="21">
        <v>0</v>
      </c>
      <c r="R96" s="22"/>
      <c r="S96" s="23"/>
      <c r="T96" s="21">
        <v>0</v>
      </c>
      <c r="U96" s="22"/>
      <c r="V96" s="23"/>
      <c r="W96" s="21">
        <v>0</v>
      </c>
      <c r="X96" s="22"/>
      <c r="Y96" s="23"/>
      <c r="Z96" s="21">
        <v>0</v>
      </c>
      <c r="AA96" s="22"/>
      <c r="AB96" s="23"/>
      <c r="AC96" s="29">
        <f>0+E96+H96+K96+N96+Q96+T96+W96+Z96</f>
        <v>9195.34</v>
      </c>
      <c r="AD96" s="30"/>
      <c r="AE96" s="31"/>
      <c r="AF96" s="136">
        <f>AC96/AC103</f>
        <v>2.0732556616838822E-2</v>
      </c>
      <c r="AG96" s="137">
        <f>74980.76+AC96</f>
        <v>84176.099999999991</v>
      </c>
      <c r="AH96" s="137"/>
    </row>
    <row r="97" spans="1:34" x14ac:dyDescent="0.25">
      <c r="A97" s="143" t="s">
        <v>98</v>
      </c>
      <c r="B97" s="29">
        <v>19327.43</v>
      </c>
      <c r="C97" s="30"/>
      <c r="D97" s="31"/>
      <c r="E97" s="21">
        <v>0</v>
      </c>
      <c r="F97" s="22"/>
      <c r="G97" s="23"/>
      <c r="H97" s="21">
        <f>1034</f>
        <v>1034</v>
      </c>
      <c r="I97" s="22"/>
      <c r="J97" s="23"/>
      <c r="K97" s="21">
        <v>0</v>
      </c>
      <c r="L97" s="22"/>
      <c r="M97" s="23"/>
      <c r="N97" s="21">
        <v>0</v>
      </c>
      <c r="O97" s="22"/>
      <c r="P97" s="23"/>
      <c r="Q97" s="21">
        <v>0</v>
      </c>
      <c r="R97" s="22"/>
      <c r="S97" s="23"/>
      <c r="T97" s="21">
        <v>0</v>
      </c>
      <c r="U97" s="22"/>
      <c r="V97" s="23"/>
      <c r="W97" s="21">
        <v>0</v>
      </c>
      <c r="X97" s="22"/>
      <c r="Y97" s="23"/>
      <c r="Z97" s="21">
        <v>0</v>
      </c>
      <c r="AA97" s="22"/>
      <c r="AB97" s="23"/>
      <c r="AC97" s="29">
        <f t="shared" ref="AC97:AC102" si="25">0+E97+H97+K97+N97+Q97+T97+W97+Z97</f>
        <v>1034</v>
      </c>
      <c r="AD97" s="30"/>
      <c r="AE97" s="31"/>
      <c r="AF97" s="136">
        <f>AC97/AC103</f>
        <v>2.3313399550001783E-3</v>
      </c>
      <c r="AG97" s="137">
        <f>19327.43+AC97</f>
        <v>20361.43</v>
      </c>
      <c r="AH97" s="137"/>
    </row>
    <row r="98" spans="1:34" x14ac:dyDescent="0.25">
      <c r="A98" s="143" t="s">
        <v>99</v>
      </c>
      <c r="B98" s="29">
        <v>24884.52</v>
      </c>
      <c r="C98" s="30"/>
      <c r="D98" s="31"/>
      <c r="E98" s="21">
        <f>751.76</f>
        <v>751.76</v>
      </c>
      <c r="F98" s="22"/>
      <c r="G98" s="23"/>
      <c r="H98" s="21">
        <f>1317.89</f>
        <v>1317.89</v>
      </c>
      <c r="I98" s="22"/>
      <c r="J98" s="23"/>
      <c r="K98" s="21">
        <f>858</f>
        <v>858</v>
      </c>
      <c r="L98" s="22"/>
      <c r="M98" s="23"/>
      <c r="N98" s="21">
        <v>0</v>
      </c>
      <c r="O98" s="22"/>
      <c r="P98" s="23"/>
      <c r="Q98" s="21">
        <v>0</v>
      </c>
      <c r="R98" s="22"/>
      <c r="S98" s="23"/>
      <c r="T98" s="21">
        <v>0</v>
      </c>
      <c r="U98" s="22"/>
      <c r="V98" s="23"/>
      <c r="W98" s="21">
        <v>0</v>
      </c>
      <c r="X98" s="22"/>
      <c r="Y98" s="23"/>
      <c r="Z98" s="21">
        <v>0</v>
      </c>
      <c r="AA98" s="22"/>
      <c r="AB98" s="23"/>
      <c r="AC98" s="29">
        <f t="shared" si="25"/>
        <v>2927.65</v>
      </c>
      <c r="AD98" s="30"/>
      <c r="AE98" s="31"/>
      <c r="AF98" s="136">
        <f>AC98/AC103</f>
        <v>6.6009162662052931E-3</v>
      </c>
      <c r="AG98" s="137">
        <f>24884.52+AC98</f>
        <v>27812.170000000002</v>
      </c>
      <c r="AH98" s="137"/>
    </row>
    <row r="99" spans="1:34" x14ac:dyDescent="0.25">
      <c r="A99" s="143" t="s">
        <v>100</v>
      </c>
      <c r="B99" s="29">
        <v>6131.04</v>
      </c>
      <c r="C99" s="30"/>
      <c r="D99" s="31"/>
      <c r="E99" s="21">
        <v>0</v>
      </c>
      <c r="F99" s="22"/>
      <c r="G99" s="23"/>
      <c r="H99" s="21">
        <v>0</v>
      </c>
      <c r="I99" s="22"/>
      <c r="J99" s="23"/>
      <c r="K99" s="21">
        <f>1527.85</f>
        <v>1527.85</v>
      </c>
      <c r="L99" s="22"/>
      <c r="M99" s="23"/>
      <c r="N99" s="21">
        <v>0</v>
      </c>
      <c r="O99" s="22"/>
      <c r="P99" s="23"/>
      <c r="Q99" s="21">
        <v>0</v>
      </c>
      <c r="R99" s="22"/>
      <c r="S99" s="23"/>
      <c r="T99" s="21">
        <v>0</v>
      </c>
      <c r="U99" s="22"/>
      <c r="V99" s="23"/>
      <c r="W99" s="21">
        <v>0</v>
      </c>
      <c r="X99" s="22"/>
      <c r="Y99" s="23"/>
      <c r="Z99" s="21">
        <v>0</v>
      </c>
      <c r="AA99" s="22"/>
      <c r="AB99" s="23"/>
      <c r="AC99" s="29">
        <f t="shared" si="25"/>
        <v>1527.85</v>
      </c>
      <c r="AD99" s="30"/>
      <c r="AE99" s="31"/>
      <c r="AF99" s="147">
        <f>AC99/AC103</f>
        <v>3.4448140718056309E-3</v>
      </c>
      <c r="AG99" s="137">
        <f>6131.04+AC99</f>
        <v>7658.8899999999994</v>
      </c>
      <c r="AH99" s="137"/>
    </row>
    <row r="100" spans="1:34" x14ac:dyDescent="0.25">
      <c r="A100" s="143" t="s">
        <v>101</v>
      </c>
      <c r="B100" s="29">
        <v>8096.72</v>
      </c>
      <c r="C100" s="30"/>
      <c r="D100" s="31"/>
      <c r="E100" s="21">
        <v>0</v>
      </c>
      <c r="F100" s="22"/>
      <c r="G100" s="23"/>
      <c r="H100" s="21">
        <v>0</v>
      </c>
      <c r="I100" s="22"/>
      <c r="J100" s="23"/>
      <c r="K100" s="21">
        <f>774.85</f>
        <v>774.85</v>
      </c>
      <c r="L100" s="22"/>
      <c r="M100" s="23"/>
      <c r="N100" s="21">
        <v>0</v>
      </c>
      <c r="O100" s="22"/>
      <c r="P100" s="23"/>
      <c r="Q100" s="21">
        <v>0</v>
      </c>
      <c r="R100" s="22"/>
      <c r="S100" s="23"/>
      <c r="T100" s="21">
        <v>0</v>
      </c>
      <c r="U100" s="22"/>
      <c r="V100" s="23"/>
      <c r="W100" s="21">
        <v>0</v>
      </c>
      <c r="X100" s="22"/>
      <c r="Y100" s="23"/>
      <c r="Z100" s="21">
        <v>0</v>
      </c>
      <c r="AA100" s="22"/>
      <c r="AB100" s="23"/>
      <c r="AC100" s="29">
        <f t="shared" si="25"/>
        <v>774.85</v>
      </c>
      <c r="AD100" s="30"/>
      <c r="AE100" s="31"/>
      <c r="AF100" s="136">
        <f>AC100/AC103</f>
        <v>1.7470394237252306E-3</v>
      </c>
      <c r="AG100" s="137">
        <f>8096.72+AC100</f>
        <v>8871.57</v>
      </c>
      <c r="AH100" s="137"/>
    </row>
    <row r="101" spans="1:34" x14ac:dyDescent="0.25">
      <c r="A101" s="143" t="s">
        <v>102</v>
      </c>
      <c r="B101" s="29">
        <v>14414.08</v>
      </c>
      <c r="C101" s="30"/>
      <c r="D101" s="31"/>
      <c r="E101" s="21">
        <v>0</v>
      </c>
      <c r="F101" s="22"/>
      <c r="G101" s="23"/>
      <c r="H101" s="21">
        <v>0</v>
      </c>
      <c r="I101" s="22"/>
      <c r="J101" s="23"/>
      <c r="K101" s="21">
        <v>0</v>
      </c>
      <c r="L101" s="22"/>
      <c r="M101" s="23"/>
      <c r="N101" s="21">
        <v>0</v>
      </c>
      <c r="O101" s="22"/>
      <c r="P101" s="23"/>
      <c r="Q101" s="21">
        <v>0</v>
      </c>
      <c r="R101" s="22"/>
      <c r="S101" s="23"/>
      <c r="T101" s="21">
        <v>0</v>
      </c>
      <c r="U101" s="22"/>
      <c r="V101" s="23"/>
      <c r="W101" s="21">
        <v>0</v>
      </c>
      <c r="X101" s="22"/>
      <c r="Y101" s="23"/>
      <c r="Z101" s="21">
        <v>0</v>
      </c>
      <c r="AA101" s="22"/>
      <c r="AB101" s="23"/>
      <c r="AC101" s="29">
        <f t="shared" si="25"/>
        <v>0</v>
      </c>
      <c r="AD101" s="30"/>
      <c r="AE101" s="31"/>
      <c r="AF101" s="136">
        <f>AC101/AC103</f>
        <v>0</v>
      </c>
      <c r="AG101" s="137">
        <f>14414.08+AC101</f>
        <v>14414.08</v>
      </c>
      <c r="AH101" s="137"/>
    </row>
    <row r="102" spans="1:34" x14ac:dyDescent="0.25">
      <c r="A102" s="143" t="s">
        <v>103</v>
      </c>
      <c r="B102" s="29">
        <v>30414.37</v>
      </c>
      <c r="C102" s="30"/>
      <c r="D102" s="31"/>
      <c r="E102" s="21">
        <f>1045.9+241.2+12.73+21.9+30+50</f>
        <v>1401.7300000000002</v>
      </c>
      <c r="F102" s="22"/>
      <c r="G102" s="23"/>
      <c r="H102" s="21">
        <v>0</v>
      </c>
      <c r="I102" s="22"/>
      <c r="J102" s="23"/>
      <c r="K102" s="21">
        <f>2901.37</f>
        <v>2901.37</v>
      </c>
      <c r="L102" s="22"/>
      <c r="M102" s="23"/>
      <c r="N102" s="21">
        <v>0</v>
      </c>
      <c r="O102" s="22"/>
      <c r="P102" s="23"/>
      <c r="Q102" s="21">
        <v>0</v>
      </c>
      <c r="R102" s="22"/>
      <c r="S102" s="23"/>
      <c r="T102" s="21">
        <v>0</v>
      </c>
      <c r="U102" s="22"/>
      <c r="V102" s="23"/>
      <c r="W102" s="21">
        <v>0</v>
      </c>
      <c r="X102" s="22"/>
      <c r="Y102" s="23"/>
      <c r="Z102" s="21">
        <v>0</v>
      </c>
      <c r="AA102" s="22"/>
      <c r="AB102" s="23"/>
      <c r="AC102" s="29">
        <f t="shared" si="25"/>
        <v>4303.1000000000004</v>
      </c>
      <c r="AD102" s="30"/>
      <c r="AE102" s="31"/>
      <c r="AF102" s="136">
        <f>AC102/AC103</f>
        <v>9.7021169829412668E-3</v>
      </c>
      <c r="AG102" s="137">
        <f>30414.37+AC102</f>
        <v>34717.47</v>
      </c>
      <c r="AH102" s="137"/>
    </row>
    <row r="103" spans="1:34" x14ac:dyDescent="0.25">
      <c r="A103" s="148" t="s">
        <v>104</v>
      </c>
      <c r="B103" s="149">
        <v>665976.37</v>
      </c>
      <c r="C103" s="150"/>
      <c r="D103" s="151"/>
      <c r="E103" s="149">
        <f>E33+E42+E46+E50+E64+E69+E84+E90+E95</f>
        <v>60661.509999999995</v>
      </c>
      <c r="F103" s="150"/>
      <c r="G103" s="151"/>
      <c r="H103" s="149">
        <f>H33+H42+H46+H50+H64+H69+H84+H90+H95</f>
        <v>41855.070000000007</v>
      </c>
      <c r="I103" s="150"/>
      <c r="J103" s="151"/>
      <c r="K103" s="149">
        <f>K33+K42+K46+K50+K64+K69+K84+K90+K95</f>
        <v>48116</v>
      </c>
      <c r="L103" s="150"/>
      <c r="M103" s="151"/>
      <c r="N103" s="149">
        <f>N33+N42+N46+N50+N64+N69+N84+N90+N95</f>
        <v>72473.42</v>
      </c>
      <c r="O103" s="150"/>
      <c r="P103" s="151"/>
      <c r="Q103" s="149">
        <f>Q33+Q42+Q46+Q50+Q64+Q69+Q84+Q90+Q95</f>
        <v>60471.19</v>
      </c>
      <c r="R103" s="150"/>
      <c r="S103" s="151"/>
      <c r="T103" s="149">
        <f>T33+T42+T46+T50+T64+T69+T84+T90+T95</f>
        <v>82771.33</v>
      </c>
      <c r="U103" s="150"/>
      <c r="V103" s="151"/>
      <c r="W103" s="149">
        <f>W33+W42+W46+W50+W64+W69+W84+W90+W95</f>
        <v>33141.39</v>
      </c>
      <c r="X103" s="150"/>
      <c r="Y103" s="151"/>
      <c r="Z103" s="149">
        <f>Z33+Z42+Z46+Z50+Z64+Z69+Z84+Z90+Z95</f>
        <v>44031.850000000006</v>
      </c>
      <c r="AA103" s="150"/>
      <c r="AB103" s="151"/>
      <c r="AC103" s="149">
        <f>SUM(AC33+AC42+AC46+AC50+AC64+AC69+AC84+AC90+AC95)</f>
        <v>443521.76</v>
      </c>
      <c r="AD103" s="150"/>
      <c r="AE103" s="151"/>
      <c r="AF103" s="152">
        <f>AC103/AC103</f>
        <v>1</v>
      </c>
      <c r="AG103" s="153">
        <f>SUM(AG33+AG42+AG46+AG50+AG64+AG69+AG84+AG90+AG95)</f>
        <v>2479722.9000000004</v>
      </c>
      <c r="AH103" s="153"/>
    </row>
    <row r="104" spans="1:34" x14ac:dyDescent="0.25">
      <c r="A104" s="154" t="s">
        <v>105</v>
      </c>
      <c r="B104" s="155">
        <f>D27-B105</f>
        <v>2150247.92</v>
      </c>
      <c r="C104" s="156"/>
      <c r="D104" s="157"/>
      <c r="E104" s="158">
        <f>G27-E103</f>
        <v>63337.280000000013</v>
      </c>
      <c r="F104" s="158"/>
      <c r="G104" s="158"/>
      <c r="H104" s="158">
        <f>J27-H103</f>
        <v>79118.739999999991</v>
      </c>
      <c r="I104" s="158"/>
      <c r="J104" s="158"/>
      <c r="K104" s="158">
        <f>M27-K103</f>
        <v>-39763.53</v>
      </c>
      <c r="L104" s="158"/>
      <c r="M104" s="158"/>
      <c r="N104" s="158">
        <f>P27-N103</f>
        <v>49000.380000000005</v>
      </c>
      <c r="O104" s="158"/>
      <c r="P104" s="158"/>
      <c r="Q104" s="158">
        <f>S27-Q103</f>
        <v>-53036.22</v>
      </c>
      <c r="R104" s="158"/>
      <c r="S104" s="158"/>
      <c r="T104" s="158">
        <f>V27-T103</f>
        <v>38238.990000000005</v>
      </c>
      <c r="U104" s="158"/>
      <c r="V104" s="158"/>
      <c r="W104" s="158">
        <f>Y27-W103</f>
        <v>-26645.759999999998</v>
      </c>
      <c r="X104" s="158"/>
      <c r="Y104" s="158"/>
      <c r="Z104" s="158">
        <f>AB27-Z103</f>
        <v>85346.12</v>
      </c>
      <c r="AA104" s="158"/>
      <c r="AB104" s="158"/>
      <c r="AC104" s="159">
        <f>AE27-AC103</f>
        <v>195596.00000000012</v>
      </c>
      <c r="AD104" s="159"/>
      <c r="AE104" s="159"/>
      <c r="AF104" s="160">
        <f>AH27-AG103</f>
        <v>2345843.92</v>
      </c>
      <c r="AG104" s="160"/>
      <c r="AH104" s="160"/>
    </row>
    <row r="105" spans="1:34" x14ac:dyDescent="0.25">
      <c r="A105" s="161" t="s">
        <v>106</v>
      </c>
      <c r="B105" s="162">
        <v>2036201.14</v>
      </c>
      <c r="C105" s="162"/>
      <c r="D105" s="162"/>
      <c r="E105" s="163"/>
      <c r="F105" s="163"/>
      <c r="G105" s="163"/>
      <c r="H105" s="164"/>
      <c r="I105" s="164"/>
      <c r="J105" s="163"/>
      <c r="K105" s="164"/>
      <c r="L105" s="164"/>
      <c r="M105" s="163"/>
      <c r="N105" s="164"/>
      <c r="O105" s="164"/>
      <c r="P105" s="163"/>
      <c r="Q105" s="164"/>
      <c r="R105" s="164"/>
      <c r="S105" s="163"/>
      <c r="T105" s="164"/>
      <c r="U105" s="164"/>
      <c r="V105" s="163"/>
      <c r="W105" s="164"/>
      <c r="X105" s="164"/>
      <c r="Y105" s="163"/>
      <c r="Z105" s="164"/>
      <c r="AA105" s="164"/>
      <c r="AB105" s="163"/>
      <c r="AC105" s="164"/>
      <c r="AD105" s="164"/>
      <c r="AE105" s="164"/>
      <c r="AF105" s="165"/>
      <c r="AG105" s="165"/>
      <c r="AH105" s="165"/>
    </row>
    <row r="106" spans="1:34" x14ac:dyDescent="0.25">
      <c r="A106" s="166"/>
      <c r="B106" s="167"/>
      <c r="C106" s="167"/>
      <c r="D106" s="167"/>
      <c r="E106" s="167"/>
      <c r="F106" s="167"/>
      <c r="G106" s="167"/>
      <c r="H106" s="167"/>
      <c r="I106" s="167"/>
      <c r="J106" s="167"/>
      <c r="K106" s="167"/>
      <c r="L106" s="167"/>
      <c r="M106" s="167"/>
      <c r="N106" s="167"/>
      <c r="O106" s="167"/>
      <c r="P106" s="167"/>
      <c r="Q106" s="167"/>
      <c r="R106" s="167"/>
      <c r="S106" s="167"/>
      <c r="T106" s="167"/>
      <c r="U106" s="167"/>
      <c r="V106" s="167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</row>
    <row r="107" spans="1:34" ht="15" customHeight="1" x14ac:dyDescent="0.25">
      <c r="A107" s="168"/>
      <c r="B107" s="168"/>
      <c r="C107" s="168"/>
      <c r="D107" s="168"/>
      <c r="E107" s="168"/>
      <c r="F107" s="168"/>
      <c r="G107" s="168"/>
      <c r="H107" s="167"/>
      <c r="I107" s="167"/>
      <c r="J107" s="167"/>
      <c r="K107" s="167"/>
      <c r="L107" s="167"/>
      <c r="M107" s="167"/>
      <c r="N107" s="167"/>
      <c r="O107" s="167"/>
      <c r="P107" s="167"/>
      <c r="Q107" s="167"/>
      <c r="R107" s="167"/>
      <c r="S107" s="167"/>
      <c r="T107" s="167"/>
      <c r="U107" s="167"/>
      <c r="V107" s="167"/>
      <c r="W107" s="167"/>
      <c r="X107" s="167"/>
      <c r="Y107" s="167"/>
      <c r="Z107" s="167"/>
      <c r="AA107" s="167"/>
      <c r="AB107" s="167"/>
      <c r="AC107" s="167"/>
      <c r="AD107" s="167"/>
      <c r="AE107" s="167"/>
      <c r="AF107" s="167"/>
      <c r="AG107" s="167"/>
      <c r="AH107" s="167"/>
    </row>
    <row r="108" spans="1:34" x14ac:dyDescent="0.25">
      <c r="A108" s="169" t="s">
        <v>107</v>
      </c>
      <c r="B108" s="170" t="s">
        <v>108</v>
      </c>
      <c r="C108" s="171"/>
      <c r="D108" s="171"/>
      <c r="E108" s="172" t="s">
        <v>4</v>
      </c>
      <c r="F108" s="173"/>
      <c r="G108" s="174"/>
      <c r="H108" s="175" t="s">
        <v>5</v>
      </c>
      <c r="I108" s="175"/>
      <c r="J108" s="175"/>
      <c r="K108" s="175" t="s">
        <v>6</v>
      </c>
      <c r="L108" s="175"/>
      <c r="M108" s="175"/>
      <c r="N108" s="175" t="s">
        <v>7</v>
      </c>
      <c r="O108" s="175"/>
      <c r="P108" s="175"/>
      <c r="Q108" s="175" t="s">
        <v>8</v>
      </c>
      <c r="R108" s="175"/>
      <c r="S108" s="175"/>
      <c r="T108" s="176" t="s">
        <v>9</v>
      </c>
      <c r="U108" s="176"/>
      <c r="V108" s="176"/>
      <c r="W108" s="176" t="s">
        <v>10</v>
      </c>
      <c r="X108" s="176"/>
      <c r="Y108" s="176"/>
      <c r="Z108" s="176" t="s">
        <v>11</v>
      </c>
      <c r="AA108" s="176"/>
      <c r="AB108" s="176"/>
      <c r="AC108" s="177"/>
      <c r="AD108" s="177"/>
      <c r="AE108" s="177"/>
      <c r="AF108" s="177"/>
      <c r="AG108" s="177"/>
      <c r="AH108" s="177"/>
    </row>
    <row r="109" spans="1:34" x14ac:dyDescent="0.25">
      <c r="A109" s="178" t="s">
        <v>109</v>
      </c>
      <c r="B109" s="179">
        <f>344608.99</f>
        <v>344608.99</v>
      </c>
      <c r="C109" s="180"/>
      <c r="D109" s="181"/>
      <c r="E109" s="182">
        <f>B109+103000+1258.22-33476.8-48.46</f>
        <v>415341.94999999995</v>
      </c>
      <c r="F109" s="183"/>
      <c r="G109" s="184"/>
      <c r="H109" s="38">
        <f>E109-33646.97+989.67-72.49</f>
        <v>382612.16</v>
      </c>
      <c r="I109" s="38"/>
      <c r="J109" s="38"/>
      <c r="K109" s="38">
        <f>H109+100000-36971.24-103.47+1353.08</f>
        <v>446890.53</v>
      </c>
      <c r="L109" s="38"/>
      <c r="M109" s="38"/>
      <c r="N109" s="182">
        <f>K109+994.9-163-53478.09</f>
        <v>394244.34000000008</v>
      </c>
      <c r="O109" s="183"/>
      <c r="P109" s="184"/>
      <c r="Q109" s="185">
        <f>N109+766.4-808.1-56378.6</f>
        <v>337824.04000000015</v>
      </c>
      <c r="R109" s="185"/>
      <c r="S109" s="185"/>
      <c r="T109" s="185">
        <f>Q109+573.82-97.86-70257.38</f>
        <v>268042.62000000017</v>
      </c>
      <c r="U109" s="185"/>
      <c r="V109" s="185"/>
      <c r="W109" s="185">
        <f>T109+397.83-28480.77-46.61</f>
        <v>239913.07000000021</v>
      </c>
      <c r="X109" s="185"/>
      <c r="Y109" s="185"/>
      <c r="Z109" s="185">
        <f>W109-23014.71-43.74+282.95</f>
        <v>217137.57000000024</v>
      </c>
      <c r="AA109" s="185"/>
      <c r="AB109" s="185"/>
      <c r="AC109" s="177"/>
      <c r="AD109" s="177"/>
      <c r="AE109" s="177"/>
      <c r="AF109" s="177"/>
      <c r="AG109" s="177"/>
      <c r="AH109" s="177"/>
    </row>
    <row r="110" spans="1:34" x14ac:dyDescent="0.25">
      <c r="A110" s="178" t="s">
        <v>110</v>
      </c>
      <c r="B110" s="179">
        <v>675639.54</v>
      </c>
      <c r="C110" s="180"/>
      <c r="D110" s="181"/>
      <c r="E110" s="182">
        <f>B110+100000+2528.85</f>
        <v>778168.39</v>
      </c>
      <c r="F110" s="183"/>
      <c r="G110" s="184"/>
      <c r="H110" s="38">
        <f>E110+2097.79</f>
        <v>780266.18</v>
      </c>
      <c r="I110" s="38"/>
      <c r="J110" s="38"/>
      <c r="K110" s="38">
        <f>H110+748.68</f>
        <v>781014.8600000001</v>
      </c>
      <c r="L110" s="38"/>
      <c r="M110" s="38"/>
      <c r="N110" s="139">
        <f>K110-462.33</f>
        <v>780552.53000000014</v>
      </c>
      <c r="O110" s="140"/>
      <c r="P110" s="141"/>
      <c r="Q110" s="137">
        <f>N110+2494.19-1448.28</f>
        <v>781598.44000000006</v>
      </c>
      <c r="R110" s="137"/>
      <c r="S110" s="137"/>
      <c r="T110" s="185">
        <f>Q110+1968.57</f>
        <v>783567.01</v>
      </c>
      <c r="U110" s="185"/>
      <c r="V110" s="185"/>
      <c r="W110" s="185">
        <f>T110+100000+2362.86</f>
        <v>885929.87</v>
      </c>
      <c r="X110" s="185"/>
      <c r="Y110" s="185"/>
      <c r="Z110" s="185">
        <f>W110+1202.2</f>
        <v>887132.07</v>
      </c>
      <c r="AA110" s="185"/>
      <c r="AB110" s="185"/>
      <c r="AE110" s="186"/>
      <c r="AF110" s="186"/>
      <c r="AG110" s="186"/>
      <c r="AH110" s="186"/>
    </row>
    <row r="111" spans="1:34" x14ac:dyDescent="0.25">
      <c r="A111" s="178" t="s">
        <v>111</v>
      </c>
      <c r="B111" s="179">
        <v>0</v>
      </c>
      <c r="C111" s="180"/>
      <c r="D111" s="181"/>
      <c r="E111" s="182">
        <v>0</v>
      </c>
      <c r="F111" s="183"/>
      <c r="G111" s="184"/>
      <c r="H111" s="182">
        <v>0</v>
      </c>
      <c r="I111" s="183"/>
      <c r="J111" s="184"/>
      <c r="K111" s="182">
        <v>0</v>
      </c>
      <c r="L111" s="183"/>
      <c r="M111" s="184"/>
      <c r="N111" s="182">
        <f>100000+25.38</f>
        <v>100025.38</v>
      </c>
      <c r="O111" s="183"/>
      <c r="P111" s="184"/>
      <c r="Q111" s="185">
        <f>N111+209.71-35.26</f>
        <v>100199.83000000002</v>
      </c>
      <c r="R111" s="185"/>
      <c r="S111" s="185"/>
      <c r="T111" s="185">
        <f>Q111+184.59</f>
        <v>100384.42000000001</v>
      </c>
      <c r="U111" s="185"/>
      <c r="V111" s="185"/>
      <c r="W111" s="185">
        <f>T111+161.21</f>
        <v>100545.63000000002</v>
      </c>
      <c r="X111" s="185"/>
      <c r="Y111" s="185"/>
      <c r="Z111" s="185">
        <f>W111+129.87</f>
        <v>100675.50000000001</v>
      </c>
      <c r="AA111" s="185"/>
      <c r="AB111" s="185"/>
      <c r="AC111" s="177"/>
      <c r="AD111" s="177"/>
      <c r="AE111" s="177"/>
      <c r="AF111" s="177"/>
      <c r="AG111" s="177"/>
      <c r="AH111" s="177"/>
    </row>
    <row r="112" spans="1:34" x14ac:dyDescent="0.25">
      <c r="A112" s="178" t="s">
        <v>112</v>
      </c>
      <c r="B112" s="179">
        <v>1016116.05</v>
      </c>
      <c r="C112" s="180"/>
      <c r="D112" s="181"/>
      <c r="E112" s="182">
        <f>B112+3456.99</f>
        <v>1019573.04</v>
      </c>
      <c r="F112" s="183"/>
      <c r="G112" s="184"/>
      <c r="H112" s="38">
        <f>E112+2306.35</f>
        <v>1021879.39</v>
      </c>
      <c r="I112" s="38"/>
      <c r="J112" s="38"/>
      <c r="K112" s="38">
        <f>H112+2670.71</f>
        <v>1024550.1</v>
      </c>
      <c r="L112" s="38"/>
      <c r="M112" s="38"/>
      <c r="N112" s="182">
        <f>K112+2243.52</f>
        <v>1026793.62</v>
      </c>
      <c r="O112" s="183"/>
      <c r="P112" s="184"/>
      <c r="Q112" s="185">
        <f>N112+1884.67</f>
        <v>1028678.29</v>
      </c>
      <c r="R112" s="185"/>
      <c r="S112" s="185"/>
      <c r="T112" s="185">
        <f>Q112+1703.34</f>
        <v>1030381.63</v>
      </c>
      <c r="U112" s="185"/>
      <c r="V112" s="185"/>
      <c r="W112" s="185">
        <f>T112+2538.73</f>
        <v>1032920.36</v>
      </c>
      <c r="X112" s="185"/>
      <c r="Y112" s="185"/>
      <c r="Z112" s="185">
        <f>W112+1317.95</f>
        <v>1034238.3099999999</v>
      </c>
      <c r="AA112" s="185"/>
      <c r="AB112" s="185"/>
      <c r="AC112" s="177"/>
      <c r="AD112" s="177"/>
      <c r="AE112" s="187"/>
      <c r="AF112" s="187"/>
      <c r="AG112" s="177"/>
      <c r="AH112" s="177"/>
    </row>
    <row r="113" spans="1:34" x14ac:dyDescent="0.25">
      <c r="A113" s="178" t="s">
        <v>113</v>
      </c>
      <c r="B113" s="179">
        <v>113425.27</v>
      </c>
      <c r="C113" s="180"/>
      <c r="D113" s="181"/>
      <c r="E113" s="139">
        <f>B113+447.4-113872.67</f>
        <v>0</v>
      </c>
      <c r="F113" s="140"/>
      <c r="G113" s="141"/>
      <c r="H113" s="137">
        <v>0</v>
      </c>
      <c r="I113" s="137"/>
      <c r="J113" s="137"/>
      <c r="K113" s="137">
        <f>0</f>
        <v>0</v>
      </c>
      <c r="L113" s="137"/>
      <c r="M113" s="137"/>
      <c r="N113" s="182">
        <v>0</v>
      </c>
      <c r="O113" s="183"/>
      <c r="P113" s="184"/>
      <c r="Q113" s="185">
        <v>0</v>
      </c>
      <c r="R113" s="185"/>
      <c r="S113" s="185"/>
      <c r="T113" s="185">
        <f>0</f>
        <v>0</v>
      </c>
      <c r="U113" s="185"/>
      <c r="V113" s="185"/>
      <c r="W113" s="185">
        <f>0</f>
        <v>0</v>
      </c>
      <c r="X113" s="185"/>
      <c r="Y113" s="185"/>
      <c r="Z113" s="185">
        <v>0</v>
      </c>
      <c r="AA113" s="185"/>
      <c r="AB113" s="185"/>
      <c r="AC113" s="177"/>
      <c r="AD113" s="177"/>
      <c r="AE113" s="177"/>
      <c r="AF113" s="177"/>
      <c r="AG113" s="177"/>
      <c r="AH113" s="177"/>
    </row>
    <row r="114" spans="1:34" x14ac:dyDescent="0.25">
      <c r="A114" s="188" t="s">
        <v>114</v>
      </c>
      <c r="B114" s="189">
        <f>SUM(B109:D113)</f>
        <v>2149789.85</v>
      </c>
      <c r="C114" s="190"/>
      <c r="D114" s="191"/>
      <c r="E114" s="189">
        <f>SUM(E109:G113)</f>
        <v>2213083.38</v>
      </c>
      <c r="F114" s="190"/>
      <c r="G114" s="191"/>
      <c r="H114" s="192">
        <f>SUM(H109:J113)</f>
        <v>2184757.73</v>
      </c>
      <c r="I114" s="192"/>
      <c r="J114" s="192"/>
      <c r="K114" s="192">
        <f>SUM(K109:M113)</f>
        <v>2252455.4900000002</v>
      </c>
      <c r="L114" s="192"/>
      <c r="M114" s="192"/>
      <c r="N114" s="192">
        <f>SUM(N109:P113)</f>
        <v>2301615.87</v>
      </c>
      <c r="O114" s="192"/>
      <c r="P114" s="192"/>
      <c r="Q114" s="192">
        <f>SUM(Q109:S113)</f>
        <v>2248300.6000000006</v>
      </c>
      <c r="R114" s="192"/>
      <c r="S114" s="192"/>
      <c r="T114" s="192">
        <f>SUM(T109:V113)</f>
        <v>2182375.6800000002</v>
      </c>
      <c r="U114" s="192"/>
      <c r="V114" s="192"/>
      <c r="W114" s="193">
        <f>SUM(W109:Y113)</f>
        <v>2259308.9300000002</v>
      </c>
      <c r="X114" s="193"/>
      <c r="Y114" s="193"/>
      <c r="Z114" s="193">
        <f>SUM(Z109:AB113)</f>
        <v>2239183.4500000002</v>
      </c>
      <c r="AA114" s="193"/>
      <c r="AB114" s="193"/>
      <c r="AC114" s="177"/>
      <c r="AD114" s="177"/>
      <c r="AE114" s="177"/>
      <c r="AF114" s="177"/>
      <c r="AG114" s="177"/>
      <c r="AH114" s="177"/>
    </row>
    <row r="115" spans="1:34" x14ac:dyDescent="0.25">
      <c r="A115" s="194" t="s">
        <v>115</v>
      </c>
      <c r="B115" s="195"/>
      <c r="C115" s="195"/>
      <c r="D115" s="195"/>
      <c r="E115" s="195"/>
      <c r="F115" s="195"/>
      <c r="G115" s="195"/>
      <c r="H115" s="195"/>
      <c r="I115" s="195"/>
      <c r="J115" s="195"/>
      <c r="K115" s="195"/>
      <c r="L115" s="195"/>
      <c r="M115" s="195"/>
      <c r="N115" s="195"/>
      <c r="O115" s="195"/>
      <c r="P115" s="195"/>
      <c r="Q115" s="177"/>
      <c r="R115" s="177"/>
      <c r="S115" s="195"/>
      <c r="T115" s="177"/>
      <c r="U115" s="177"/>
      <c r="V115" s="195"/>
      <c r="W115" s="177"/>
      <c r="X115" s="177"/>
      <c r="Y115" s="195"/>
      <c r="Z115" s="177"/>
      <c r="AA115" s="177"/>
      <c r="AB115" s="195"/>
      <c r="AC115" s="177"/>
      <c r="AD115" s="177"/>
      <c r="AE115" s="177"/>
      <c r="AF115" s="177"/>
      <c r="AG115" s="177"/>
      <c r="AH115" s="177"/>
    </row>
    <row r="116" spans="1:34" x14ac:dyDescent="0.25">
      <c r="A116" s="196" t="s">
        <v>116</v>
      </c>
      <c r="B116" s="195"/>
      <c r="C116" s="195"/>
      <c r="D116" s="195"/>
      <c r="E116" s="195"/>
      <c r="F116" s="195"/>
      <c r="Q116" s="177"/>
      <c r="R116" s="177"/>
      <c r="T116" s="177"/>
      <c r="U116" s="177"/>
      <c r="W116" s="177"/>
      <c r="X116" s="177"/>
      <c r="Z116" s="177"/>
      <c r="AA116" s="177"/>
      <c r="AC116" s="177"/>
      <c r="AD116" s="177"/>
      <c r="AE116" s="177"/>
      <c r="AF116" s="177"/>
      <c r="AG116" s="177"/>
      <c r="AH116" s="177"/>
    </row>
    <row r="117" spans="1:34" x14ac:dyDescent="0.25">
      <c r="A117" s="196" t="s">
        <v>117</v>
      </c>
      <c r="B117" s="195"/>
      <c r="C117" s="195"/>
      <c r="D117" s="195"/>
      <c r="E117" s="195"/>
      <c r="F117" s="195"/>
      <c r="Q117" s="177"/>
      <c r="R117" s="177"/>
      <c r="T117" s="177"/>
      <c r="U117" s="177"/>
      <c r="W117" s="177"/>
      <c r="X117" s="177"/>
      <c r="Z117" s="177"/>
      <c r="AA117" s="177"/>
      <c r="AC117" s="177"/>
      <c r="AD117" s="177"/>
      <c r="AE117" s="177"/>
      <c r="AF117" s="177"/>
      <c r="AG117" s="177"/>
      <c r="AH117" s="177"/>
    </row>
    <row r="118" spans="1:34" x14ac:dyDescent="0.25">
      <c r="A118" s="197" t="s">
        <v>118</v>
      </c>
      <c r="B118" s="197"/>
      <c r="C118" s="197"/>
      <c r="D118" s="197"/>
      <c r="E118" s="197"/>
      <c r="F118" s="197"/>
      <c r="G118" s="197"/>
      <c r="H118" s="197"/>
      <c r="I118" s="197"/>
      <c r="J118" s="197"/>
      <c r="K118" s="197"/>
      <c r="L118" s="197"/>
      <c r="M118" s="197"/>
      <c r="N118" s="197"/>
      <c r="O118" s="197"/>
      <c r="P118" s="197"/>
      <c r="Q118" s="197"/>
      <c r="R118" s="197"/>
      <c r="S118" s="197"/>
      <c r="T118" s="197"/>
      <c r="U118" s="197"/>
      <c r="V118" s="197"/>
      <c r="W118" s="197"/>
      <c r="X118" s="197"/>
      <c r="Y118" s="197"/>
      <c r="Z118" s="197"/>
      <c r="AA118" s="197"/>
      <c r="AB118" s="197"/>
      <c r="AC118" s="197"/>
      <c r="AD118" s="197"/>
      <c r="AE118" s="197"/>
      <c r="AF118" s="197"/>
      <c r="AG118" s="197"/>
      <c r="AH118" s="197"/>
    </row>
    <row r="119" spans="1:34" x14ac:dyDescent="0.25">
      <c r="A119" s="198" t="s">
        <v>119</v>
      </c>
      <c r="B119" s="198"/>
      <c r="C119" s="198"/>
      <c r="D119" s="198"/>
      <c r="E119" s="198"/>
      <c r="F119" s="198"/>
      <c r="G119" s="195"/>
      <c r="H119" s="198"/>
      <c r="I119" s="198"/>
      <c r="J119" s="195"/>
      <c r="K119" s="198"/>
      <c r="L119" s="198"/>
      <c r="M119" s="195"/>
      <c r="N119" s="198"/>
      <c r="O119" s="198"/>
      <c r="P119" s="195"/>
      <c r="Q119" s="198"/>
      <c r="R119" s="198"/>
      <c r="S119" s="195"/>
      <c r="T119" s="198"/>
      <c r="U119" s="198"/>
      <c r="V119" s="195"/>
      <c r="W119" s="198"/>
      <c r="X119" s="198"/>
      <c r="Y119" s="195"/>
      <c r="Z119" s="198"/>
      <c r="AA119" s="198"/>
      <c r="AB119" s="195"/>
      <c r="AC119" s="198"/>
      <c r="AD119" s="198"/>
      <c r="AE119" s="198"/>
      <c r="AF119" s="198"/>
      <c r="AG119" s="198"/>
      <c r="AH119" s="198"/>
    </row>
    <row r="120" spans="1:34" x14ac:dyDescent="0.25">
      <c r="A120" s="198" t="s">
        <v>120</v>
      </c>
      <c r="B120" s="198"/>
      <c r="C120" s="198"/>
      <c r="D120" s="198"/>
      <c r="E120" s="198"/>
      <c r="F120" s="198"/>
      <c r="G120" s="195"/>
      <c r="H120" s="198"/>
      <c r="I120" s="198"/>
      <c r="J120" s="195"/>
      <c r="K120" s="198"/>
      <c r="L120" s="198"/>
      <c r="M120" s="195"/>
      <c r="N120" s="198"/>
      <c r="O120" s="198"/>
      <c r="P120" s="195"/>
      <c r="Q120" s="198"/>
      <c r="R120" s="198"/>
      <c r="S120" s="195"/>
      <c r="T120" s="198"/>
      <c r="U120" s="198"/>
      <c r="V120" s="195"/>
      <c r="W120" s="198"/>
      <c r="X120" s="198"/>
      <c r="Y120" s="195"/>
      <c r="Z120" s="198"/>
      <c r="AA120" s="198"/>
      <c r="AB120" s="195"/>
      <c r="AC120" s="198"/>
      <c r="AD120" s="198"/>
      <c r="AE120" s="198"/>
      <c r="AF120" s="198"/>
      <c r="AG120" s="198"/>
      <c r="AH120" s="198"/>
    </row>
    <row r="121" spans="1:34" x14ac:dyDescent="0.25">
      <c r="A121" s="198" t="s">
        <v>121</v>
      </c>
      <c r="B121" s="198"/>
      <c r="C121" s="198"/>
      <c r="D121" s="198"/>
      <c r="E121" s="198"/>
      <c r="F121" s="198"/>
      <c r="G121" s="198"/>
      <c r="H121" s="198"/>
      <c r="I121" s="198"/>
      <c r="J121" s="198"/>
      <c r="K121" s="198"/>
      <c r="L121" s="198"/>
      <c r="M121" s="198"/>
      <c r="N121" s="198"/>
      <c r="O121" s="198"/>
      <c r="P121" s="198"/>
      <c r="Q121" s="198"/>
      <c r="R121" s="198"/>
      <c r="S121" s="198"/>
      <c r="T121" s="198"/>
      <c r="U121" s="198"/>
      <c r="V121" s="198"/>
      <c r="W121" s="198"/>
      <c r="X121" s="198"/>
      <c r="Y121" s="198"/>
      <c r="Z121" s="198"/>
      <c r="AA121" s="198"/>
      <c r="AB121" s="198"/>
      <c r="AC121" s="198"/>
      <c r="AD121" s="198"/>
      <c r="AE121" s="198"/>
      <c r="AF121" s="198"/>
      <c r="AG121" s="198"/>
      <c r="AH121" s="198"/>
    </row>
    <row r="122" spans="1:34" x14ac:dyDescent="0.25">
      <c r="A122" s="198" t="s">
        <v>122</v>
      </c>
    </row>
    <row r="123" spans="1:34" x14ac:dyDescent="0.25">
      <c r="A123" s="198" t="s">
        <v>123</v>
      </c>
    </row>
    <row r="124" spans="1:34" x14ac:dyDescent="0.25">
      <c r="A124" s="198" t="s">
        <v>124</v>
      </c>
    </row>
  </sheetData>
  <sheetProtection algorithmName="SHA-512" hashValue="dOVR1X3srwr+QwSC2vXofcCWTCxgg6+ou1bBHLQ2Tt+2ug/Fnb5VNp7WHTRnTPqyl9IUxkqI6//NCP9nat6C8g==" saltValue="H/qlHaLMft5HP3s1eNcTwA==" spinCount="100000" sheet="1" objects="1" scenarios="1"/>
  <mergeCells count="984">
    <mergeCell ref="T114:V114"/>
    <mergeCell ref="W114:Y114"/>
    <mergeCell ref="Z114:AB114"/>
    <mergeCell ref="A118:AH118"/>
    <mergeCell ref="B114:D114"/>
    <mergeCell ref="E114:G114"/>
    <mergeCell ref="H114:J114"/>
    <mergeCell ref="K114:M114"/>
    <mergeCell ref="N114:P114"/>
    <mergeCell ref="Q114:S114"/>
    <mergeCell ref="AC104:AE104"/>
    <mergeCell ref="B105:D105"/>
    <mergeCell ref="AF105:AH105"/>
    <mergeCell ref="A106:AH107"/>
    <mergeCell ref="AE110:AH110"/>
    <mergeCell ref="AE112:AF112"/>
    <mergeCell ref="A31:AH31"/>
    <mergeCell ref="AG103:AH103"/>
    <mergeCell ref="E104:G104"/>
    <mergeCell ref="H104:J104"/>
    <mergeCell ref="K104:M104"/>
    <mergeCell ref="N104:P104"/>
    <mergeCell ref="Q104:S104"/>
    <mergeCell ref="T104:V104"/>
    <mergeCell ref="W104:Y104"/>
    <mergeCell ref="Z104:AB104"/>
    <mergeCell ref="AG21:AH21"/>
    <mergeCell ref="B27:C27"/>
    <mergeCell ref="E27:F27"/>
    <mergeCell ref="H27:I27"/>
    <mergeCell ref="K27:L27"/>
    <mergeCell ref="N27:O27"/>
    <mergeCell ref="Q27:R27"/>
    <mergeCell ref="T27:U27"/>
    <mergeCell ref="W27:X27"/>
    <mergeCell ref="Z27:AA27"/>
    <mergeCell ref="AF18:AH18"/>
    <mergeCell ref="A19:AH20"/>
    <mergeCell ref="A21:A22"/>
    <mergeCell ref="B21:D21"/>
    <mergeCell ref="E21:G21"/>
    <mergeCell ref="H21:J21"/>
    <mergeCell ref="K21:M21"/>
    <mergeCell ref="N21:P21"/>
    <mergeCell ref="Q21:S21"/>
    <mergeCell ref="T21:V21"/>
    <mergeCell ref="N18:P18"/>
    <mergeCell ref="Q18:S18"/>
    <mergeCell ref="T18:V18"/>
    <mergeCell ref="W18:Y18"/>
    <mergeCell ref="Z18:AB18"/>
    <mergeCell ref="AC18:AE18"/>
    <mergeCell ref="W113:Y113"/>
    <mergeCell ref="Z113:AB113"/>
    <mergeCell ref="A7:AH8"/>
    <mergeCell ref="A10:AH10"/>
    <mergeCell ref="H11:J11"/>
    <mergeCell ref="K11:M11"/>
    <mergeCell ref="K15:M15"/>
    <mergeCell ref="B18:D18"/>
    <mergeCell ref="E18:G18"/>
    <mergeCell ref="T112:V112"/>
    <mergeCell ref="W112:Y112"/>
    <mergeCell ref="Z112:AB112"/>
    <mergeCell ref="B113:D113"/>
    <mergeCell ref="E113:G113"/>
    <mergeCell ref="H113:J113"/>
    <mergeCell ref="K113:M113"/>
    <mergeCell ref="N113:P113"/>
    <mergeCell ref="Q113:S113"/>
    <mergeCell ref="T113:V113"/>
    <mergeCell ref="T111:V111"/>
    <mergeCell ref="W111:Y111"/>
    <mergeCell ref="Z111:AB111"/>
    <mergeCell ref="B112:D112"/>
    <mergeCell ref="E112:G112"/>
    <mergeCell ref="H112:J112"/>
    <mergeCell ref="K112:M112"/>
    <mergeCell ref="N112:P112"/>
    <mergeCell ref="Q112:S112"/>
    <mergeCell ref="B111:D111"/>
    <mergeCell ref="E111:G111"/>
    <mergeCell ref="H111:J111"/>
    <mergeCell ref="K111:M111"/>
    <mergeCell ref="N111:P111"/>
    <mergeCell ref="Q111:S111"/>
    <mergeCell ref="B110:D110"/>
    <mergeCell ref="E110:G110"/>
    <mergeCell ref="H110:J110"/>
    <mergeCell ref="K110:M110"/>
    <mergeCell ref="N110:P110"/>
    <mergeCell ref="Q110:S110"/>
    <mergeCell ref="T110:V110"/>
    <mergeCell ref="W110:Y110"/>
    <mergeCell ref="Z110:AB110"/>
    <mergeCell ref="Z108:AB108"/>
    <mergeCell ref="B109:D109"/>
    <mergeCell ref="E109:G109"/>
    <mergeCell ref="H109:J109"/>
    <mergeCell ref="K109:M109"/>
    <mergeCell ref="N109:P109"/>
    <mergeCell ref="Q109:S109"/>
    <mergeCell ref="T109:V109"/>
    <mergeCell ref="W109:Y109"/>
    <mergeCell ref="Z109:AB109"/>
    <mergeCell ref="B108:D108"/>
    <mergeCell ref="E108:G108"/>
    <mergeCell ref="H108:J108"/>
    <mergeCell ref="K108:M108"/>
    <mergeCell ref="N108:P108"/>
    <mergeCell ref="Q108:S108"/>
    <mergeCell ref="T108:V108"/>
    <mergeCell ref="W108:Y108"/>
    <mergeCell ref="B104:D104"/>
    <mergeCell ref="AF104:AH104"/>
    <mergeCell ref="Q103:S103"/>
    <mergeCell ref="T103:V103"/>
    <mergeCell ref="W103:Y103"/>
    <mergeCell ref="Z103:AB103"/>
    <mergeCell ref="AC103:AE103"/>
    <mergeCell ref="T102:V102"/>
    <mergeCell ref="W102:Y102"/>
    <mergeCell ref="Z102:AB102"/>
    <mergeCell ref="AC102:AE102"/>
    <mergeCell ref="AG102:AH102"/>
    <mergeCell ref="B103:D103"/>
    <mergeCell ref="E103:G103"/>
    <mergeCell ref="H103:J103"/>
    <mergeCell ref="K103:M103"/>
    <mergeCell ref="N103:P103"/>
    <mergeCell ref="B102:D102"/>
    <mergeCell ref="E102:G102"/>
    <mergeCell ref="H102:J102"/>
    <mergeCell ref="K102:M102"/>
    <mergeCell ref="N102:P102"/>
    <mergeCell ref="Q102:S102"/>
    <mergeCell ref="Q101:S101"/>
    <mergeCell ref="T101:V101"/>
    <mergeCell ref="W101:Y101"/>
    <mergeCell ref="Z101:AB101"/>
    <mergeCell ref="AC101:AE101"/>
    <mergeCell ref="AG101:AH101"/>
    <mergeCell ref="T100:V100"/>
    <mergeCell ref="W100:Y100"/>
    <mergeCell ref="Z100:AB100"/>
    <mergeCell ref="AC100:AE100"/>
    <mergeCell ref="AG100:AH100"/>
    <mergeCell ref="B101:D101"/>
    <mergeCell ref="E101:G101"/>
    <mergeCell ref="H101:J101"/>
    <mergeCell ref="K101:M101"/>
    <mergeCell ref="N101:P101"/>
    <mergeCell ref="B100:D100"/>
    <mergeCell ref="E100:G100"/>
    <mergeCell ref="H100:J100"/>
    <mergeCell ref="K100:M100"/>
    <mergeCell ref="N100:P100"/>
    <mergeCell ref="Q100:S100"/>
    <mergeCell ref="Q99:S99"/>
    <mergeCell ref="T99:V99"/>
    <mergeCell ref="W99:Y99"/>
    <mergeCell ref="Z99:AB99"/>
    <mergeCell ref="AC99:AE99"/>
    <mergeCell ref="AG99:AH99"/>
    <mergeCell ref="T98:V98"/>
    <mergeCell ref="W98:Y98"/>
    <mergeCell ref="Z98:AB98"/>
    <mergeCell ref="AC98:AE98"/>
    <mergeCell ref="AG98:AH98"/>
    <mergeCell ref="B99:D99"/>
    <mergeCell ref="E99:G99"/>
    <mergeCell ref="H99:J99"/>
    <mergeCell ref="K99:M99"/>
    <mergeCell ref="N99:P99"/>
    <mergeCell ref="B98:D98"/>
    <mergeCell ref="E98:G98"/>
    <mergeCell ref="H98:J98"/>
    <mergeCell ref="K98:M98"/>
    <mergeCell ref="N98:P98"/>
    <mergeCell ref="Q98:S98"/>
    <mergeCell ref="Q97:S97"/>
    <mergeCell ref="T97:V97"/>
    <mergeCell ref="W97:Y97"/>
    <mergeCell ref="Z97:AB97"/>
    <mergeCell ref="AC97:AE97"/>
    <mergeCell ref="AG97:AH97"/>
    <mergeCell ref="T96:V96"/>
    <mergeCell ref="W96:Y96"/>
    <mergeCell ref="Z96:AB96"/>
    <mergeCell ref="AC96:AE96"/>
    <mergeCell ref="AG96:AH96"/>
    <mergeCell ref="B97:D97"/>
    <mergeCell ref="E97:G97"/>
    <mergeCell ref="H97:J97"/>
    <mergeCell ref="K97:M97"/>
    <mergeCell ref="N97:P97"/>
    <mergeCell ref="B96:D96"/>
    <mergeCell ref="E96:G96"/>
    <mergeCell ref="H96:J96"/>
    <mergeCell ref="K96:M96"/>
    <mergeCell ref="N96:P96"/>
    <mergeCell ref="Q96:S96"/>
    <mergeCell ref="Q95:S95"/>
    <mergeCell ref="T95:V95"/>
    <mergeCell ref="W95:Y95"/>
    <mergeCell ref="Z95:AB95"/>
    <mergeCell ref="AC95:AE95"/>
    <mergeCell ref="AG95:AH95"/>
    <mergeCell ref="T94:V94"/>
    <mergeCell ref="W94:Y94"/>
    <mergeCell ref="Z94:AB94"/>
    <mergeCell ref="AC94:AE94"/>
    <mergeCell ref="AG94:AH94"/>
    <mergeCell ref="B95:D95"/>
    <mergeCell ref="E95:G95"/>
    <mergeCell ref="H95:J95"/>
    <mergeCell ref="K95:M95"/>
    <mergeCell ref="N95:P95"/>
    <mergeCell ref="B94:D94"/>
    <mergeCell ref="E94:G94"/>
    <mergeCell ref="H94:J94"/>
    <mergeCell ref="K94:M94"/>
    <mergeCell ref="N94:P94"/>
    <mergeCell ref="Q94:S94"/>
    <mergeCell ref="Q93:S93"/>
    <mergeCell ref="T93:V93"/>
    <mergeCell ref="W93:Y93"/>
    <mergeCell ref="Z93:AB93"/>
    <mergeCell ref="AC93:AE93"/>
    <mergeCell ref="AG93:AH93"/>
    <mergeCell ref="T92:V92"/>
    <mergeCell ref="W92:Y92"/>
    <mergeCell ref="Z92:AB92"/>
    <mergeCell ref="AC92:AE92"/>
    <mergeCell ref="AG92:AH92"/>
    <mergeCell ref="B93:D93"/>
    <mergeCell ref="E93:G93"/>
    <mergeCell ref="H93:J93"/>
    <mergeCell ref="K93:M93"/>
    <mergeCell ref="N93:P93"/>
    <mergeCell ref="B92:D92"/>
    <mergeCell ref="E92:G92"/>
    <mergeCell ref="H92:J92"/>
    <mergeCell ref="K92:M92"/>
    <mergeCell ref="N92:P92"/>
    <mergeCell ref="Q92:S92"/>
    <mergeCell ref="Q91:S91"/>
    <mergeCell ref="T91:V91"/>
    <mergeCell ref="W91:Y91"/>
    <mergeCell ref="Z91:AB91"/>
    <mergeCell ref="AC91:AE91"/>
    <mergeCell ref="AG91:AH91"/>
    <mergeCell ref="T90:V90"/>
    <mergeCell ref="W90:Y90"/>
    <mergeCell ref="Z90:AB90"/>
    <mergeCell ref="AC90:AE90"/>
    <mergeCell ref="AG90:AH90"/>
    <mergeCell ref="B91:D91"/>
    <mergeCell ref="E91:G91"/>
    <mergeCell ref="H91:J91"/>
    <mergeCell ref="K91:M91"/>
    <mergeCell ref="N91:P91"/>
    <mergeCell ref="B90:D90"/>
    <mergeCell ref="E90:G90"/>
    <mergeCell ref="H90:J90"/>
    <mergeCell ref="K90:M90"/>
    <mergeCell ref="N90:P90"/>
    <mergeCell ref="Q90:S90"/>
    <mergeCell ref="Q89:S89"/>
    <mergeCell ref="T89:V89"/>
    <mergeCell ref="W89:Y89"/>
    <mergeCell ref="Z89:AB89"/>
    <mergeCell ref="AC89:AE89"/>
    <mergeCell ref="AG89:AH89"/>
    <mergeCell ref="T88:V88"/>
    <mergeCell ref="W88:Y88"/>
    <mergeCell ref="Z88:AB88"/>
    <mergeCell ref="AC88:AE88"/>
    <mergeCell ref="AG88:AH88"/>
    <mergeCell ref="B89:D89"/>
    <mergeCell ref="E89:G89"/>
    <mergeCell ref="H89:J89"/>
    <mergeCell ref="K89:M89"/>
    <mergeCell ref="N89:P89"/>
    <mergeCell ref="B88:D88"/>
    <mergeCell ref="E88:G88"/>
    <mergeCell ref="H88:J88"/>
    <mergeCell ref="K88:M88"/>
    <mergeCell ref="N88:P88"/>
    <mergeCell ref="Q88:S88"/>
    <mergeCell ref="Q87:S87"/>
    <mergeCell ref="T87:V87"/>
    <mergeCell ref="W87:Y87"/>
    <mergeCell ref="Z87:AB87"/>
    <mergeCell ref="AC87:AE87"/>
    <mergeCell ref="AG87:AH87"/>
    <mergeCell ref="T86:V86"/>
    <mergeCell ref="W86:Y86"/>
    <mergeCell ref="Z86:AB86"/>
    <mergeCell ref="AC86:AE86"/>
    <mergeCell ref="AG86:AH86"/>
    <mergeCell ref="B87:D87"/>
    <mergeCell ref="E87:G87"/>
    <mergeCell ref="H87:J87"/>
    <mergeCell ref="K87:M87"/>
    <mergeCell ref="N87:P87"/>
    <mergeCell ref="B86:D86"/>
    <mergeCell ref="E86:G86"/>
    <mergeCell ref="H86:J86"/>
    <mergeCell ref="K86:M86"/>
    <mergeCell ref="N86:P86"/>
    <mergeCell ref="Q86:S86"/>
    <mergeCell ref="Q85:S85"/>
    <mergeCell ref="T85:V85"/>
    <mergeCell ref="W85:Y85"/>
    <mergeCell ref="Z85:AB85"/>
    <mergeCell ref="AC85:AE85"/>
    <mergeCell ref="AG85:AH85"/>
    <mergeCell ref="T84:V84"/>
    <mergeCell ref="W84:Y84"/>
    <mergeCell ref="Z84:AB84"/>
    <mergeCell ref="AC84:AE84"/>
    <mergeCell ref="AG84:AH84"/>
    <mergeCell ref="B85:D85"/>
    <mergeCell ref="E85:G85"/>
    <mergeCell ref="H85:J85"/>
    <mergeCell ref="K85:M85"/>
    <mergeCell ref="N85:P85"/>
    <mergeCell ref="B84:D84"/>
    <mergeCell ref="E84:G84"/>
    <mergeCell ref="H84:J84"/>
    <mergeCell ref="K84:M84"/>
    <mergeCell ref="N84:P84"/>
    <mergeCell ref="Q84:S84"/>
    <mergeCell ref="Q83:S83"/>
    <mergeCell ref="T83:V83"/>
    <mergeCell ref="W83:Y83"/>
    <mergeCell ref="Z83:AB83"/>
    <mergeCell ref="AC83:AE83"/>
    <mergeCell ref="AG83:AH83"/>
    <mergeCell ref="T82:V82"/>
    <mergeCell ref="W82:Y82"/>
    <mergeCell ref="Z82:AB82"/>
    <mergeCell ref="AC82:AE82"/>
    <mergeCell ref="AG82:AH82"/>
    <mergeCell ref="B83:D83"/>
    <mergeCell ref="E83:G83"/>
    <mergeCell ref="H83:J83"/>
    <mergeCell ref="K83:M83"/>
    <mergeCell ref="N83:P83"/>
    <mergeCell ref="B82:D82"/>
    <mergeCell ref="E82:G82"/>
    <mergeCell ref="H82:J82"/>
    <mergeCell ref="K82:M82"/>
    <mergeCell ref="N82:P82"/>
    <mergeCell ref="Q82:S82"/>
    <mergeCell ref="Q81:S81"/>
    <mergeCell ref="T81:V81"/>
    <mergeCell ref="W81:Y81"/>
    <mergeCell ref="Z81:AB81"/>
    <mergeCell ref="AC81:AE81"/>
    <mergeCell ref="AG81:AH81"/>
    <mergeCell ref="T80:V80"/>
    <mergeCell ref="W80:Y80"/>
    <mergeCell ref="Z80:AB80"/>
    <mergeCell ref="AC80:AE80"/>
    <mergeCell ref="AG80:AH80"/>
    <mergeCell ref="B81:D81"/>
    <mergeCell ref="E81:G81"/>
    <mergeCell ref="H81:J81"/>
    <mergeCell ref="K81:M81"/>
    <mergeCell ref="N81:P81"/>
    <mergeCell ref="B80:D80"/>
    <mergeCell ref="E80:G80"/>
    <mergeCell ref="H80:J80"/>
    <mergeCell ref="K80:M80"/>
    <mergeCell ref="N80:P80"/>
    <mergeCell ref="Q80:S80"/>
    <mergeCell ref="Q79:S79"/>
    <mergeCell ref="T79:V79"/>
    <mergeCell ref="W79:Y79"/>
    <mergeCell ref="Z79:AB79"/>
    <mergeCell ref="AC79:AE79"/>
    <mergeCell ref="AG79:AH79"/>
    <mergeCell ref="T78:V78"/>
    <mergeCell ref="W78:Y78"/>
    <mergeCell ref="Z78:AB78"/>
    <mergeCell ref="AC78:AE78"/>
    <mergeCell ref="AG78:AH78"/>
    <mergeCell ref="B79:D79"/>
    <mergeCell ref="E79:G79"/>
    <mergeCell ref="H79:J79"/>
    <mergeCell ref="K79:M79"/>
    <mergeCell ref="N79:P79"/>
    <mergeCell ref="B78:D78"/>
    <mergeCell ref="E78:G78"/>
    <mergeCell ref="H78:J78"/>
    <mergeCell ref="K78:M78"/>
    <mergeCell ref="N78:P78"/>
    <mergeCell ref="Q78:S78"/>
    <mergeCell ref="Q77:S77"/>
    <mergeCell ref="T77:V77"/>
    <mergeCell ref="W77:Y77"/>
    <mergeCell ref="Z77:AB77"/>
    <mergeCell ref="AC77:AE77"/>
    <mergeCell ref="AG77:AH77"/>
    <mergeCell ref="T76:V76"/>
    <mergeCell ref="W76:Y76"/>
    <mergeCell ref="Z76:AB76"/>
    <mergeCell ref="AC76:AE76"/>
    <mergeCell ref="AG76:AH76"/>
    <mergeCell ref="B77:D77"/>
    <mergeCell ref="E77:G77"/>
    <mergeCell ref="H77:J77"/>
    <mergeCell ref="K77:M77"/>
    <mergeCell ref="N77:P77"/>
    <mergeCell ref="B76:D76"/>
    <mergeCell ref="E76:G76"/>
    <mergeCell ref="H76:J76"/>
    <mergeCell ref="K76:M76"/>
    <mergeCell ref="N76:P76"/>
    <mergeCell ref="Q76:S76"/>
    <mergeCell ref="Q75:S75"/>
    <mergeCell ref="T75:V75"/>
    <mergeCell ref="W75:Y75"/>
    <mergeCell ref="Z75:AB75"/>
    <mergeCell ref="AC75:AE75"/>
    <mergeCell ref="AG75:AH75"/>
    <mergeCell ref="T74:V74"/>
    <mergeCell ref="W74:Y74"/>
    <mergeCell ref="Z74:AB74"/>
    <mergeCell ref="AC74:AE74"/>
    <mergeCell ref="AG74:AH74"/>
    <mergeCell ref="B75:D75"/>
    <mergeCell ref="E75:G75"/>
    <mergeCell ref="H75:J75"/>
    <mergeCell ref="K75:M75"/>
    <mergeCell ref="N75:P75"/>
    <mergeCell ref="B74:D74"/>
    <mergeCell ref="E74:G74"/>
    <mergeCell ref="H74:J74"/>
    <mergeCell ref="K74:M74"/>
    <mergeCell ref="N74:P74"/>
    <mergeCell ref="Q74:S74"/>
    <mergeCell ref="Q73:S73"/>
    <mergeCell ref="T73:V73"/>
    <mergeCell ref="W73:Y73"/>
    <mergeCell ref="Z73:AB73"/>
    <mergeCell ref="AC73:AE73"/>
    <mergeCell ref="AG73:AH73"/>
    <mergeCell ref="T72:V72"/>
    <mergeCell ref="W72:Y72"/>
    <mergeCell ref="Z72:AB72"/>
    <mergeCell ref="AC72:AE72"/>
    <mergeCell ref="AG72:AH72"/>
    <mergeCell ref="B73:D73"/>
    <mergeCell ref="E73:G73"/>
    <mergeCell ref="H73:J73"/>
    <mergeCell ref="K73:M73"/>
    <mergeCell ref="N73:P73"/>
    <mergeCell ref="B72:D72"/>
    <mergeCell ref="E72:G72"/>
    <mergeCell ref="H72:J72"/>
    <mergeCell ref="K72:M72"/>
    <mergeCell ref="N72:P72"/>
    <mergeCell ref="Q72:S72"/>
    <mergeCell ref="Q71:S71"/>
    <mergeCell ref="T71:V71"/>
    <mergeCell ref="W71:Y71"/>
    <mergeCell ref="Z71:AB71"/>
    <mergeCell ref="AC71:AE71"/>
    <mergeCell ref="AG71:AH71"/>
    <mergeCell ref="T70:V70"/>
    <mergeCell ref="W70:Y70"/>
    <mergeCell ref="Z70:AB70"/>
    <mergeCell ref="AC70:AE70"/>
    <mergeCell ref="AG70:AH70"/>
    <mergeCell ref="B71:D71"/>
    <mergeCell ref="E71:G71"/>
    <mergeCell ref="H71:J71"/>
    <mergeCell ref="K71:M71"/>
    <mergeCell ref="N71:P71"/>
    <mergeCell ref="B70:D70"/>
    <mergeCell ref="E70:G70"/>
    <mergeCell ref="H70:J70"/>
    <mergeCell ref="K70:M70"/>
    <mergeCell ref="N70:P70"/>
    <mergeCell ref="Q70:S70"/>
    <mergeCell ref="Q69:S69"/>
    <mergeCell ref="T69:V69"/>
    <mergeCell ref="W69:Y69"/>
    <mergeCell ref="Z69:AB69"/>
    <mergeCell ref="AC69:AE69"/>
    <mergeCell ref="AG69:AH69"/>
    <mergeCell ref="T68:V68"/>
    <mergeCell ref="W68:Y68"/>
    <mergeCell ref="Z68:AB68"/>
    <mergeCell ref="AC68:AE68"/>
    <mergeCell ref="AG68:AH68"/>
    <mergeCell ref="B69:D69"/>
    <mergeCell ref="E69:G69"/>
    <mergeCell ref="H69:J69"/>
    <mergeCell ref="K69:M69"/>
    <mergeCell ref="N69:P69"/>
    <mergeCell ref="B68:D68"/>
    <mergeCell ref="E68:G68"/>
    <mergeCell ref="H68:J68"/>
    <mergeCell ref="K68:M68"/>
    <mergeCell ref="N68:P68"/>
    <mergeCell ref="Q68:S68"/>
    <mergeCell ref="Q67:S67"/>
    <mergeCell ref="T67:V67"/>
    <mergeCell ref="W67:Y67"/>
    <mergeCell ref="Z67:AB67"/>
    <mergeCell ref="AC67:AE67"/>
    <mergeCell ref="AG67:AH67"/>
    <mergeCell ref="T66:V66"/>
    <mergeCell ref="W66:Y66"/>
    <mergeCell ref="Z66:AB66"/>
    <mergeCell ref="AC66:AE66"/>
    <mergeCell ref="AG66:AH66"/>
    <mergeCell ref="B67:D67"/>
    <mergeCell ref="E67:G67"/>
    <mergeCell ref="H67:J67"/>
    <mergeCell ref="K67:M67"/>
    <mergeCell ref="N67:P67"/>
    <mergeCell ref="B66:D66"/>
    <mergeCell ref="E66:G66"/>
    <mergeCell ref="H66:J66"/>
    <mergeCell ref="K66:M66"/>
    <mergeCell ref="N66:P66"/>
    <mergeCell ref="Q66:S66"/>
    <mergeCell ref="Q65:S65"/>
    <mergeCell ref="T65:V65"/>
    <mergeCell ref="W65:Y65"/>
    <mergeCell ref="Z65:AB65"/>
    <mergeCell ref="AC65:AE65"/>
    <mergeCell ref="AG65:AH65"/>
    <mergeCell ref="T64:V64"/>
    <mergeCell ref="W64:Y64"/>
    <mergeCell ref="Z64:AB64"/>
    <mergeCell ref="AC64:AE64"/>
    <mergeCell ref="AG64:AH64"/>
    <mergeCell ref="B65:D65"/>
    <mergeCell ref="E65:G65"/>
    <mergeCell ref="H65:J65"/>
    <mergeCell ref="K65:M65"/>
    <mergeCell ref="N65:P65"/>
    <mergeCell ref="B64:D64"/>
    <mergeCell ref="E64:G64"/>
    <mergeCell ref="H64:J64"/>
    <mergeCell ref="K64:M64"/>
    <mergeCell ref="N64:P64"/>
    <mergeCell ref="Q64:S64"/>
    <mergeCell ref="Q63:S63"/>
    <mergeCell ref="T63:V63"/>
    <mergeCell ref="W63:Y63"/>
    <mergeCell ref="Z63:AB63"/>
    <mergeCell ref="AC63:AE63"/>
    <mergeCell ref="AG63:AH63"/>
    <mergeCell ref="T62:V62"/>
    <mergeCell ref="W62:Y62"/>
    <mergeCell ref="Z62:AB62"/>
    <mergeCell ref="AC62:AE62"/>
    <mergeCell ref="AG62:AH62"/>
    <mergeCell ref="B63:D63"/>
    <mergeCell ref="E63:G63"/>
    <mergeCell ref="H63:J63"/>
    <mergeCell ref="K63:M63"/>
    <mergeCell ref="N63:P63"/>
    <mergeCell ref="B62:D62"/>
    <mergeCell ref="E62:G62"/>
    <mergeCell ref="H62:J62"/>
    <mergeCell ref="K62:M62"/>
    <mergeCell ref="N62:P62"/>
    <mergeCell ref="Q62:S62"/>
    <mergeCell ref="Q61:S61"/>
    <mergeCell ref="T61:V61"/>
    <mergeCell ref="W61:Y61"/>
    <mergeCell ref="Z61:AB61"/>
    <mergeCell ref="AC61:AE61"/>
    <mergeCell ref="AG61:AH61"/>
    <mergeCell ref="T60:V60"/>
    <mergeCell ref="W60:Y60"/>
    <mergeCell ref="Z60:AB60"/>
    <mergeCell ref="AC60:AE60"/>
    <mergeCell ref="AG60:AH60"/>
    <mergeCell ref="B61:D61"/>
    <mergeCell ref="E61:G61"/>
    <mergeCell ref="H61:J61"/>
    <mergeCell ref="K61:M61"/>
    <mergeCell ref="N61:P61"/>
    <mergeCell ref="B60:D60"/>
    <mergeCell ref="E60:G60"/>
    <mergeCell ref="H60:J60"/>
    <mergeCell ref="K60:M60"/>
    <mergeCell ref="N60:P60"/>
    <mergeCell ref="Q60:S60"/>
    <mergeCell ref="Q59:S59"/>
    <mergeCell ref="T59:V59"/>
    <mergeCell ref="W59:Y59"/>
    <mergeCell ref="Z59:AB59"/>
    <mergeCell ref="AC59:AE59"/>
    <mergeCell ref="AG59:AH59"/>
    <mergeCell ref="T58:V58"/>
    <mergeCell ref="W58:Y58"/>
    <mergeCell ref="Z58:AB58"/>
    <mergeCell ref="AC58:AE58"/>
    <mergeCell ref="AG58:AH58"/>
    <mergeCell ref="B59:D59"/>
    <mergeCell ref="E59:G59"/>
    <mergeCell ref="H59:J59"/>
    <mergeCell ref="K59:M59"/>
    <mergeCell ref="N59:P59"/>
    <mergeCell ref="B58:D58"/>
    <mergeCell ref="E58:G58"/>
    <mergeCell ref="H58:J58"/>
    <mergeCell ref="K58:M58"/>
    <mergeCell ref="N58:P58"/>
    <mergeCell ref="Q58:S58"/>
    <mergeCell ref="Q57:S57"/>
    <mergeCell ref="T57:V57"/>
    <mergeCell ref="W57:Y57"/>
    <mergeCell ref="Z57:AB57"/>
    <mergeCell ref="AC57:AE57"/>
    <mergeCell ref="AG57:AH57"/>
    <mergeCell ref="T56:V56"/>
    <mergeCell ref="W56:Y56"/>
    <mergeCell ref="Z56:AB56"/>
    <mergeCell ref="AC56:AE56"/>
    <mergeCell ref="AG56:AH56"/>
    <mergeCell ref="B57:D57"/>
    <mergeCell ref="E57:G57"/>
    <mergeCell ref="H57:J57"/>
    <mergeCell ref="K57:M57"/>
    <mergeCell ref="N57:P57"/>
    <mergeCell ref="B56:D56"/>
    <mergeCell ref="E56:G56"/>
    <mergeCell ref="H56:J56"/>
    <mergeCell ref="K56:M56"/>
    <mergeCell ref="N56:P56"/>
    <mergeCell ref="Q56:S56"/>
    <mergeCell ref="Q55:S55"/>
    <mergeCell ref="T55:V55"/>
    <mergeCell ref="W55:Y55"/>
    <mergeCell ref="Z55:AB55"/>
    <mergeCell ref="AC55:AE55"/>
    <mergeCell ref="AG55:AH55"/>
    <mergeCell ref="T54:V54"/>
    <mergeCell ref="W54:Y54"/>
    <mergeCell ref="Z54:AB54"/>
    <mergeCell ref="AC54:AE54"/>
    <mergeCell ref="AG54:AH54"/>
    <mergeCell ref="B55:D55"/>
    <mergeCell ref="E55:G55"/>
    <mergeCell ref="H55:J55"/>
    <mergeCell ref="K55:M55"/>
    <mergeCell ref="N55:P55"/>
    <mergeCell ref="B54:D54"/>
    <mergeCell ref="E54:G54"/>
    <mergeCell ref="H54:J54"/>
    <mergeCell ref="K54:M54"/>
    <mergeCell ref="N54:P54"/>
    <mergeCell ref="Q54:S54"/>
    <mergeCell ref="Q53:S53"/>
    <mergeCell ref="T53:V53"/>
    <mergeCell ref="W53:Y53"/>
    <mergeCell ref="Z53:AB53"/>
    <mergeCell ref="AC53:AE53"/>
    <mergeCell ref="AG53:AH53"/>
    <mergeCell ref="T52:V52"/>
    <mergeCell ref="W52:Y52"/>
    <mergeCell ref="Z52:AB52"/>
    <mergeCell ref="AC52:AE52"/>
    <mergeCell ref="AG52:AH52"/>
    <mergeCell ref="B53:D53"/>
    <mergeCell ref="E53:G53"/>
    <mergeCell ref="H53:J53"/>
    <mergeCell ref="K53:M53"/>
    <mergeCell ref="N53:P53"/>
    <mergeCell ref="B52:D52"/>
    <mergeCell ref="E52:G52"/>
    <mergeCell ref="H52:J52"/>
    <mergeCell ref="K52:M52"/>
    <mergeCell ref="N52:P52"/>
    <mergeCell ref="Q52:S52"/>
    <mergeCell ref="Q51:S51"/>
    <mergeCell ref="T51:V51"/>
    <mergeCell ref="W51:Y51"/>
    <mergeCell ref="Z51:AB51"/>
    <mergeCell ref="AC51:AE51"/>
    <mergeCell ref="AG51:AH51"/>
    <mergeCell ref="T50:V50"/>
    <mergeCell ref="W50:Y50"/>
    <mergeCell ref="Z50:AB50"/>
    <mergeCell ref="AC50:AE50"/>
    <mergeCell ref="AG50:AH50"/>
    <mergeCell ref="B51:D51"/>
    <mergeCell ref="E51:G51"/>
    <mergeCell ref="H51:J51"/>
    <mergeCell ref="K51:M51"/>
    <mergeCell ref="N51:P51"/>
    <mergeCell ref="B50:D50"/>
    <mergeCell ref="E50:G50"/>
    <mergeCell ref="H50:J50"/>
    <mergeCell ref="K50:M50"/>
    <mergeCell ref="N50:P50"/>
    <mergeCell ref="Q50:S50"/>
    <mergeCell ref="Q49:S49"/>
    <mergeCell ref="T49:V49"/>
    <mergeCell ref="W49:Y49"/>
    <mergeCell ref="Z49:AB49"/>
    <mergeCell ref="AC49:AE49"/>
    <mergeCell ref="AG49:AH49"/>
    <mergeCell ref="T48:V48"/>
    <mergeCell ref="W48:Y48"/>
    <mergeCell ref="Z48:AB48"/>
    <mergeCell ref="AC48:AE48"/>
    <mergeCell ref="AG48:AH48"/>
    <mergeCell ref="B49:D49"/>
    <mergeCell ref="E49:G49"/>
    <mergeCell ref="H49:J49"/>
    <mergeCell ref="K49:M49"/>
    <mergeCell ref="N49:P49"/>
    <mergeCell ref="B48:D48"/>
    <mergeCell ref="E48:G48"/>
    <mergeCell ref="H48:J48"/>
    <mergeCell ref="K48:M48"/>
    <mergeCell ref="N48:P48"/>
    <mergeCell ref="Q48:S48"/>
    <mergeCell ref="Q47:S47"/>
    <mergeCell ref="T47:V47"/>
    <mergeCell ref="W47:Y47"/>
    <mergeCell ref="Z47:AB47"/>
    <mergeCell ref="AC47:AE47"/>
    <mergeCell ref="AG47:AH47"/>
    <mergeCell ref="T46:V46"/>
    <mergeCell ref="W46:Y46"/>
    <mergeCell ref="Z46:AB46"/>
    <mergeCell ref="AC46:AE46"/>
    <mergeCell ref="AG46:AH46"/>
    <mergeCell ref="B47:D47"/>
    <mergeCell ref="E47:G47"/>
    <mergeCell ref="H47:J47"/>
    <mergeCell ref="K47:M47"/>
    <mergeCell ref="N47:P47"/>
    <mergeCell ref="B46:D46"/>
    <mergeCell ref="E46:G46"/>
    <mergeCell ref="H46:J46"/>
    <mergeCell ref="K46:M46"/>
    <mergeCell ref="N46:P46"/>
    <mergeCell ref="Q46:S46"/>
    <mergeCell ref="Q45:S45"/>
    <mergeCell ref="T45:V45"/>
    <mergeCell ref="W45:Y45"/>
    <mergeCell ref="Z45:AB45"/>
    <mergeCell ref="AC45:AE45"/>
    <mergeCell ref="AG45:AH45"/>
    <mergeCell ref="T44:V44"/>
    <mergeCell ref="W44:Y44"/>
    <mergeCell ref="Z44:AB44"/>
    <mergeCell ref="AC44:AE44"/>
    <mergeCell ref="AG44:AH44"/>
    <mergeCell ref="B45:D45"/>
    <mergeCell ref="E45:G45"/>
    <mergeCell ref="H45:J45"/>
    <mergeCell ref="K45:M45"/>
    <mergeCell ref="N45:P45"/>
    <mergeCell ref="B44:D44"/>
    <mergeCell ref="E44:G44"/>
    <mergeCell ref="H44:J44"/>
    <mergeCell ref="K44:M44"/>
    <mergeCell ref="N44:P44"/>
    <mergeCell ref="Q44:S44"/>
    <mergeCell ref="Q43:S43"/>
    <mergeCell ref="T43:V43"/>
    <mergeCell ref="W43:Y43"/>
    <mergeCell ref="Z43:AB43"/>
    <mergeCell ref="AC43:AE43"/>
    <mergeCell ref="AG43:AH43"/>
    <mergeCell ref="T42:V42"/>
    <mergeCell ref="W42:Y42"/>
    <mergeCell ref="Z42:AB42"/>
    <mergeCell ref="AC42:AE42"/>
    <mergeCell ref="AG42:AH42"/>
    <mergeCell ref="B43:D43"/>
    <mergeCell ref="E43:G43"/>
    <mergeCell ref="H43:J43"/>
    <mergeCell ref="K43:M43"/>
    <mergeCell ref="N43:P43"/>
    <mergeCell ref="B42:D42"/>
    <mergeCell ref="E42:G42"/>
    <mergeCell ref="H42:J42"/>
    <mergeCell ref="K42:M42"/>
    <mergeCell ref="N42:P42"/>
    <mergeCell ref="Q42:S42"/>
    <mergeCell ref="Q41:S41"/>
    <mergeCell ref="T41:V41"/>
    <mergeCell ref="W41:Y41"/>
    <mergeCell ref="Z41:AB41"/>
    <mergeCell ref="AC41:AE41"/>
    <mergeCell ref="AG41:AH41"/>
    <mergeCell ref="T40:V40"/>
    <mergeCell ref="W40:Y40"/>
    <mergeCell ref="Z40:AB40"/>
    <mergeCell ref="AC40:AE40"/>
    <mergeCell ref="AG40:AH40"/>
    <mergeCell ref="B41:D41"/>
    <mergeCell ref="E41:G41"/>
    <mergeCell ref="H41:J41"/>
    <mergeCell ref="K41:M41"/>
    <mergeCell ref="N41:P41"/>
    <mergeCell ref="B40:D40"/>
    <mergeCell ref="E40:G40"/>
    <mergeCell ref="H40:J40"/>
    <mergeCell ref="K40:M40"/>
    <mergeCell ref="N40:P40"/>
    <mergeCell ref="Q40:S40"/>
    <mergeCell ref="Q39:S39"/>
    <mergeCell ref="T39:V39"/>
    <mergeCell ref="W39:Y39"/>
    <mergeCell ref="Z39:AB39"/>
    <mergeCell ref="AC39:AE39"/>
    <mergeCell ref="AG39:AH39"/>
    <mergeCell ref="T38:V38"/>
    <mergeCell ref="W38:Y38"/>
    <mergeCell ref="Z38:AB38"/>
    <mergeCell ref="AC38:AE38"/>
    <mergeCell ref="AG38:AH38"/>
    <mergeCell ref="B39:D39"/>
    <mergeCell ref="E39:G39"/>
    <mergeCell ref="H39:J39"/>
    <mergeCell ref="K39:M39"/>
    <mergeCell ref="N39:P39"/>
    <mergeCell ref="B38:D38"/>
    <mergeCell ref="E38:G38"/>
    <mergeCell ref="H38:J38"/>
    <mergeCell ref="K38:M38"/>
    <mergeCell ref="N38:P38"/>
    <mergeCell ref="Q38:S38"/>
    <mergeCell ref="Q37:S37"/>
    <mergeCell ref="T37:V37"/>
    <mergeCell ref="W37:Y37"/>
    <mergeCell ref="Z37:AB37"/>
    <mergeCell ref="AC37:AE37"/>
    <mergeCell ref="AG37:AH37"/>
    <mergeCell ref="T36:V36"/>
    <mergeCell ref="W36:Y36"/>
    <mergeCell ref="Z36:AB36"/>
    <mergeCell ref="AC36:AE36"/>
    <mergeCell ref="AG36:AH36"/>
    <mergeCell ref="B37:D37"/>
    <mergeCell ref="E37:G37"/>
    <mergeCell ref="H37:J37"/>
    <mergeCell ref="K37:M37"/>
    <mergeCell ref="N37:P37"/>
    <mergeCell ref="B36:D36"/>
    <mergeCell ref="E36:G36"/>
    <mergeCell ref="H36:J36"/>
    <mergeCell ref="K36:M36"/>
    <mergeCell ref="N36:P36"/>
    <mergeCell ref="Q36:S36"/>
    <mergeCell ref="Q35:S35"/>
    <mergeCell ref="T35:V35"/>
    <mergeCell ref="W35:Y35"/>
    <mergeCell ref="Z35:AB35"/>
    <mergeCell ref="AC35:AE35"/>
    <mergeCell ref="AG35:AH35"/>
    <mergeCell ref="T34:V34"/>
    <mergeCell ref="W34:Y34"/>
    <mergeCell ref="Z34:AB34"/>
    <mergeCell ref="AC34:AE34"/>
    <mergeCell ref="AG34:AH34"/>
    <mergeCell ref="B35:D35"/>
    <mergeCell ref="E35:G35"/>
    <mergeCell ref="H35:J35"/>
    <mergeCell ref="K35:M35"/>
    <mergeCell ref="N35:P35"/>
    <mergeCell ref="W33:Y33"/>
    <mergeCell ref="Z33:AB33"/>
    <mergeCell ref="AC33:AE33"/>
    <mergeCell ref="AG33:AH33"/>
    <mergeCell ref="B34:D34"/>
    <mergeCell ref="E34:G34"/>
    <mergeCell ref="H34:J34"/>
    <mergeCell ref="K34:M34"/>
    <mergeCell ref="N34:P34"/>
    <mergeCell ref="Q34:S34"/>
    <mergeCell ref="Z32:AB32"/>
    <mergeCell ref="AC32:AE32"/>
    <mergeCell ref="AG32:AH32"/>
    <mergeCell ref="B33:D33"/>
    <mergeCell ref="E33:G33"/>
    <mergeCell ref="H33:J33"/>
    <mergeCell ref="K33:M33"/>
    <mergeCell ref="N33:P33"/>
    <mergeCell ref="Q33:S33"/>
    <mergeCell ref="T33:V33"/>
    <mergeCell ref="B32:D32"/>
    <mergeCell ref="E32:G32"/>
    <mergeCell ref="H32:J32"/>
    <mergeCell ref="K32:M32"/>
    <mergeCell ref="N32:P32"/>
    <mergeCell ref="Q32:S32"/>
    <mergeCell ref="T32:V32"/>
    <mergeCell ref="W32:Y32"/>
    <mergeCell ref="A30:AH30"/>
    <mergeCell ref="AC27:AD27"/>
    <mergeCell ref="A28:AH29"/>
    <mergeCell ref="B26:C26"/>
    <mergeCell ref="B22:C22"/>
    <mergeCell ref="B23:C23"/>
    <mergeCell ref="B24:C24"/>
    <mergeCell ref="B25:C25"/>
    <mergeCell ref="W21:Y21"/>
    <mergeCell ref="Z21:AB21"/>
    <mergeCell ref="AC21:AE21"/>
    <mergeCell ref="AF21:AF22"/>
    <mergeCell ref="Z17:AB17"/>
    <mergeCell ref="AC17:AE17"/>
    <mergeCell ref="AF17:AH17"/>
    <mergeCell ref="B17:D17"/>
    <mergeCell ref="E17:G17"/>
    <mergeCell ref="N17:P17"/>
    <mergeCell ref="Q17:S17"/>
    <mergeCell ref="T17:V17"/>
    <mergeCell ref="W17:Y17"/>
    <mergeCell ref="AF15:AH15"/>
    <mergeCell ref="B16:D16"/>
    <mergeCell ref="E16:G16"/>
    <mergeCell ref="N16:P16"/>
    <mergeCell ref="Q16:S16"/>
    <mergeCell ref="T16:V16"/>
    <mergeCell ref="W16:Y16"/>
    <mergeCell ref="Z16:AB16"/>
    <mergeCell ref="AC16:AE16"/>
    <mergeCell ref="AF16:AH16"/>
    <mergeCell ref="AC14:AE14"/>
    <mergeCell ref="AF14:AH14"/>
    <mergeCell ref="B15:D15"/>
    <mergeCell ref="E15:G15"/>
    <mergeCell ref="N15:P15"/>
    <mergeCell ref="Q15:S15"/>
    <mergeCell ref="T15:V15"/>
    <mergeCell ref="W15:Y15"/>
    <mergeCell ref="Z15:AB15"/>
    <mergeCell ref="AC15:AE15"/>
    <mergeCell ref="AC13:AE13"/>
    <mergeCell ref="AF13:AH13"/>
    <mergeCell ref="B14:D14"/>
    <mergeCell ref="E14:G14"/>
    <mergeCell ref="N14:P14"/>
    <mergeCell ref="Q14:S14"/>
    <mergeCell ref="T14:V14"/>
    <mergeCell ref="W14:Y14"/>
    <mergeCell ref="Z14:AB14"/>
    <mergeCell ref="Z12:AB12"/>
    <mergeCell ref="AC12:AE12"/>
    <mergeCell ref="AF12:AH12"/>
    <mergeCell ref="B13:D13"/>
    <mergeCell ref="E13:G13"/>
    <mergeCell ref="N13:P13"/>
    <mergeCell ref="Q13:S13"/>
    <mergeCell ref="T13:V13"/>
    <mergeCell ref="W13:Y13"/>
    <mergeCell ref="Z13:AB13"/>
    <mergeCell ref="W11:Y11"/>
    <mergeCell ref="Z11:AB11"/>
    <mergeCell ref="AC11:AE11"/>
    <mergeCell ref="AF11:AH11"/>
    <mergeCell ref="B12:D12"/>
    <mergeCell ref="E12:G12"/>
    <mergeCell ref="N12:P12"/>
    <mergeCell ref="Q12:S12"/>
    <mergeCell ref="T12:V12"/>
    <mergeCell ref="W12:Y12"/>
    <mergeCell ref="B11:D11"/>
    <mergeCell ref="E11:G11"/>
    <mergeCell ref="N11:P11"/>
    <mergeCell ref="Q11:S11"/>
    <mergeCell ref="T11:V11"/>
    <mergeCell ref="A1:AH4"/>
    <mergeCell ref="A5:AH6"/>
    <mergeCell ref="A9:AH9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AGO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ANIPA</dc:creator>
  <cp:lastModifiedBy>ANIPA</cp:lastModifiedBy>
  <dcterms:created xsi:type="dcterms:W3CDTF">2020-09-03T18:13:12Z</dcterms:created>
  <dcterms:modified xsi:type="dcterms:W3CDTF">2020-09-03T18:16:29Z</dcterms:modified>
</cp:coreProperties>
</file>