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Dados\Desktop\FINANCEIRO\02. FINANCEIRO\2023\07. JUL\Histórico Mensal\"/>
    </mc:Choice>
  </mc:AlternateContent>
  <xr:revisionPtr revIDLastSave="0" documentId="8_{67F8B843-7ADB-48B4-9389-A11494AE5302}" xr6:coauthVersionLast="47" xr6:coauthVersionMax="47" xr10:uidLastSave="{00000000-0000-0000-0000-000000000000}"/>
  <bookViews>
    <workbookView xWindow="-120" yWindow="-120" windowWidth="20730" windowHeight="11160" tabRatio="597" xr2:uid="{39FDE74E-F6F9-46DB-BAE3-CEDA0E45484C}"/>
  </bookViews>
  <sheets>
    <sheet name="JU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4" i="1" l="1"/>
  <c r="W24" i="1"/>
  <c r="W101" i="1" l="1"/>
  <c r="W97" i="1"/>
  <c r="W96" i="1"/>
  <c r="W90" i="1"/>
  <c r="W82" i="1"/>
  <c r="W95" i="1"/>
  <c r="W83" i="1"/>
  <c r="W36" i="1"/>
  <c r="W99" i="1"/>
  <c r="W57" i="1"/>
  <c r="W66" i="1"/>
  <c r="W85" i="1"/>
  <c r="W55" i="1"/>
  <c r="W56" i="1"/>
  <c r="W76" i="1"/>
  <c r="W100" i="1"/>
  <c r="W98" i="1" l="1"/>
  <c r="W67" i="1"/>
  <c r="W65" i="1"/>
  <c r="Y25" i="1"/>
  <c r="Y24" i="1"/>
  <c r="Y27" i="1" s="1"/>
  <c r="W75" i="1"/>
  <c r="W91" i="1"/>
  <c r="W92" i="1"/>
  <c r="W93" i="1"/>
  <c r="W81" i="1"/>
  <c r="W80" i="1"/>
  <c r="W88" i="1"/>
  <c r="W87" i="1"/>
  <c r="W86" i="1"/>
  <c r="W84" i="1" s="1"/>
  <c r="W77" i="1"/>
  <c r="W79" i="1"/>
  <c r="W78" i="1"/>
  <c r="W74" i="1"/>
  <c r="W70" i="1"/>
  <c r="W71" i="1"/>
  <c r="W72" i="1"/>
  <c r="W73" i="1"/>
  <c r="W68" i="1"/>
  <c r="W53" i="1"/>
  <c r="W58" i="1"/>
  <c r="W62" i="1"/>
  <c r="W63" i="1"/>
  <c r="W59" i="1"/>
  <c r="W60" i="1"/>
  <c r="W61" i="1"/>
  <c r="W54" i="1"/>
  <c r="W51" i="1"/>
  <c r="W52" i="1"/>
  <c r="W49" i="1"/>
  <c r="W48" i="1"/>
  <c r="W47" i="1"/>
  <c r="W34" i="1"/>
  <c r="W37" i="1"/>
  <c r="W40" i="1"/>
  <c r="W41" i="1"/>
  <c r="W45" i="1"/>
  <c r="W44" i="1"/>
  <c r="W43" i="1"/>
  <c r="W39" i="1"/>
  <c r="W38" i="1"/>
  <c r="W35" i="1"/>
  <c r="V25" i="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V27" i="1" l="1"/>
  <c r="V24" i="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7" i="1"/>
  <c r="K46" i="1" s="1"/>
  <c r="K48" i="1"/>
  <c r="K49" i="1"/>
  <c r="K59" i="1"/>
  <c r="K60" i="1"/>
  <c r="K61" i="1"/>
  <c r="K62" i="1"/>
  <c r="K63" i="1"/>
  <c r="AD78" i="1"/>
  <c r="K83" i="1"/>
  <c r="K66" i="1"/>
  <c r="K35" i="1"/>
  <c r="K36" i="1"/>
  <c r="K57" i="1"/>
  <c r="K58" i="1"/>
  <c r="K82" i="1"/>
  <c r="K56" i="1"/>
  <c r="K55" i="1"/>
  <c r="K53" i="1"/>
  <c r="K76" i="1"/>
  <c r="K39" i="1"/>
  <c r="K75" i="1"/>
  <c r="K38" i="1"/>
  <c r="K79" i="1"/>
  <c r="K74" i="1"/>
  <c r="K77" i="1"/>
  <c r="K86" i="1"/>
  <c r="K67" i="1"/>
  <c r="K65" i="1"/>
  <c r="M25" i="1"/>
  <c r="M24" i="1"/>
  <c r="AE26" i="1"/>
  <c r="I24" i="1"/>
  <c r="AA24" i="1" s="1"/>
  <c r="H24" i="1"/>
  <c r="H83" i="1"/>
  <c r="H72" i="1"/>
  <c r="H68" i="1"/>
  <c r="H54" i="1"/>
  <c r="H37" i="1"/>
  <c r="H34" i="1"/>
  <c r="H41" i="1"/>
  <c r="H40" i="1"/>
  <c r="H45" i="1"/>
  <c r="H44" i="1"/>
  <c r="Z44" i="1" s="1"/>
  <c r="H43" i="1"/>
  <c r="H49" i="1"/>
  <c r="H48" i="1"/>
  <c r="H47" i="1"/>
  <c r="H52" i="1"/>
  <c r="H51" i="1"/>
  <c r="Z51" i="1" s="1"/>
  <c r="H63" i="1"/>
  <c r="H62" i="1"/>
  <c r="Z62" i="1" s="1"/>
  <c r="H61" i="1"/>
  <c r="H60" i="1"/>
  <c r="H59" i="1"/>
  <c r="H88" i="1"/>
  <c r="H87" i="1"/>
  <c r="H86" i="1"/>
  <c r="Z86" i="1" s="1"/>
  <c r="H85" i="1"/>
  <c r="Z85" i="1" s="1"/>
  <c r="H92" i="1"/>
  <c r="H93" i="1"/>
  <c r="H91" i="1"/>
  <c r="Z91" i="1" s="1"/>
  <c r="AD91" i="1" s="1"/>
  <c r="H90" i="1"/>
  <c r="H100" i="1"/>
  <c r="H101" i="1"/>
  <c r="Z101" i="1" s="1"/>
  <c r="H99" i="1"/>
  <c r="H98" i="1"/>
  <c r="H95" i="1"/>
  <c r="Z95" i="1" s="1"/>
  <c r="H97" i="1"/>
  <c r="H96" i="1"/>
  <c r="H66" i="1"/>
  <c r="H78" i="1"/>
  <c r="Z78" i="1" s="1"/>
  <c r="H79" i="1"/>
  <c r="Z79" i="1" s="1"/>
  <c r="AD79" i="1" s="1"/>
  <c r="H81" i="1"/>
  <c r="H80" i="1"/>
  <c r="H71" i="1"/>
  <c r="H70" i="1"/>
  <c r="H77" i="1"/>
  <c r="H74" i="1"/>
  <c r="H73" i="1"/>
  <c r="H58" i="1"/>
  <c r="Z58" i="1" s="1"/>
  <c r="H57" i="1"/>
  <c r="H56" i="1"/>
  <c r="H55" i="1"/>
  <c r="H53" i="1"/>
  <c r="Z53" i="1" s="1"/>
  <c r="H82" i="1"/>
  <c r="H76" i="1"/>
  <c r="H75" i="1"/>
  <c r="H39" i="1"/>
  <c r="H38" i="1"/>
  <c r="Z38" i="1" s="1"/>
  <c r="H36" i="1"/>
  <c r="H35" i="1"/>
  <c r="J24" i="1"/>
  <c r="AB24" i="1" s="1"/>
  <c r="J25" i="1"/>
  <c r="H67" i="1"/>
  <c r="H65" i="1"/>
  <c r="H109" i="1"/>
  <c r="K109" i="1" s="1"/>
  <c r="N109" i="1" s="1"/>
  <c r="Q109" i="1" s="1"/>
  <c r="T109" i="1" s="1"/>
  <c r="W109" i="1" s="1"/>
  <c r="E111" i="1"/>
  <c r="E110" i="1"/>
  <c r="H110" i="1" s="1"/>
  <c r="K110" i="1" s="1"/>
  <c r="N110" i="1" s="1"/>
  <c r="Q110" i="1" s="1"/>
  <c r="T110" i="1" s="1"/>
  <c r="W110" i="1" s="1"/>
  <c r="E109" i="1"/>
  <c r="E108" i="1"/>
  <c r="H108" i="1" s="1"/>
  <c r="K108" i="1" s="1"/>
  <c r="N108" i="1" s="1"/>
  <c r="G27" i="1"/>
  <c r="E27" i="1"/>
  <c r="B27" i="1"/>
  <c r="D27" i="1"/>
  <c r="B18" i="1"/>
  <c r="E94" i="1"/>
  <c r="Q94" i="1"/>
  <c r="T94" i="1"/>
  <c r="W94" i="1"/>
  <c r="E89" i="1"/>
  <c r="N89" i="1"/>
  <c r="Q89" i="1"/>
  <c r="T89" i="1"/>
  <c r="W89" i="1"/>
  <c r="E84" i="1"/>
  <c r="N84" i="1"/>
  <c r="Q84" i="1"/>
  <c r="T84" i="1"/>
  <c r="B94" i="1"/>
  <c r="B89" i="1"/>
  <c r="B84" i="1"/>
  <c r="E69" i="1"/>
  <c r="N69" i="1"/>
  <c r="Q69" i="1"/>
  <c r="T69" i="1"/>
  <c r="W69" i="1"/>
  <c r="B69" i="1"/>
  <c r="E64" i="1"/>
  <c r="N64" i="1"/>
  <c r="T64" i="1"/>
  <c r="W64" i="1"/>
  <c r="B64" i="1"/>
  <c r="E50" i="1"/>
  <c r="N50" i="1"/>
  <c r="Q50" i="1"/>
  <c r="T50" i="1"/>
  <c r="W50" i="1"/>
  <c r="B50" i="1"/>
  <c r="E46" i="1"/>
  <c r="N46" i="1"/>
  <c r="Q46" i="1"/>
  <c r="T46" i="1"/>
  <c r="W46" i="1"/>
  <c r="E42" i="1"/>
  <c r="K42" i="1"/>
  <c r="N42" i="1"/>
  <c r="Q42" i="1"/>
  <c r="T42" i="1"/>
  <c r="W42" i="1"/>
  <c r="B46" i="1"/>
  <c r="B42" i="1"/>
  <c r="T33" i="1"/>
  <c r="W33" i="1"/>
  <c r="N33" i="1"/>
  <c r="Q33" i="1"/>
  <c r="E33" i="1"/>
  <c r="E102" i="1" s="1"/>
  <c r="B33" i="1"/>
  <c r="Z65" i="1" l="1"/>
  <c r="AD65" i="1" s="1"/>
  <c r="Z35" i="1"/>
  <c r="AD35" i="1" s="1"/>
  <c r="Z75" i="1"/>
  <c r="AD75" i="1" s="1"/>
  <c r="Z55" i="1"/>
  <c r="AD55" i="1" s="1"/>
  <c r="Z73" i="1"/>
  <c r="AD73" i="1" s="1"/>
  <c r="Z71" i="1"/>
  <c r="AD100" i="1"/>
  <c r="Z100" i="1"/>
  <c r="Z93" i="1"/>
  <c r="AD93" i="1" s="1"/>
  <c r="AD87" i="1"/>
  <c r="Z87" i="1"/>
  <c r="Z61" i="1"/>
  <c r="AD61" i="1" s="1"/>
  <c r="AD52" i="1"/>
  <c r="Z52" i="1"/>
  <c r="Z43" i="1"/>
  <c r="AD43" i="1" s="1"/>
  <c r="Z41" i="1"/>
  <c r="Z68" i="1"/>
  <c r="AD68" i="1" s="1"/>
  <c r="Z49" i="1"/>
  <c r="Z46" i="1" s="1"/>
  <c r="H89" i="1"/>
  <c r="Z67" i="1"/>
  <c r="AD67" i="1" s="1"/>
  <c r="Z36" i="1"/>
  <c r="AD36" i="1" s="1"/>
  <c r="Z76" i="1"/>
  <c r="AD76" i="1" s="1"/>
  <c r="Z56" i="1"/>
  <c r="AD56" i="1" s="1"/>
  <c r="Z74" i="1"/>
  <c r="AD74" i="1" s="1"/>
  <c r="Z80" i="1"/>
  <c r="AD80" i="1" s="1"/>
  <c r="Z66" i="1"/>
  <c r="Z64" i="1" s="1"/>
  <c r="Z98" i="1"/>
  <c r="AD98" i="1" s="1"/>
  <c r="Z92" i="1"/>
  <c r="AD92" i="1" s="1"/>
  <c r="Z88" i="1"/>
  <c r="Z47" i="1"/>
  <c r="Z34" i="1"/>
  <c r="AD34" i="1" s="1"/>
  <c r="Z72" i="1"/>
  <c r="AD72" i="1" s="1"/>
  <c r="M27" i="1"/>
  <c r="K84" i="1"/>
  <c r="K64" i="1"/>
  <c r="E103" i="1"/>
  <c r="Z39" i="1"/>
  <c r="AD39" i="1" s="1"/>
  <c r="Z70" i="1"/>
  <c r="AD70" i="1" s="1"/>
  <c r="Z97" i="1"/>
  <c r="AD97" i="1" s="1"/>
  <c r="Z60" i="1"/>
  <c r="AD60" i="1" s="1"/>
  <c r="Z40" i="1"/>
  <c r="AD40" i="1" s="1"/>
  <c r="Z54" i="1"/>
  <c r="AD54" i="1" s="1"/>
  <c r="Z83" i="1"/>
  <c r="AD83" i="1" s="1"/>
  <c r="B102" i="1"/>
  <c r="AE25" i="1"/>
  <c r="AB25" i="1"/>
  <c r="AD82" i="1"/>
  <c r="Z82" i="1"/>
  <c r="AD57" i="1"/>
  <c r="Z57" i="1"/>
  <c r="AD77" i="1"/>
  <c r="Z77" i="1"/>
  <c r="AD81" i="1"/>
  <c r="Z81" i="1"/>
  <c r="AD96" i="1"/>
  <c r="Z96" i="1"/>
  <c r="Z99" i="1"/>
  <c r="Z90" i="1"/>
  <c r="Z89" i="1" s="1"/>
  <c r="AD59" i="1"/>
  <c r="Z59" i="1"/>
  <c r="Z63" i="1"/>
  <c r="AD63" i="1" s="1"/>
  <c r="AD48" i="1"/>
  <c r="Z48" i="1"/>
  <c r="Z45" i="1"/>
  <c r="AD45" i="1" s="1"/>
  <c r="Z37" i="1"/>
  <c r="AD37" i="1" s="1"/>
  <c r="J27" i="1"/>
  <c r="AD24" i="1"/>
  <c r="AD27" i="1" s="1"/>
  <c r="Z24" i="1"/>
  <c r="Z27" i="1" s="1"/>
  <c r="W102" i="1"/>
  <c r="W103" i="1" s="1"/>
  <c r="T102" i="1"/>
  <c r="T103" i="1" s="1"/>
  <c r="Q108" i="1"/>
  <c r="N111" i="1"/>
  <c r="B104" i="1"/>
  <c r="AD38" i="1"/>
  <c r="AD99" i="1"/>
  <c r="AD86" i="1"/>
  <c r="K89" i="1"/>
  <c r="AD95" i="1"/>
  <c r="H84" i="1"/>
  <c r="H46" i="1"/>
  <c r="AD53" i="1"/>
  <c r="AD58" i="1"/>
  <c r="AD41" i="1"/>
  <c r="AD62" i="1"/>
  <c r="AD71" i="1"/>
  <c r="AD88" i="1"/>
  <c r="AD47" i="1"/>
  <c r="H42" i="1"/>
  <c r="K33" i="1"/>
  <c r="Q102" i="1"/>
  <c r="Q103" i="1" s="1"/>
  <c r="N102" i="1"/>
  <c r="N103" i="1" s="1"/>
  <c r="K94" i="1"/>
  <c r="AD101" i="1"/>
  <c r="Z50" i="1"/>
  <c r="AD51" i="1"/>
  <c r="K50" i="1"/>
  <c r="K69" i="1"/>
  <c r="K111" i="1"/>
  <c r="H27" i="1"/>
  <c r="K27" i="1" s="1"/>
  <c r="N27" i="1" s="1"/>
  <c r="Q27" i="1" s="1"/>
  <c r="T27" i="1" s="1"/>
  <c r="W27" i="1" s="1"/>
  <c r="H64" i="1"/>
  <c r="H33" i="1"/>
  <c r="H94" i="1"/>
  <c r="H50" i="1"/>
  <c r="H69" i="1"/>
  <c r="H111" i="1"/>
  <c r="AD69" i="1" l="1"/>
  <c r="Q111" i="1"/>
  <c r="T108" i="1"/>
  <c r="Z33" i="1"/>
  <c r="AD94" i="1"/>
  <c r="AD90" i="1"/>
  <c r="AD89" i="1" s="1"/>
  <c r="AD66" i="1"/>
  <c r="AD64" i="1" s="1"/>
  <c r="AD49" i="1"/>
  <c r="AD46" i="1" s="1"/>
  <c r="AD50" i="1"/>
  <c r="AD33" i="1"/>
  <c r="Z94" i="1"/>
  <c r="Z42" i="1"/>
  <c r="AD44" i="1"/>
  <c r="AD42" i="1" s="1"/>
  <c r="Z69" i="1"/>
  <c r="Z84" i="1"/>
  <c r="AD85" i="1"/>
  <c r="AD84" i="1" s="1"/>
  <c r="AE24" i="1"/>
  <c r="AE27" i="1" s="1"/>
  <c r="AB27" i="1"/>
  <c r="K102" i="1"/>
  <c r="K103" i="1" s="1"/>
  <c r="H102" i="1"/>
  <c r="H103" i="1" s="1"/>
  <c r="W108" i="1" l="1"/>
  <c r="W111" i="1" s="1"/>
  <c r="T111" i="1"/>
  <c r="AD102" i="1"/>
  <c r="AC103" i="1" s="1"/>
  <c r="Z102" i="1"/>
</calcChain>
</file>

<file path=xl/sharedStrings.xml><?xml version="1.0" encoding="utf-8"?>
<sst xmlns="http://schemas.openxmlformats.org/spreadsheetml/2006/main" count="166" uniqueCount="112">
  <si>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</si>
  <si>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</si>
  <si>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</si>
  <si>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</si>
  <si>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</si>
  <si>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</si>
  <si>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</si>
  <si>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</si>
  <si>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</si>
  <si>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</si>
  <si>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</si>
  <si>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</si>
  <si>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</si>
  <si>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</si>
  <si>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</si>
  <si>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</si>
  <si>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</si>
  <si>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</si>
  <si>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</si>
  <si>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</si>
  <si>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</si>
  <si>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</si>
  <si>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</si>
  <si>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</si>
  <si>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</si>
  <si>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</si>
  <si>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</si>
  <si>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</si>
  <si>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</si>
  <si>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</si>
  <si>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</si>
  <si>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</si>
  <si>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</si>
  <si>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</si>
  <si>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</si>
  <si>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</si>
  <si>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</si>
  <si>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</si>
  <si>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</si>
  <si>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</si>
  <si>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</si>
  <si>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</si>
  <si>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</si>
  <si>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</si>
  <si>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</si>
  <si>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</si>
  <si>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</si>
  <si>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</si>
  <si>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</si>
  <si>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</si>
  <si>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</si>
  <si>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</si>
  <si>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</si>
  <si>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</si>
  <si>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</si>
  <si>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</si>
  <si>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</si>
  <si>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</si>
  <si>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</si>
  <si>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</si>
  <si>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</si>
  <si>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</si>
  <si>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</si>
  <si>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</si>
  <si>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</si>
  <si>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</si>
  <si>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</si>
  <si>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</si>
  <si>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</si>
  <si>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</si>
  <si>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</si>
  <si>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</si>
  <si>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</si>
  <si>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</si>
  <si>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</si>
  <si>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</si>
  <si>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</si>
  <si>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</si>
  <si>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</si>
  <si>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</si>
  <si>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Apoio a mobilizações</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</si>
  <si>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</si>
  <si>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</si>
  <si>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</si>
  <si>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</si>
  <si>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</si>
  <si>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</si>
  <si>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</si>
  <si>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</si>
  <si>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</si>
  <si>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</si>
  <si>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</si>
  <si>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</si>
  <si>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</si>
  <si>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</si>
  <si>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</si>
  <si>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</si>
  <si>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</si>
  <si>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</si>
  <si>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</si>
  <si>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</si>
  <si>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</si>
  <si>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</si>
  <si>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</si>
  <si>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</si>
  <si>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</si>
  <si>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</si>
  <si>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</si>
  <si>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JUL</t>
  </si>
  <si>
    <t>Softwares (Office, Antivírus, Adobe mensal, Zoom)</t>
  </si>
  <si>
    <t>Computadores 5, impressoras 1, celular 2, webcam 1</t>
  </si>
  <si>
    <r>
      <t xml:space="preserve">CONTROLE FINANCEIRO 2023
</t>
    </r>
    <r>
      <rPr>
        <b/>
        <sz val="12"/>
        <rFont val="Calibri"/>
        <family val="2"/>
        <scheme val="minor"/>
      </rPr>
      <t>Posição JULHO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</si>
</sst>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0" fillId="0" borderId="1" xfId="0" applyNumberFormat="1" applyBorder="1" applyAlignment="1">
      <alignment horizontal="right"/>
    </xf>
    <xf numFmtId="4" fontId="2" fillId="10" borderId="1" xfId="0" applyNumberFormat="1" applyFont="1" applyFill="1" applyBorder="1" applyAlignment="1">
      <alignment horizontal="right"/>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0" fontId="2" fillId="5" borderId="1" xfId="0" applyFont="1" applyFill="1" applyBorder="1" applyAlignment="1">
      <alignment horizontal="center"/>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2" fillId="10" borderId="1" xfId="0" applyFont="1" applyFill="1" applyBorder="1" applyAlignment="1">
      <alignment horizontal="center"/>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7" fillId="12" borderId="4" xfId="0" applyFont="1" applyFill="1" applyBorder="1" applyAlignment="1">
      <alignment horizontal="center"/>
    </xf>
    <xf numFmtId="0" fontId="7" fillId="12" borderId="6"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4" fontId="2" fillId="5" borderId="1" xfId="0" applyNumberFormat="1" applyFont="1" applyFill="1" applyBorder="1" applyAlignment="1">
      <alignment horizontal="right"/>
    </xf>
    <xf numFmtId="0" fontId="7" fillId="12" borderId="1" xfId="0" applyFont="1" applyFill="1" applyBorder="1" applyAlignment="1">
      <alignment horizontal="center"/>
    </xf>
    <xf numFmtId="4" fontId="2" fillId="3"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4" fillId="4" borderId="1"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2" fillId="8" borderId="4" xfId="0" applyFont="1" applyFill="1" applyBorder="1" applyAlignment="1">
      <alignment horizontal="center"/>
    </xf>
    <xf numFmtId="0" fontId="2" fillId="8" borderId="5" xfId="0" applyFont="1" applyFill="1" applyBorder="1" applyAlignment="1">
      <alignment horizontal="center"/>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E115"/>
  <sheetViews>
    <sheetView tabSelected="1" workbookViewId="0">
      <pane xSplit="1" topLeftCell="B1" activePane="topRight" state="frozen"/>
      <selection activeCell="A76" sqref="A76"/>
      <selection pane="topRight" activeCell="E13" sqref="E13:G13"/>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6" max="27" width="5" customWidth="1"/>
    <col min="28" max="28" width="10.140625" bestFit="1" customWidth="1"/>
    <col min="31" max="31" width="11.42578125" customWidth="1"/>
  </cols>
  <sheetData>
    <row r="1" spans="1:31" x14ac:dyDescent="0.25">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3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row>
    <row r="3" spans="1:31" x14ac:dyDescent="0.2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row>
    <row r="4" spans="1:3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1" x14ac:dyDescent="0.25">
      <c r="A5" s="127" t="s">
        <v>111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9"/>
    </row>
    <row r="6" spans="1:31" ht="24" customHeight="1" x14ac:dyDescent="0.25">
      <c r="A6" s="130"/>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2"/>
    </row>
    <row r="9" spans="1:31" x14ac:dyDescent="0.2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row>
    <row r="11" spans="1:31" x14ac:dyDescent="0.25">
      <c r="A11" s="2" t="s">
        <v>0</v>
      </c>
      <c r="B11" s="122" t="s">
        <v>1</v>
      </c>
      <c r="C11" s="123"/>
      <c r="D11" s="124"/>
      <c r="E11" s="66" t="s">
        <v>2</v>
      </c>
      <c r="F11" s="66"/>
      <c r="G11" s="66"/>
      <c r="H11" s="66" t="s">
        <v>103</v>
      </c>
      <c r="I11" s="66"/>
      <c r="J11" s="66"/>
      <c r="K11" s="66" t="s">
        <v>104</v>
      </c>
      <c r="L11" s="66"/>
      <c r="M11" s="66"/>
      <c r="N11" s="66" t="s">
        <v>105</v>
      </c>
      <c r="O11" s="66"/>
      <c r="P11" s="66"/>
      <c r="Q11" s="66" t="s">
        <v>106</v>
      </c>
      <c r="R11" s="66"/>
      <c r="S11" s="66"/>
      <c r="T11" s="66" t="s">
        <v>107</v>
      </c>
      <c r="U11" s="66"/>
      <c r="V11" s="66"/>
      <c r="W11" s="66" t="s">
        <v>108</v>
      </c>
      <c r="X11" s="66"/>
      <c r="Y11" s="66"/>
      <c r="Z11" s="66" t="s">
        <v>3</v>
      </c>
      <c r="AA11" s="66"/>
      <c r="AB11" s="66"/>
      <c r="AC11" s="103" t="s">
        <v>4</v>
      </c>
      <c r="AD11" s="103"/>
      <c r="AE11" s="103"/>
    </row>
    <row r="12" spans="1:31" x14ac:dyDescent="0.25">
      <c r="A12" s="3" t="s">
        <v>5</v>
      </c>
      <c r="B12" s="104">
        <v>9586.0300000000007</v>
      </c>
      <c r="C12" s="104"/>
      <c r="D12" s="104"/>
      <c r="E12" s="67"/>
      <c r="F12" s="68"/>
      <c r="G12" s="69"/>
      <c r="H12" s="67"/>
      <c r="I12" s="68"/>
      <c r="J12" s="69"/>
      <c r="K12" s="67"/>
      <c r="L12" s="68"/>
      <c r="M12" s="69"/>
      <c r="N12" s="67"/>
      <c r="O12" s="68"/>
      <c r="P12" s="69"/>
      <c r="Q12" s="67"/>
      <c r="R12" s="68"/>
      <c r="S12" s="69"/>
      <c r="T12" s="67"/>
      <c r="U12" s="68"/>
      <c r="V12" s="69"/>
      <c r="W12" s="67"/>
      <c r="X12" s="68"/>
      <c r="Y12" s="69"/>
      <c r="Z12" s="67"/>
      <c r="AA12" s="68"/>
      <c r="AB12" s="69"/>
      <c r="AC12" s="104">
        <v>9586.0300000000007</v>
      </c>
      <c r="AD12" s="104"/>
      <c r="AE12" s="104"/>
    </row>
    <row r="13" spans="1:31" x14ac:dyDescent="0.25">
      <c r="A13" s="4" t="s">
        <v>6</v>
      </c>
      <c r="B13" s="51">
        <v>13836</v>
      </c>
      <c r="C13" s="51"/>
      <c r="D13" s="51"/>
      <c r="E13" s="70"/>
      <c r="F13" s="71"/>
      <c r="G13" s="72"/>
      <c r="H13" s="70"/>
      <c r="I13" s="71"/>
      <c r="J13" s="72"/>
      <c r="K13" s="70"/>
      <c r="L13" s="71"/>
      <c r="M13" s="72"/>
      <c r="N13" s="70"/>
      <c r="O13" s="71"/>
      <c r="P13" s="72"/>
      <c r="Q13" s="70"/>
      <c r="R13" s="71"/>
      <c r="S13" s="72"/>
      <c r="T13" s="70"/>
      <c r="U13" s="71"/>
      <c r="V13" s="72"/>
      <c r="W13" s="70"/>
      <c r="X13" s="71"/>
      <c r="Y13" s="72"/>
      <c r="Z13" s="67"/>
      <c r="AA13" s="68"/>
      <c r="AB13" s="69"/>
      <c r="AC13" s="51"/>
      <c r="AD13" s="51"/>
      <c r="AE13" s="51"/>
    </row>
    <row r="14" spans="1:31" x14ac:dyDescent="0.25">
      <c r="A14" s="4" t="s">
        <v>7</v>
      </c>
      <c r="B14" s="51">
        <v>642.76</v>
      </c>
      <c r="C14" s="51"/>
      <c r="D14" s="51"/>
      <c r="E14" s="70"/>
      <c r="F14" s="71"/>
      <c r="G14" s="72"/>
      <c r="H14" s="70"/>
      <c r="I14" s="71"/>
      <c r="J14" s="72"/>
      <c r="K14" s="70"/>
      <c r="L14" s="71"/>
      <c r="M14" s="72"/>
      <c r="N14" s="70"/>
      <c r="O14" s="71"/>
      <c r="P14" s="72"/>
      <c r="Q14" s="70"/>
      <c r="R14" s="71"/>
      <c r="S14" s="72"/>
      <c r="T14" s="70"/>
      <c r="U14" s="71"/>
      <c r="V14" s="72"/>
      <c r="W14" s="70"/>
      <c r="X14" s="71"/>
      <c r="Y14" s="72"/>
      <c r="Z14" s="67"/>
      <c r="AA14" s="68"/>
      <c r="AB14" s="69"/>
      <c r="AC14" s="51">
        <v>3678042.01</v>
      </c>
      <c r="AD14" s="51"/>
      <c r="AE14" s="51"/>
    </row>
    <row r="15" spans="1:31" x14ac:dyDescent="0.25">
      <c r="A15" s="4" t="s">
        <v>8</v>
      </c>
      <c r="B15" s="51">
        <v>-4892.7299999999996</v>
      </c>
      <c r="C15" s="51"/>
      <c r="D15" s="51"/>
      <c r="E15" s="70"/>
      <c r="F15" s="71"/>
      <c r="G15" s="72"/>
      <c r="H15" s="70"/>
      <c r="I15" s="71"/>
      <c r="J15" s="72"/>
      <c r="K15" s="70"/>
      <c r="L15" s="71"/>
      <c r="M15" s="72"/>
      <c r="N15" s="70"/>
      <c r="O15" s="71"/>
      <c r="P15" s="72"/>
      <c r="Q15" s="70"/>
      <c r="R15" s="71"/>
      <c r="S15" s="72"/>
      <c r="T15" s="70"/>
      <c r="U15" s="71"/>
      <c r="V15" s="72"/>
      <c r="W15" s="70"/>
      <c r="X15" s="71"/>
      <c r="Y15" s="72"/>
      <c r="Z15" s="67"/>
      <c r="AA15" s="68"/>
      <c r="AB15" s="69"/>
      <c r="AC15" s="51"/>
      <c r="AD15" s="51"/>
      <c r="AE15" s="51"/>
    </row>
    <row r="16" spans="1:31" x14ac:dyDescent="0.25">
      <c r="A16" s="5" t="s">
        <v>9</v>
      </c>
      <c r="B16" s="106">
        <v>7482215.21</v>
      </c>
      <c r="C16" s="106"/>
      <c r="D16" s="106"/>
      <c r="E16" s="73"/>
      <c r="F16" s="74"/>
      <c r="G16" s="75"/>
      <c r="H16" s="73"/>
      <c r="I16" s="74"/>
      <c r="J16" s="75"/>
      <c r="K16" s="73"/>
      <c r="L16" s="74"/>
      <c r="M16" s="75"/>
      <c r="N16" s="73"/>
      <c r="O16" s="74"/>
      <c r="P16" s="75"/>
      <c r="Q16" s="73"/>
      <c r="R16" s="74"/>
      <c r="S16" s="75"/>
      <c r="T16" s="73"/>
      <c r="U16" s="74"/>
      <c r="V16" s="75"/>
      <c r="W16" s="73"/>
      <c r="X16" s="74"/>
      <c r="Y16" s="75"/>
      <c r="Z16" s="73"/>
      <c r="AA16" s="74"/>
      <c r="AB16" s="75"/>
      <c r="AC16" s="106">
        <v>7517500.7700000005</v>
      </c>
      <c r="AD16" s="106"/>
      <c r="AE16" s="106"/>
    </row>
    <row r="17" spans="1:31" x14ac:dyDescent="0.25">
      <c r="A17" s="6" t="s">
        <v>10</v>
      </c>
      <c r="B17" s="105">
        <v>4141891.3</v>
      </c>
      <c r="C17" s="105"/>
      <c r="D17" s="105"/>
      <c r="E17" s="76"/>
      <c r="F17" s="77"/>
      <c r="G17" s="78"/>
      <c r="H17" s="76"/>
      <c r="I17" s="77"/>
      <c r="J17" s="78"/>
      <c r="K17" s="76"/>
      <c r="L17" s="77"/>
      <c r="M17" s="78"/>
      <c r="N17" s="76"/>
      <c r="O17" s="77"/>
      <c r="P17" s="78"/>
      <c r="Q17" s="76"/>
      <c r="R17" s="77"/>
      <c r="S17" s="78"/>
      <c r="T17" s="76"/>
      <c r="U17" s="77"/>
      <c r="V17" s="78"/>
      <c r="W17" s="76"/>
      <c r="X17" s="77"/>
      <c r="Y17" s="78"/>
      <c r="Z17" s="76"/>
      <c r="AA17" s="77"/>
      <c r="AB17" s="78"/>
      <c r="AC17" s="105">
        <v>4169015.9000000004</v>
      </c>
      <c r="AD17" s="105"/>
      <c r="AE17" s="105"/>
    </row>
    <row r="18" spans="1:31" x14ac:dyDescent="0.25">
      <c r="A18" s="5" t="s">
        <v>11</v>
      </c>
      <c r="B18" s="102">
        <f>B16-B17</f>
        <v>3340323.91</v>
      </c>
      <c r="C18" s="102"/>
      <c r="D18" s="102"/>
      <c r="E18" s="79"/>
      <c r="F18" s="80"/>
      <c r="G18" s="81"/>
      <c r="H18" s="79"/>
      <c r="I18" s="80"/>
      <c r="J18" s="81"/>
      <c r="K18" s="79"/>
      <c r="L18" s="80"/>
      <c r="M18" s="81"/>
      <c r="N18" s="79"/>
      <c r="O18" s="80"/>
      <c r="P18" s="81"/>
      <c r="Q18" s="79"/>
      <c r="R18" s="80"/>
      <c r="S18" s="81"/>
      <c r="T18" s="79"/>
      <c r="U18" s="80"/>
      <c r="V18" s="81"/>
      <c r="W18" s="79"/>
      <c r="X18" s="80"/>
      <c r="Y18" s="81"/>
      <c r="Z18" s="79"/>
      <c r="AA18" s="80"/>
      <c r="AB18" s="81"/>
      <c r="AC18" s="102">
        <v>3358070.9</v>
      </c>
      <c r="AD18" s="102"/>
      <c r="AE18" s="102"/>
    </row>
    <row r="21" spans="1:31" x14ac:dyDescent="0.25">
      <c r="A21" s="120" t="s">
        <v>12</v>
      </c>
      <c r="B21" s="122" t="s">
        <v>1</v>
      </c>
      <c r="C21" s="123"/>
      <c r="D21" s="124"/>
      <c r="E21" s="66" t="s">
        <v>2</v>
      </c>
      <c r="F21" s="66"/>
      <c r="G21" s="66"/>
      <c r="H21" s="66" t="s">
        <v>103</v>
      </c>
      <c r="I21" s="66"/>
      <c r="J21" s="66"/>
      <c r="K21" s="66" t="s">
        <v>104</v>
      </c>
      <c r="L21" s="66"/>
      <c r="M21" s="66"/>
      <c r="N21" s="66" t="s">
        <v>105</v>
      </c>
      <c r="O21" s="66"/>
      <c r="P21" s="66"/>
      <c r="Q21" s="66" t="s">
        <v>106</v>
      </c>
      <c r="R21" s="66"/>
      <c r="S21" s="66"/>
      <c r="T21" s="66" t="s">
        <v>107</v>
      </c>
      <c r="U21" s="66"/>
      <c r="V21" s="66"/>
      <c r="W21" s="66" t="s">
        <v>108</v>
      </c>
      <c r="X21" s="66"/>
      <c r="Y21" s="66"/>
      <c r="Z21" s="66" t="s">
        <v>3</v>
      </c>
      <c r="AA21" s="66"/>
      <c r="AB21" s="66"/>
      <c r="AC21" s="100" t="s">
        <v>13</v>
      </c>
      <c r="AD21" s="98" t="s">
        <v>4</v>
      </c>
      <c r="AE21" s="99"/>
    </row>
    <row r="22" spans="1:31" x14ac:dyDescent="0.25">
      <c r="A22" s="121"/>
      <c r="B22" s="133" t="s">
        <v>14</v>
      </c>
      <c r="C22" s="134"/>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26" t="s">
        <v>16</v>
      </c>
      <c r="AA22" s="26" t="s">
        <v>17</v>
      </c>
      <c r="AB22" s="32" t="s">
        <v>15</v>
      </c>
      <c r="AC22" s="101"/>
      <c r="AD22" s="30" t="s">
        <v>14</v>
      </c>
      <c r="AE22" s="34" t="s">
        <v>15</v>
      </c>
    </row>
    <row r="23" spans="1:31" x14ac:dyDescent="0.25">
      <c r="A23" s="7" t="s">
        <v>18</v>
      </c>
      <c r="B23" s="112">
        <v>158</v>
      </c>
      <c r="C23" s="112"/>
      <c r="D23" s="27">
        <v>208300.66</v>
      </c>
      <c r="E23" s="29"/>
      <c r="F23" s="29"/>
      <c r="G23" s="37"/>
      <c r="H23" s="29"/>
      <c r="I23" s="29"/>
      <c r="J23" s="37"/>
      <c r="K23" s="29"/>
      <c r="L23" s="29"/>
      <c r="M23" s="37"/>
      <c r="N23" s="29"/>
      <c r="O23" s="29"/>
      <c r="P23" s="37"/>
      <c r="Q23" s="29"/>
      <c r="R23" s="29"/>
      <c r="S23" s="37"/>
      <c r="T23" s="29"/>
      <c r="U23" s="29"/>
      <c r="V23" s="37"/>
      <c r="W23" s="29"/>
      <c r="X23" s="29"/>
      <c r="Y23" s="37"/>
      <c r="Z23" s="29"/>
      <c r="AA23" s="29"/>
      <c r="AB23" s="33"/>
      <c r="AC23" s="39"/>
      <c r="AD23" s="42">
        <v>158</v>
      </c>
      <c r="AE23" s="35">
        <v>208300.66</v>
      </c>
    </row>
    <row r="24" spans="1:31" x14ac:dyDescent="0.25">
      <c r="A24" s="4" t="s">
        <v>19</v>
      </c>
      <c r="B24" s="112">
        <v>7373</v>
      </c>
      <c r="C24" s="112"/>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29">
        <f>-1</f>
        <v>-1</v>
      </c>
      <c r="X24" s="29">
        <f>0</f>
        <v>0</v>
      </c>
      <c r="Y24" s="33">
        <f>30+60+20+690</f>
        <v>800</v>
      </c>
      <c r="Z24" s="39">
        <f>E24+H24+K24+N24+Q24+T24+W24</f>
        <v>-81</v>
      </c>
      <c r="AA24" s="39">
        <f>F24+I24+L24+O24+R24+U24+X24</f>
        <v>16</v>
      </c>
      <c r="AB24" s="33">
        <f>G24+J24+M24+P24+S24+V24+Y24</f>
        <v>673760</v>
      </c>
      <c r="AC24" s="43">
        <v>3.4008245866014308E-2</v>
      </c>
      <c r="AD24" s="40">
        <f>7373+Z24+AA24</f>
        <v>7308</v>
      </c>
      <c r="AE24" s="1">
        <f>6494787.37+AB24</f>
        <v>7168547.3700000001</v>
      </c>
    </row>
    <row r="25" spans="1:31" x14ac:dyDescent="0.25">
      <c r="A25" s="8" t="s">
        <v>20</v>
      </c>
      <c r="B25" s="112"/>
      <c r="C25" s="112"/>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33">
        <f>395.63+29793.85+11274.96</f>
        <v>41464.44</v>
      </c>
      <c r="Z25" s="29"/>
      <c r="AA25" s="29"/>
      <c r="AB25" s="33">
        <f>G25+J25+M25+P25+S25+V25+Y25</f>
        <v>250226.82</v>
      </c>
      <c r="AC25" s="44">
        <v>0.96599175413398575</v>
      </c>
      <c r="AD25" s="42"/>
      <c r="AE25" s="1">
        <f>728012.45+AB25</f>
        <v>978239.27</v>
      </c>
    </row>
    <row r="26" spans="1:31" x14ac:dyDescent="0.25">
      <c r="A26" s="9" t="s">
        <v>21</v>
      </c>
      <c r="B26" s="112"/>
      <c r="C26" s="112"/>
      <c r="D26" s="27">
        <v>51114.73</v>
      </c>
      <c r="E26" s="29"/>
      <c r="F26" s="29"/>
      <c r="G26" s="37"/>
      <c r="H26" s="29"/>
      <c r="I26" s="29"/>
      <c r="J26" s="37"/>
      <c r="K26" s="29"/>
      <c r="L26" s="29"/>
      <c r="M26" s="37"/>
      <c r="N26" s="29"/>
      <c r="O26" s="29"/>
      <c r="P26" s="37"/>
      <c r="Q26" s="29"/>
      <c r="R26" s="29"/>
      <c r="S26" s="37"/>
      <c r="T26" s="29"/>
      <c r="U26" s="29"/>
      <c r="V26" s="37"/>
      <c r="W26" s="29"/>
      <c r="X26" s="29"/>
      <c r="Y26" s="37"/>
      <c r="Z26" s="29"/>
      <c r="AA26" s="29"/>
      <c r="AB26" s="33">
        <v>0</v>
      </c>
      <c r="AC26" s="45">
        <v>0</v>
      </c>
      <c r="AD26" s="42"/>
      <c r="AE26" s="35">
        <f>51114.73+AB26</f>
        <v>51114.73</v>
      </c>
    </row>
    <row r="27" spans="1:31" x14ac:dyDescent="0.25">
      <c r="A27" s="10" t="s">
        <v>22</v>
      </c>
      <c r="B27" s="113">
        <f>SUM(B23:C26)</f>
        <v>7531</v>
      </c>
      <c r="C27" s="113"/>
      <c r="D27" s="28">
        <f>SUM(D23:D26)</f>
        <v>7482215.2100000009</v>
      </c>
      <c r="E27" s="82">
        <f>B27+E24+F24</f>
        <v>7523</v>
      </c>
      <c r="F27" s="83"/>
      <c r="G27" s="38">
        <f>SUM(G24:G26)</f>
        <v>35285.560000000005</v>
      </c>
      <c r="H27" s="82">
        <f>E27+H24+I24</f>
        <v>7516</v>
      </c>
      <c r="I27" s="83"/>
      <c r="J27" s="38">
        <f>SUM(J24:J26)</f>
        <v>248879.87</v>
      </c>
      <c r="K27" s="82">
        <f>H27+K24+L24</f>
        <v>7510</v>
      </c>
      <c r="L27" s="83"/>
      <c r="M27" s="38">
        <f>SUM(M24:M26)</f>
        <v>39330.560000000005</v>
      </c>
      <c r="N27" s="82">
        <f>K27+N24+O24</f>
        <v>7487</v>
      </c>
      <c r="O27" s="83"/>
      <c r="P27" s="38">
        <f>SUM(P24:P26)</f>
        <v>253685.18</v>
      </c>
      <c r="Q27" s="82">
        <f>N27+Q24+R24</f>
        <v>7482</v>
      </c>
      <c r="R27" s="83"/>
      <c r="S27" s="38">
        <f>SUM(S24:S26)</f>
        <v>43038.080000000002</v>
      </c>
      <c r="T27" s="82">
        <f>Q27+T24+U24</f>
        <v>7467</v>
      </c>
      <c r="U27" s="83"/>
      <c r="V27" s="38">
        <f>SUM(V24:V26)</f>
        <v>261503.13</v>
      </c>
      <c r="W27" s="82">
        <f>T27+W24+X24</f>
        <v>7466</v>
      </c>
      <c r="X27" s="83"/>
      <c r="Y27" s="38">
        <f>SUM(Y24:Y26)</f>
        <v>42264.44</v>
      </c>
      <c r="Z27" s="82">
        <f>B27+Z24+AA24</f>
        <v>7466</v>
      </c>
      <c r="AA27" s="83"/>
      <c r="AB27" s="38">
        <f>SUM(AB24:AB26)</f>
        <v>923986.82000000007</v>
      </c>
      <c r="AC27" s="46">
        <v>1</v>
      </c>
      <c r="AD27" s="41">
        <f>SUM(AD23:AD26)</f>
        <v>7466</v>
      </c>
      <c r="AE27" s="36">
        <f>SUM(AE23:AE26)</f>
        <v>8406202.0300000012</v>
      </c>
    </row>
    <row r="30" spans="1:31" ht="15.75" x14ac:dyDescent="0.25">
      <c r="A30" s="85" t="s">
        <v>23</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row>
    <row r="32" spans="1:31" x14ac:dyDescent="0.25">
      <c r="A32" s="11" t="s">
        <v>10</v>
      </c>
      <c r="B32" s="122" t="s">
        <v>1</v>
      </c>
      <c r="C32" s="123"/>
      <c r="D32" s="124"/>
      <c r="E32" s="66" t="s">
        <v>2</v>
      </c>
      <c r="F32" s="66"/>
      <c r="G32" s="66"/>
      <c r="H32" s="66" t="s">
        <v>103</v>
      </c>
      <c r="I32" s="66"/>
      <c r="J32" s="66"/>
      <c r="K32" s="66" t="s">
        <v>104</v>
      </c>
      <c r="L32" s="66"/>
      <c r="M32" s="66"/>
      <c r="N32" s="66" t="s">
        <v>105</v>
      </c>
      <c r="O32" s="66"/>
      <c r="P32" s="66"/>
      <c r="Q32" s="66" t="s">
        <v>106</v>
      </c>
      <c r="R32" s="66"/>
      <c r="S32" s="66"/>
      <c r="T32" s="66" t="s">
        <v>107</v>
      </c>
      <c r="U32" s="66"/>
      <c r="V32" s="66"/>
      <c r="W32" s="66" t="s">
        <v>108</v>
      </c>
      <c r="X32" s="66"/>
      <c r="Y32" s="66"/>
      <c r="Z32" s="66" t="s">
        <v>3</v>
      </c>
      <c r="AA32" s="66"/>
      <c r="AB32" s="66"/>
      <c r="AC32" s="31" t="s">
        <v>13</v>
      </c>
      <c r="AD32" s="98" t="s">
        <v>4</v>
      </c>
      <c r="AE32" s="99"/>
    </row>
    <row r="33" spans="1:31" x14ac:dyDescent="0.25">
      <c r="A33" s="12" t="s">
        <v>24</v>
      </c>
      <c r="B33" s="63">
        <f>SUM(B34:D41)</f>
        <v>862011.09000000008</v>
      </c>
      <c r="C33" s="64"/>
      <c r="D33" s="65"/>
      <c r="E33" s="63">
        <f>SUM(E34:G41)</f>
        <v>14420</v>
      </c>
      <c r="F33" s="64"/>
      <c r="G33" s="65"/>
      <c r="H33" s="63">
        <f t="shared" ref="H33" si="0">SUM(H34:J41)</f>
        <v>15790</v>
      </c>
      <c r="I33" s="64"/>
      <c r="J33" s="65"/>
      <c r="K33" s="63">
        <f t="shared" ref="K33" si="1">SUM(K34:M41)</f>
        <v>16140</v>
      </c>
      <c r="L33" s="64"/>
      <c r="M33" s="65"/>
      <c r="N33" s="63">
        <f t="shared" ref="N33" si="2">SUM(N34:P41)</f>
        <v>12390</v>
      </c>
      <c r="O33" s="64"/>
      <c r="P33" s="65"/>
      <c r="Q33" s="63">
        <f t="shared" ref="Q33" si="3">SUM(Q34:S41)</f>
        <v>12390</v>
      </c>
      <c r="R33" s="64"/>
      <c r="S33" s="65"/>
      <c r="T33" s="63">
        <f t="shared" ref="T33" si="4">SUM(T34:V41)</f>
        <v>22884</v>
      </c>
      <c r="U33" s="64"/>
      <c r="V33" s="65"/>
      <c r="W33" s="63">
        <f t="shared" ref="W33" si="5">SUM(W34:Y41)</f>
        <v>16284</v>
      </c>
      <c r="X33" s="64"/>
      <c r="Y33" s="65"/>
      <c r="Z33" s="63">
        <f>SUM(Z34:AB41)</f>
        <v>110298</v>
      </c>
      <c r="AA33" s="64"/>
      <c r="AB33" s="65"/>
      <c r="AC33" s="49">
        <v>0.53162074279436378</v>
      </c>
      <c r="AD33" s="90">
        <f>SUM(AD34:AE41)</f>
        <v>972309.09000000008</v>
      </c>
      <c r="AE33" s="91"/>
    </row>
    <row r="34" spans="1:31" x14ac:dyDescent="0.25">
      <c r="A34" s="13" t="s">
        <v>25</v>
      </c>
      <c r="B34" s="114">
        <v>86065.64</v>
      </c>
      <c r="C34" s="115"/>
      <c r="D34" s="116"/>
      <c r="E34" s="53">
        <v>0</v>
      </c>
      <c r="F34" s="54"/>
      <c r="G34" s="55"/>
      <c r="H34" s="53">
        <f>0</f>
        <v>0</v>
      </c>
      <c r="I34" s="54"/>
      <c r="J34" s="55"/>
      <c r="K34" s="53">
        <f>0</f>
        <v>0</v>
      </c>
      <c r="L34" s="54"/>
      <c r="M34" s="55"/>
      <c r="N34" s="53">
        <f>0</f>
        <v>0</v>
      </c>
      <c r="O34" s="54"/>
      <c r="P34" s="55"/>
      <c r="Q34" s="53">
        <f>0</f>
        <v>0</v>
      </c>
      <c r="R34" s="54"/>
      <c r="S34" s="55"/>
      <c r="T34" s="53">
        <f>0</f>
        <v>0</v>
      </c>
      <c r="U34" s="54"/>
      <c r="V34" s="55"/>
      <c r="W34" s="53">
        <f>0</f>
        <v>0</v>
      </c>
      <c r="X34" s="54"/>
      <c r="Y34" s="55"/>
      <c r="Z34" s="108">
        <f>0+E34+H34+K34+N34+Q34+T34+W34</f>
        <v>0</v>
      </c>
      <c r="AA34" s="109"/>
      <c r="AB34" s="110"/>
      <c r="AC34" s="43">
        <v>0</v>
      </c>
      <c r="AD34" s="88">
        <f>86065.64+Z34</f>
        <v>86065.64</v>
      </c>
      <c r="AE34" s="88"/>
    </row>
    <row r="35" spans="1:31" x14ac:dyDescent="0.25">
      <c r="A35" s="14" t="s">
        <v>26</v>
      </c>
      <c r="B35" s="114">
        <v>252000</v>
      </c>
      <c r="C35" s="115"/>
      <c r="D35" s="116"/>
      <c r="E35" s="53">
        <v>6000</v>
      </c>
      <c r="F35" s="54"/>
      <c r="G35" s="55"/>
      <c r="H35" s="53">
        <f>7500</f>
        <v>7500</v>
      </c>
      <c r="I35" s="54"/>
      <c r="J35" s="55"/>
      <c r="K35" s="53">
        <f>7500</f>
        <v>7500</v>
      </c>
      <c r="L35" s="54"/>
      <c r="M35" s="55"/>
      <c r="N35" s="53">
        <f>7500</f>
        <v>7500</v>
      </c>
      <c r="O35" s="54"/>
      <c r="P35" s="55"/>
      <c r="Q35" s="53">
        <f>7500</f>
        <v>7500</v>
      </c>
      <c r="R35" s="54"/>
      <c r="S35" s="55"/>
      <c r="T35" s="53">
        <f>7500</f>
        <v>7500</v>
      </c>
      <c r="U35" s="54"/>
      <c r="V35" s="55"/>
      <c r="W35" s="53">
        <f>7500</f>
        <v>7500</v>
      </c>
      <c r="X35" s="54"/>
      <c r="Y35" s="55"/>
      <c r="Z35" s="108">
        <f>0+E35+H35+K35+N35+Q35+T35+W35</f>
        <v>51000</v>
      </c>
      <c r="AA35" s="109"/>
      <c r="AB35" s="110"/>
      <c r="AC35" s="43">
        <v>0.22120141863843154</v>
      </c>
      <c r="AD35" s="86">
        <f>252000+Z35</f>
        <v>303000</v>
      </c>
      <c r="AE35" s="87"/>
    </row>
    <row r="36" spans="1:31" x14ac:dyDescent="0.25">
      <c r="A36" s="13" t="s">
        <v>27</v>
      </c>
      <c r="B36" s="114">
        <v>85526.52</v>
      </c>
      <c r="C36" s="115"/>
      <c r="D36" s="116"/>
      <c r="E36" s="53">
        <v>1620</v>
      </c>
      <c r="F36" s="54"/>
      <c r="G36" s="55"/>
      <c r="H36" s="53">
        <f>1288</f>
        <v>1288</v>
      </c>
      <c r="I36" s="54"/>
      <c r="J36" s="55"/>
      <c r="K36" s="53">
        <f>1638</f>
        <v>1638</v>
      </c>
      <c r="L36" s="54"/>
      <c r="M36" s="55"/>
      <c r="N36" s="53">
        <f>1188</f>
        <v>1188</v>
      </c>
      <c r="O36" s="54"/>
      <c r="P36" s="55"/>
      <c r="Q36" s="53">
        <f>1188</f>
        <v>1188</v>
      </c>
      <c r="R36" s="54"/>
      <c r="S36" s="55"/>
      <c r="T36" s="53">
        <f>1782</f>
        <v>1782</v>
      </c>
      <c r="U36" s="54"/>
      <c r="V36" s="55"/>
      <c r="W36" s="53">
        <f>1782</f>
        <v>1782</v>
      </c>
      <c r="X36" s="54"/>
      <c r="Y36" s="55"/>
      <c r="Z36" s="108">
        <f>0+E36+H36+K36+N36+Q36+T36+W36</f>
        <v>10486</v>
      </c>
      <c r="AA36" s="109"/>
      <c r="AB36" s="110"/>
      <c r="AC36" s="43">
        <v>5.9724383032376517E-2</v>
      </c>
      <c r="AD36" s="86">
        <f>85526.52+Z36</f>
        <v>96012.52</v>
      </c>
      <c r="AE36" s="87"/>
    </row>
    <row r="37" spans="1:31" x14ac:dyDescent="0.25">
      <c r="A37" s="13" t="s">
        <v>28</v>
      </c>
      <c r="B37" s="114">
        <v>215821.12</v>
      </c>
      <c r="C37" s="115"/>
      <c r="D37" s="116"/>
      <c r="E37" s="53">
        <v>0</v>
      </c>
      <c r="F37" s="54"/>
      <c r="G37" s="55"/>
      <c r="H37" s="53">
        <f>0</f>
        <v>0</v>
      </c>
      <c r="I37" s="54"/>
      <c r="J37" s="55"/>
      <c r="K37" s="53">
        <f>0</f>
        <v>0</v>
      </c>
      <c r="L37" s="54"/>
      <c r="M37" s="55"/>
      <c r="N37" s="53">
        <f>0</f>
        <v>0</v>
      </c>
      <c r="O37" s="54"/>
      <c r="P37" s="55"/>
      <c r="Q37" s="53">
        <f>0</f>
        <v>0</v>
      </c>
      <c r="R37" s="54"/>
      <c r="S37" s="55"/>
      <c r="T37" s="53">
        <f>0</f>
        <v>0</v>
      </c>
      <c r="U37" s="54"/>
      <c r="V37" s="55"/>
      <c r="W37" s="53">
        <f>0</f>
        <v>0</v>
      </c>
      <c r="X37" s="54"/>
      <c r="Y37" s="55"/>
      <c r="Z37" s="108">
        <f>0+E37+H37+K37+N37+Q37+T37+W37</f>
        <v>0</v>
      </c>
      <c r="AA37" s="109"/>
      <c r="AB37" s="110"/>
      <c r="AC37" s="43">
        <v>0</v>
      </c>
      <c r="AD37" s="86">
        <f>215821.12+Z37</f>
        <v>215821.12</v>
      </c>
      <c r="AE37" s="87"/>
    </row>
    <row r="38" spans="1:31" x14ac:dyDescent="0.25">
      <c r="A38" s="15" t="s">
        <v>29</v>
      </c>
      <c r="B38" s="117">
        <v>154310.15</v>
      </c>
      <c r="C38" s="118"/>
      <c r="D38" s="119"/>
      <c r="E38" s="53">
        <v>3500</v>
      </c>
      <c r="F38" s="54"/>
      <c r="G38" s="55"/>
      <c r="H38" s="53">
        <f>3702</f>
        <v>3702</v>
      </c>
      <c r="I38" s="54"/>
      <c r="J38" s="55"/>
      <c r="K38" s="53">
        <f>3702</f>
        <v>3702</v>
      </c>
      <c r="L38" s="54"/>
      <c r="M38" s="55"/>
      <c r="N38" s="53">
        <f>3702</f>
        <v>3702</v>
      </c>
      <c r="O38" s="54"/>
      <c r="P38" s="55"/>
      <c r="Q38" s="53">
        <f>3702</f>
        <v>3702</v>
      </c>
      <c r="R38" s="54"/>
      <c r="S38" s="55"/>
      <c r="T38" s="53">
        <f>3702</f>
        <v>3702</v>
      </c>
      <c r="U38" s="54"/>
      <c r="V38" s="55"/>
      <c r="W38" s="53">
        <f>3702</f>
        <v>3702</v>
      </c>
      <c r="X38" s="54"/>
      <c r="Y38" s="55"/>
      <c r="Z38" s="108">
        <f>0+E38+H38+K38+N38+Q38+T38+W38</f>
        <v>25712</v>
      </c>
      <c r="AA38" s="109"/>
      <c r="AB38" s="110"/>
      <c r="AC38" s="43">
        <v>0.1290341608724184</v>
      </c>
      <c r="AD38" s="92">
        <f>154310.15+Z38</f>
        <v>180022.15</v>
      </c>
      <c r="AE38" s="93"/>
    </row>
    <row r="39" spans="1:31" x14ac:dyDescent="0.25">
      <c r="A39" s="15" t="s">
        <v>30</v>
      </c>
      <c r="B39" s="117">
        <v>57993.66</v>
      </c>
      <c r="C39" s="118"/>
      <c r="D39" s="119"/>
      <c r="E39" s="53">
        <v>3300</v>
      </c>
      <c r="F39" s="54"/>
      <c r="G39" s="55"/>
      <c r="H39" s="53">
        <f>3300</f>
        <v>3300</v>
      </c>
      <c r="I39" s="54"/>
      <c r="J39" s="55"/>
      <c r="K39" s="53">
        <f>3300</f>
        <v>3300</v>
      </c>
      <c r="L39" s="54"/>
      <c r="M39" s="55"/>
      <c r="N39" s="53">
        <f>0</f>
        <v>0</v>
      </c>
      <c r="O39" s="54"/>
      <c r="P39" s="55"/>
      <c r="Q39" s="53">
        <f>0</f>
        <v>0</v>
      </c>
      <c r="R39" s="54"/>
      <c r="S39" s="55"/>
      <c r="T39" s="53">
        <f>3300+3300+3300</f>
        <v>9900</v>
      </c>
      <c r="U39" s="54"/>
      <c r="V39" s="55"/>
      <c r="W39" s="53">
        <f>3300</f>
        <v>3300</v>
      </c>
      <c r="X39" s="54"/>
      <c r="Y39" s="55"/>
      <c r="Z39" s="108">
        <f>0+E39+H39+K39+N39+Q39+T39+W39</f>
        <v>23100</v>
      </c>
      <c r="AA39" s="109"/>
      <c r="AB39" s="110"/>
      <c r="AC39" s="43">
        <v>0.12166078025113736</v>
      </c>
      <c r="AD39" s="92">
        <f>57993.66+Z39</f>
        <v>81093.66</v>
      </c>
      <c r="AE39" s="93"/>
    </row>
    <row r="40" spans="1:31" x14ac:dyDescent="0.25">
      <c r="A40" s="15" t="s">
        <v>31</v>
      </c>
      <c r="B40" s="117">
        <v>8289</v>
      </c>
      <c r="C40" s="118"/>
      <c r="D40" s="119"/>
      <c r="E40" s="53">
        <v>0</v>
      </c>
      <c r="F40" s="54"/>
      <c r="G40" s="55"/>
      <c r="H40" s="53">
        <f>0</f>
        <v>0</v>
      </c>
      <c r="I40" s="54"/>
      <c r="J40" s="55"/>
      <c r="K40" s="53">
        <f>0</f>
        <v>0</v>
      </c>
      <c r="L40" s="54"/>
      <c r="M40" s="55"/>
      <c r="N40" s="53">
        <f>0</f>
        <v>0</v>
      </c>
      <c r="O40" s="54"/>
      <c r="P40" s="55"/>
      <c r="Q40" s="53">
        <f>0</f>
        <v>0</v>
      </c>
      <c r="R40" s="54"/>
      <c r="S40" s="55"/>
      <c r="T40" s="53">
        <f>0</f>
        <v>0</v>
      </c>
      <c r="U40" s="54"/>
      <c r="V40" s="55"/>
      <c r="W40" s="53">
        <f>0</f>
        <v>0</v>
      </c>
      <c r="X40" s="54"/>
      <c r="Y40" s="55"/>
      <c r="Z40" s="108">
        <f>0+E40+H40+K40+N40+Q40+T40+W40</f>
        <v>0</v>
      </c>
      <c r="AA40" s="109"/>
      <c r="AB40" s="110"/>
      <c r="AC40" s="43">
        <v>0</v>
      </c>
      <c r="AD40" s="92">
        <f>8289+Z40</f>
        <v>8289</v>
      </c>
      <c r="AE40" s="93"/>
    </row>
    <row r="41" spans="1:31" x14ac:dyDescent="0.25">
      <c r="A41" s="13" t="s">
        <v>32</v>
      </c>
      <c r="B41" s="114">
        <v>2005</v>
      </c>
      <c r="C41" s="115"/>
      <c r="D41" s="116"/>
      <c r="E41" s="53">
        <v>0</v>
      </c>
      <c r="F41" s="54"/>
      <c r="G41" s="55"/>
      <c r="H41" s="53">
        <f>0</f>
        <v>0</v>
      </c>
      <c r="I41" s="54"/>
      <c r="J41" s="55"/>
      <c r="K41" s="53">
        <f>0</f>
        <v>0</v>
      </c>
      <c r="L41" s="54"/>
      <c r="M41" s="55"/>
      <c r="N41" s="53">
        <f>0</f>
        <v>0</v>
      </c>
      <c r="O41" s="54"/>
      <c r="P41" s="55"/>
      <c r="Q41" s="53">
        <f>0</f>
        <v>0</v>
      </c>
      <c r="R41" s="54"/>
      <c r="S41" s="55"/>
      <c r="T41" s="53">
        <f>0</f>
        <v>0</v>
      </c>
      <c r="U41" s="54"/>
      <c r="V41" s="55"/>
      <c r="W41" s="53">
        <f>0</f>
        <v>0</v>
      </c>
      <c r="X41" s="54"/>
      <c r="Y41" s="55"/>
      <c r="Z41" s="108">
        <f>0+E41+H41+K41+N41+Q41+T41+W41</f>
        <v>0</v>
      </c>
      <c r="AA41" s="109"/>
      <c r="AB41" s="110"/>
      <c r="AC41" s="43">
        <v>0</v>
      </c>
      <c r="AD41" s="86">
        <f>2005+Z41</f>
        <v>2005</v>
      </c>
      <c r="AE41" s="87"/>
    </row>
    <row r="42" spans="1:31" x14ac:dyDescent="0.25">
      <c r="A42" s="12" t="s">
        <v>33</v>
      </c>
      <c r="B42" s="63">
        <f>SUM(B43:D45)</f>
        <v>749546.74</v>
      </c>
      <c r="C42" s="64"/>
      <c r="D42" s="65"/>
      <c r="E42" s="63">
        <f t="shared" ref="E42" si="6">SUM(E43:G45)</f>
        <v>0</v>
      </c>
      <c r="F42" s="64"/>
      <c r="G42" s="65"/>
      <c r="H42" s="63">
        <f t="shared" ref="H42" si="7">SUM(H43:J45)</f>
        <v>0</v>
      </c>
      <c r="I42" s="64"/>
      <c r="J42" s="65"/>
      <c r="K42" s="63">
        <f t="shared" ref="K42" si="8">SUM(K43:M45)</f>
        <v>0</v>
      </c>
      <c r="L42" s="64"/>
      <c r="M42" s="65"/>
      <c r="N42" s="63">
        <f t="shared" ref="N42" si="9">SUM(N43:P45)</f>
        <v>0</v>
      </c>
      <c r="O42" s="64"/>
      <c r="P42" s="65"/>
      <c r="Q42" s="63">
        <f t="shared" ref="Q42" si="10">SUM(Q43:S45)</f>
        <v>0</v>
      </c>
      <c r="R42" s="64"/>
      <c r="S42" s="65"/>
      <c r="T42" s="63">
        <f t="shared" ref="T42" si="11">SUM(T43:V45)</f>
        <v>0</v>
      </c>
      <c r="U42" s="64"/>
      <c r="V42" s="65"/>
      <c r="W42" s="63">
        <f t="shared" ref="W42" si="12">SUM(W43:Y45)</f>
        <v>0</v>
      </c>
      <c r="X42" s="64"/>
      <c r="Y42" s="65"/>
      <c r="Z42" s="63">
        <f>SUM(Z43:AB45)</f>
        <v>0</v>
      </c>
      <c r="AA42" s="64"/>
      <c r="AB42" s="65"/>
      <c r="AC42" s="48">
        <v>0</v>
      </c>
      <c r="AD42" s="90">
        <f>SUM(AD43:AE45)</f>
        <v>749546.74</v>
      </c>
      <c r="AE42" s="91"/>
    </row>
    <row r="43" spans="1:31" x14ac:dyDescent="0.25">
      <c r="A43" s="13" t="s">
        <v>34</v>
      </c>
      <c r="B43" s="114">
        <v>583007.5</v>
      </c>
      <c r="C43" s="115"/>
      <c r="D43" s="116"/>
      <c r="E43" s="53">
        <v>0</v>
      </c>
      <c r="F43" s="54"/>
      <c r="G43" s="55"/>
      <c r="H43" s="53">
        <f>0</f>
        <v>0</v>
      </c>
      <c r="I43" s="54"/>
      <c r="J43" s="55"/>
      <c r="K43" s="53">
        <f>0</f>
        <v>0</v>
      </c>
      <c r="L43" s="54"/>
      <c r="M43" s="55"/>
      <c r="N43" s="53">
        <f>0</f>
        <v>0</v>
      </c>
      <c r="O43" s="54"/>
      <c r="P43" s="55"/>
      <c r="Q43" s="53">
        <f>0</f>
        <v>0</v>
      </c>
      <c r="R43" s="54"/>
      <c r="S43" s="55"/>
      <c r="T43" s="53">
        <f>0</f>
        <v>0</v>
      </c>
      <c r="U43" s="54"/>
      <c r="V43" s="55"/>
      <c r="W43" s="53">
        <f>0</f>
        <v>0</v>
      </c>
      <c r="X43" s="54"/>
      <c r="Y43" s="55"/>
      <c r="Z43" s="108">
        <f>0+E43+H43+K43+N43+Q43+T43+W43</f>
        <v>0</v>
      </c>
      <c r="AA43" s="109"/>
      <c r="AB43" s="110"/>
      <c r="AC43" s="43">
        <v>0</v>
      </c>
      <c r="AD43" s="88">
        <f>583007.5+Z43</f>
        <v>583007.5</v>
      </c>
      <c r="AE43" s="88"/>
    </row>
    <row r="44" spans="1:31" x14ac:dyDescent="0.25">
      <c r="A44" s="13" t="s">
        <v>35</v>
      </c>
      <c r="B44" s="114">
        <v>151996.63</v>
      </c>
      <c r="C44" s="115"/>
      <c r="D44" s="116"/>
      <c r="E44" s="53">
        <v>0</v>
      </c>
      <c r="F44" s="54"/>
      <c r="G44" s="55"/>
      <c r="H44" s="53">
        <f>0</f>
        <v>0</v>
      </c>
      <c r="I44" s="54"/>
      <c r="J44" s="55"/>
      <c r="K44" s="53">
        <f>0</f>
        <v>0</v>
      </c>
      <c r="L44" s="54"/>
      <c r="M44" s="55"/>
      <c r="N44" s="53">
        <f>0</f>
        <v>0</v>
      </c>
      <c r="O44" s="54"/>
      <c r="P44" s="55"/>
      <c r="Q44" s="53">
        <f>0</f>
        <v>0</v>
      </c>
      <c r="R44" s="54"/>
      <c r="S44" s="55"/>
      <c r="T44" s="53">
        <f>0</f>
        <v>0</v>
      </c>
      <c r="U44" s="54"/>
      <c r="V44" s="55"/>
      <c r="W44" s="53">
        <f>0</f>
        <v>0</v>
      </c>
      <c r="X44" s="54"/>
      <c r="Y44" s="55"/>
      <c r="Z44" s="108">
        <f>0+E44+H44+K44+N44+Q44+T44+W44</f>
        <v>0</v>
      </c>
      <c r="AA44" s="109"/>
      <c r="AB44" s="110"/>
      <c r="AC44" s="43">
        <v>0</v>
      </c>
      <c r="AD44" s="86">
        <f>151996.63+Z44</f>
        <v>151996.63</v>
      </c>
      <c r="AE44" s="87"/>
    </row>
    <row r="45" spans="1:31" x14ac:dyDescent="0.25">
      <c r="A45" s="13" t="s">
        <v>36</v>
      </c>
      <c r="B45" s="114">
        <v>14542.61</v>
      </c>
      <c r="C45" s="115"/>
      <c r="D45" s="116"/>
      <c r="E45" s="53">
        <v>0</v>
      </c>
      <c r="F45" s="54"/>
      <c r="G45" s="55"/>
      <c r="H45" s="53">
        <f>0</f>
        <v>0</v>
      </c>
      <c r="I45" s="54"/>
      <c r="J45" s="55"/>
      <c r="K45" s="53">
        <f>0</f>
        <v>0</v>
      </c>
      <c r="L45" s="54"/>
      <c r="M45" s="55"/>
      <c r="N45" s="53">
        <f>0</f>
        <v>0</v>
      </c>
      <c r="O45" s="54"/>
      <c r="P45" s="55"/>
      <c r="Q45" s="53">
        <f>0</f>
        <v>0</v>
      </c>
      <c r="R45" s="54"/>
      <c r="S45" s="55"/>
      <c r="T45" s="53">
        <f>0</f>
        <v>0</v>
      </c>
      <c r="U45" s="54"/>
      <c r="V45" s="55"/>
      <c r="W45" s="53">
        <f>0</f>
        <v>0</v>
      </c>
      <c r="X45" s="54"/>
      <c r="Y45" s="55"/>
      <c r="Z45" s="108">
        <f>0+E45+H45+K45+N45+Q45+T45+W45</f>
        <v>0</v>
      </c>
      <c r="AA45" s="109"/>
      <c r="AB45" s="110"/>
      <c r="AC45" s="43">
        <v>0</v>
      </c>
      <c r="AD45" s="86">
        <f>14542.61+Z45</f>
        <v>14542.61</v>
      </c>
      <c r="AE45" s="87"/>
    </row>
    <row r="46" spans="1:31" x14ac:dyDescent="0.25">
      <c r="A46" s="12" t="s">
        <v>37</v>
      </c>
      <c r="B46" s="63">
        <f>SUM(B47:D49)</f>
        <v>99159.95</v>
      </c>
      <c r="C46" s="64"/>
      <c r="D46" s="65"/>
      <c r="E46" s="63">
        <f t="shared" ref="E46" si="13">SUM(E47:G49)</f>
        <v>0</v>
      </c>
      <c r="F46" s="64"/>
      <c r="G46" s="65"/>
      <c r="H46" s="63">
        <f t="shared" ref="H46" si="14">SUM(H47:J49)</f>
        <v>0</v>
      </c>
      <c r="I46" s="64"/>
      <c r="J46" s="65"/>
      <c r="K46" s="63">
        <f t="shared" ref="K46" si="15">SUM(K47:M49)</f>
        <v>0</v>
      </c>
      <c r="L46" s="64"/>
      <c r="M46" s="65"/>
      <c r="N46" s="63">
        <f t="shared" ref="N46" si="16">SUM(N47:P49)</f>
        <v>0</v>
      </c>
      <c r="O46" s="64"/>
      <c r="P46" s="65"/>
      <c r="Q46" s="63">
        <f t="shared" ref="Q46" si="17">SUM(Q47:S49)</f>
        <v>0</v>
      </c>
      <c r="R46" s="64"/>
      <c r="S46" s="65"/>
      <c r="T46" s="63">
        <f t="shared" ref="T46" si="18">SUM(T47:V49)</f>
        <v>0</v>
      </c>
      <c r="U46" s="64"/>
      <c r="V46" s="65"/>
      <c r="W46" s="63">
        <f t="shared" ref="W46" si="19">SUM(W47:Y49)</f>
        <v>0</v>
      </c>
      <c r="X46" s="64"/>
      <c r="Y46" s="65"/>
      <c r="Z46" s="63">
        <f t="shared" ref="Z46" si="20">SUM(Z47:AB49)</f>
        <v>0</v>
      </c>
      <c r="AA46" s="64"/>
      <c r="AB46" s="65"/>
      <c r="AC46" s="48">
        <v>0</v>
      </c>
      <c r="AD46" s="90">
        <f>SUM(AD47:AE49)</f>
        <v>99159.95</v>
      </c>
      <c r="AE46" s="91"/>
    </row>
    <row r="47" spans="1:31" x14ac:dyDescent="0.25">
      <c r="A47" s="13" t="s">
        <v>38</v>
      </c>
      <c r="B47" s="117">
        <v>5877.46</v>
      </c>
      <c r="C47" s="118"/>
      <c r="D47" s="119"/>
      <c r="E47" s="53">
        <v>0</v>
      </c>
      <c r="F47" s="54"/>
      <c r="G47" s="55"/>
      <c r="H47" s="53">
        <f>0</f>
        <v>0</v>
      </c>
      <c r="I47" s="54"/>
      <c r="J47" s="55"/>
      <c r="K47" s="53">
        <f>0</f>
        <v>0</v>
      </c>
      <c r="L47" s="54"/>
      <c r="M47" s="55"/>
      <c r="N47" s="53">
        <f>0</f>
        <v>0</v>
      </c>
      <c r="O47" s="54"/>
      <c r="P47" s="55"/>
      <c r="Q47" s="53">
        <f>0</f>
        <v>0</v>
      </c>
      <c r="R47" s="54"/>
      <c r="S47" s="55"/>
      <c r="T47" s="53">
        <f>0</f>
        <v>0</v>
      </c>
      <c r="U47" s="54"/>
      <c r="V47" s="55"/>
      <c r="W47" s="53">
        <f>0</f>
        <v>0</v>
      </c>
      <c r="X47" s="54"/>
      <c r="Y47" s="55"/>
      <c r="Z47" s="108">
        <f>0+E47+H47+K47+N47+Q47+T47+W47</f>
        <v>0</v>
      </c>
      <c r="AA47" s="109"/>
      <c r="AB47" s="110"/>
      <c r="AC47" s="43">
        <v>0</v>
      </c>
      <c r="AD47" s="107">
        <f>5877.46+Z47</f>
        <v>5877.46</v>
      </c>
      <c r="AE47" s="107"/>
    </row>
    <row r="48" spans="1:31" x14ac:dyDescent="0.25">
      <c r="A48" s="13" t="s">
        <v>39</v>
      </c>
      <c r="B48" s="114">
        <v>13191.49</v>
      </c>
      <c r="C48" s="115"/>
      <c r="D48" s="116"/>
      <c r="E48" s="53">
        <v>0</v>
      </c>
      <c r="F48" s="54"/>
      <c r="G48" s="55"/>
      <c r="H48" s="53">
        <f>0</f>
        <v>0</v>
      </c>
      <c r="I48" s="54"/>
      <c r="J48" s="55"/>
      <c r="K48" s="53">
        <f>0</f>
        <v>0</v>
      </c>
      <c r="L48" s="54"/>
      <c r="M48" s="55"/>
      <c r="N48" s="53">
        <f>0</f>
        <v>0</v>
      </c>
      <c r="O48" s="54"/>
      <c r="P48" s="55"/>
      <c r="Q48" s="53">
        <f>0</f>
        <v>0</v>
      </c>
      <c r="R48" s="54"/>
      <c r="S48" s="55"/>
      <c r="T48" s="53">
        <f>0</f>
        <v>0</v>
      </c>
      <c r="U48" s="54"/>
      <c r="V48" s="55"/>
      <c r="W48" s="53">
        <f>0</f>
        <v>0</v>
      </c>
      <c r="X48" s="54"/>
      <c r="Y48" s="55"/>
      <c r="Z48" s="108">
        <f>0+E48+H48+K48+N48+Q48+T48+W48</f>
        <v>0</v>
      </c>
      <c r="AA48" s="109"/>
      <c r="AB48" s="110"/>
      <c r="AC48" s="43">
        <v>0</v>
      </c>
      <c r="AD48" s="86">
        <f>13191.49+Z48</f>
        <v>13191.49</v>
      </c>
      <c r="AE48" s="87"/>
    </row>
    <row r="49" spans="1:31" x14ac:dyDescent="0.25">
      <c r="A49" s="13" t="s">
        <v>40</v>
      </c>
      <c r="B49" s="114">
        <v>80091</v>
      </c>
      <c r="C49" s="115"/>
      <c r="D49" s="116"/>
      <c r="E49" s="53">
        <v>0</v>
      </c>
      <c r="F49" s="54"/>
      <c r="G49" s="55"/>
      <c r="H49" s="53">
        <f>0</f>
        <v>0</v>
      </c>
      <c r="I49" s="54"/>
      <c r="J49" s="55"/>
      <c r="K49" s="53">
        <f>0</f>
        <v>0</v>
      </c>
      <c r="L49" s="54"/>
      <c r="M49" s="55"/>
      <c r="N49" s="53">
        <f>0</f>
        <v>0</v>
      </c>
      <c r="O49" s="54"/>
      <c r="P49" s="55"/>
      <c r="Q49" s="53">
        <f>0</f>
        <v>0</v>
      </c>
      <c r="R49" s="54"/>
      <c r="S49" s="55"/>
      <c r="T49" s="53">
        <f>0</f>
        <v>0</v>
      </c>
      <c r="U49" s="54"/>
      <c r="V49" s="55"/>
      <c r="W49" s="53">
        <f>0</f>
        <v>0</v>
      </c>
      <c r="X49" s="54"/>
      <c r="Y49" s="55"/>
      <c r="Z49" s="108">
        <f>0+E49+H49+K49+N49+Q49+T49+W49</f>
        <v>0</v>
      </c>
      <c r="AA49" s="109"/>
      <c r="AB49" s="110"/>
      <c r="AC49" s="43">
        <v>0</v>
      </c>
      <c r="AD49" s="86">
        <f>80091+Z49</f>
        <v>80091</v>
      </c>
      <c r="AE49" s="87"/>
    </row>
    <row r="50" spans="1:31" x14ac:dyDescent="0.25">
      <c r="A50" s="12" t="s">
        <v>41</v>
      </c>
      <c r="B50" s="63">
        <f>SUM(B51:D63)</f>
        <v>433143.51</v>
      </c>
      <c r="C50" s="64"/>
      <c r="D50" s="65"/>
      <c r="E50" s="63">
        <f t="shared" ref="E50" si="21">SUM(E51:G63)</f>
        <v>4991.13</v>
      </c>
      <c r="F50" s="64"/>
      <c r="G50" s="65"/>
      <c r="H50" s="63">
        <f t="shared" ref="H50" si="22">SUM(H51:J63)</f>
        <v>4986.8900000000003</v>
      </c>
      <c r="I50" s="64"/>
      <c r="J50" s="65"/>
      <c r="K50" s="63">
        <f t="shared" ref="K50" si="23">SUM(K51:M63)</f>
        <v>4983.1799999999994</v>
      </c>
      <c r="L50" s="64"/>
      <c r="M50" s="65"/>
      <c r="N50" s="63">
        <f t="shared" ref="N50" si="24">SUM(N51:P63)</f>
        <v>4980</v>
      </c>
      <c r="O50" s="64"/>
      <c r="P50" s="65"/>
      <c r="Q50" s="63">
        <f t="shared" ref="Q50" si="25">SUM(Q51:S63)</f>
        <v>5324.67</v>
      </c>
      <c r="R50" s="64"/>
      <c r="S50" s="65"/>
      <c r="T50" s="63">
        <f t="shared" ref="T50" si="26">SUM(T51:V63)</f>
        <v>5149.16</v>
      </c>
      <c r="U50" s="64"/>
      <c r="V50" s="65"/>
      <c r="W50" s="63">
        <f t="shared" ref="W50" si="27">SUM(W51:Y63)</f>
        <v>4956.6799999999994</v>
      </c>
      <c r="X50" s="64"/>
      <c r="Y50" s="65"/>
      <c r="Z50" s="63">
        <f>SUM(Z51:AB63)</f>
        <v>35371.71</v>
      </c>
      <c r="AA50" s="64"/>
      <c r="AB50" s="65"/>
      <c r="AC50" s="48">
        <v>0.18400750610147248</v>
      </c>
      <c r="AD50" s="90">
        <f>SUM(AD51:AE63)</f>
        <v>468515.22</v>
      </c>
      <c r="AE50" s="91"/>
    </row>
    <row r="51" spans="1:31" x14ac:dyDescent="0.25">
      <c r="A51" s="16" t="s">
        <v>42</v>
      </c>
      <c r="B51" s="114">
        <v>30386.28</v>
      </c>
      <c r="C51" s="115"/>
      <c r="D51" s="116"/>
      <c r="E51" s="53">
        <v>0</v>
      </c>
      <c r="F51" s="54"/>
      <c r="G51" s="55"/>
      <c r="H51" s="53">
        <f>0</f>
        <v>0</v>
      </c>
      <c r="I51" s="54"/>
      <c r="J51" s="55"/>
      <c r="K51" s="53">
        <f>0</f>
        <v>0</v>
      </c>
      <c r="L51" s="54"/>
      <c r="M51" s="55"/>
      <c r="N51" s="53">
        <f>0</f>
        <v>0</v>
      </c>
      <c r="O51" s="54"/>
      <c r="P51" s="55"/>
      <c r="Q51" s="53">
        <f>355.8</f>
        <v>355.8</v>
      </c>
      <c r="R51" s="54"/>
      <c r="S51" s="55"/>
      <c r="T51" s="53">
        <f>0</f>
        <v>0</v>
      </c>
      <c r="U51" s="54"/>
      <c r="V51" s="55"/>
      <c r="W51" s="53">
        <f>0</f>
        <v>0</v>
      </c>
      <c r="X51" s="54"/>
      <c r="Y51" s="55"/>
      <c r="Z51" s="108">
        <f>0+E51+H51+K51+N51+Q51+T51+W51</f>
        <v>355.8</v>
      </c>
      <c r="AA51" s="109"/>
      <c r="AB51" s="110"/>
      <c r="AC51" s="43">
        <v>0</v>
      </c>
      <c r="AD51" s="88">
        <f>30386.28+Z51</f>
        <v>30742.079999999998</v>
      </c>
      <c r="AE51" s="88"/>
    </row>
    <row r="52" spans="1:31" x14ac:dyDescent="0.25">
      <c r="A52" s="13" t="s">
        <v>43</v>
      </c>
      <c r="B52" s="114">
        <v>16240</v>
      </c>
      <c r="C52" s="115"/>
      <c r="D52" s="116"/>
      <c r="E52" s="53">
        <v>0</v>
      </c>
      <c r="F52" s="54"/>
      <c r="G52" s="55"/>
      <c r="H52" s="53">
        <f>0</f>
        <v>0</v>
      </c>
      <c r="I52" s="54"/>
      <c r="J52" s="55"/>
      <c r="K52" s="53">
        <f>0</f>
        <v>0</v>
      </c>
      <c r="L52" s="54"/>
      <c r="M52" s="55"/>
      <c r="N52" s="53">
        <f>0</f>
        <v>0</v>
      </c>
      <c r="O52" s="54"/>
      <c r="P52" s="55"/>
      <c r="Q52" s="53">
        <f>0</f>
        <v>0</v>
      </c>
      <c r="R52" s="54"/>
      <c r="S52" s="55"/>
      <c r="T52" s="53">
        <f>0</f>
        <v>0</v>
      </c>
      <c r="U52" s="54"/>
      <c r="V52" s="55"/>
      <c r="W52" s="53">
        <f>0</f>
        <v>0</v>
      </c>
      <c r="X52" s="54"/>
      <c r="Y52" s="55"/>
      <c r="Z52" s="108">
        <f>0+E52+H52+K52+N52+Q52+T52+W52</f>
        <v>0</v>
      </c>
      <c r="AA52" s="109"/>
      <c r="AB52" s="110"/>
      <c r="AC52" s="43">
        <v>0</v>
      </c>
      <c r="AD52" s="86">
        <f>16240+Z52</f>
        <v>16240</v>
      </c>
      <c r="AE52" s="87"/>
    </row>
    <row r="53" spans="1:31" x14ac:dyDescent="0.25">
      <c r="A53" s="13" t="s">
        <v>44</v>
      </c>
      <c r="B53" s="114">
        <v>33270</v>
      </c>
      <c r="C53" s="115"/>
      <c r="D53" s="116"/>
      <c r="E53" s="53">
        <v>540</v>
      </c>
      <c r="F53" s="54"/>
      <c r="G53" s="55"/>
      <c r="H53" s="53">
        <f>540</f>
        <v>540</v>
      </c>
      <c r="I53" s="54"/>
      <c r="J53" s="55"/>
      <c r="K53" s="53">
        <f>540</f>
        <v>540</v>
      </c>
      <c r="L53" s="54"/>
      <c r="M53" s="55"/>
      <c r="N53" s="53">
        <f>540</f>
        <v>540</v>
      </c>
      <c r="O53" s="54"/>
      <c r="P53" s="55"/>
      <c r="Q53" s="53">
        <f>540</f>
        <v>540</v>
      </c>
      <c r="R53" s="54"/>
      <c r="S53" s="55"/>
      <c r="T53" s="53">
        <f>540</f>
        <v>540</v>
      </c>
      <c r="U53" s="54"/>
      <c r="V53" s="55"/>
      <c r="W53" s="53">
        <f>540</f>
        <v>540</v>
      </c>
      <c r="X53" s="54"/>
      <c r="Y53" s="55"/>
      <c r="Z53" s="108">
        <f>0+E53+H53+K53+N53+Q53+T53+W53</f>
        <v>3780</v>
      </c>
      <c r="AA53" s="109"/>
      <c r="AB53" s="110"/>
      <c r="AC53" s="43">
        <v>1.990812767745884E-2</v>
      </c>
      <c r="AD53" s="86">
        <f>33270+Z53</f>
        <v>37050</v>
      </c>
      <c r="AE53" s="87"/>
    </row>
    <row r="54" spans="1:31" x14ac:dyDescent="0.25">
      <c r="A54" s="13" t="s">
        <v>45</v>
      </c>
      <c r="B54" s="114">
        <v>53076.7</v>
      </c>
      <c r="C54" s="115"/>
      <c r="D54" s="116"/>
      <c r="E54" s="53">
        <v>0</v>
      </c>
      <c r="F54" s="54"/>
      <c r="G54" s="55"/>
      <c r="H54" s="53">
        <f>0</f>
        <v>0</v>
      </c>
      <c r="I54" s="54"/>
      <c r="J54" s="55"/>
      <c r="K54" s="53">
        <f>0</f>
        <v>0</v>
      </c>
      <c r="L54" s="54"/>
      <c r="M54" s="55"/>
      <c r="N54" s="53">
        <f>0</f>
        <v>0</v>
      </c>
      <c r="O54" s="54"/>
      <c r="P54" s="55"/>
      <c r="Q54" s="53">
        <f>0</f>
        <v>0</v>
      </c>
      <c r="R54" s="54"/>
      <c r="S54" s="55"/>
      <c r="T54" s="53">
        <f>0</f>
        <v>0</v>
      </c>
      <c r="U54" s="54"/>
      <c r="V54" s="55"/>
      <c r="W54" s="53">
        <f>0</f>
        <v>0</v>
      </c>
      <c r="X54" s="54"/>
      <c r="Y54" s="55"/>
      <c r="Z54" s="108">
        <f>0+E54+H54+K54+N54+Q54+T54+W54</f>
        <v>0</v>
      </c>
      <c r="AA54" s="109"/>
      <c r="AB54" s="110"/>
      <c r="AC54" s="43">
        <v>0</v>
      </c>
      <c r="AD54" s="86">
        <f>53076.7+Z54</f>
        <v>53076.7</v>
      </c>
      <c r="AE54" s="87"/>
    </row>
    <row r="55" spans="1:31" x14ac:dyDescent="0.25">
      <c r="A55" s="13" t="s">
        <v>46</v>
      </c>
      <c r="B55" s="114">
        <v>221082.92</v>
      </c>
      <c r="C55" s="115"/>
      <c r="D55" s="116"/>
      <c r="E55" s="53">
        <v>3991.43</v>
      </c>
      <c r="F55" s="54"/>
      <c r="G55" s="55"/>
      <c r="H55" s="53">
        <f>3987.19</f>
        <v>3987.19</v>
      </c>
      <c r="I55" s="54"/>
      <c r="J55" s="55"/>
      <c r="K55" s="53">
        <f>3983.48</f>
        <v>3983.48</v>
      </c>
      <c r="L55" s="54"/>
      <c r="M55" s="55"/>
      <c r="N55" s="53">
        <f>3980.3</f>
        <v>3980.3</v>
      </c>
      <c r="O55" s="54"/>
      <c r="P55" s="55"/>
      <c r="Q55" s="53">
        <f>3969.17</f>
        <v>3969.17</v>
      </c>
      <c r="R55" s="54"/>
      <c r="S55" s="55"/>
      <c r="T55" s="53">
        <f>3965.46</f>
        <v>3965.46</v>
      </c>
      <c r="U55" s="54"/>
      <c r="V55" s="55"/>
      <c r="W55" s="53">
        <f>3956.98</f>
        <v>3956.98</v>
      </c>
      <c r="X55" s="54"/>
      <c r="Y55" s="55"/>
      <c r="Z55" s="108">
        <f>0+E55+H55+K55+N55+Q55+T55+W55</f>
        <v>27834.01</v>
      </c>
      <c r="AA55" s="109"/>
      <c r="AB55" s="110"/>
      <c r="AC55" s="43">
        <v>0.14715166306599914</v>
      </c>
      <c r="AD55" s="86">
        <f>221082.92+Z55</f>
        <v>248916.93000000002</v>
      </c>
      <c r="AE55" s="87"/>
    </row>
    <row r="56" spans="1:31" x14ac:dyDescent="0.25">
      <c r="A56" s="13" t="s">
        <v>47</v>
      </c>
      <c r="B56" s="114">
        <v>20234.7</v>
      </c>
      <c r="C56" s="115"/>
      <c r="D56" s="116"/>
      <c r="E56" s="53">
        <v>355.54</v>
      </c>
      <c r="F56" s="54"/>
      <c r="G56" s="55"/>
      <c r="H56" s="53">
        <f>355.54</f>
        <v>355.54</v>
      </c>
      <c r="I56" s="54"/>
      <c r="J56" s="55"/>
      <c r="K56" s="53">
        <f>355.54</f>
        <v>355.54</v>
      </c>
      <c r="L56" s="54"/>
      <c r="M56" s="55"/>
      <c r="N56" s="53">
        <f>355.54</f>
        <v>355.54</v>
      </c>
      <c r="O56" s="54"/>
      <c r="P56" s="55"/>
      <c r="Q56" s="53">
        <f>355.54</f>
        <v>355.54</v>
      </c>
      <c r="R56" s="54"/>
      <c r="S56" s="55"/>
      <c r="T56" s="53">
        <f>355.54</f>
        <v>355.54</v>
      </c>
      <c r="U56" s="54"/>
      <c r="V56" s="55"/>
      <c r="W56" s="53">
        <f>355.54</f>
        <v>355.54</v>
      </c>
      <c r="X56" s="54"/>
      <c r="Y56" s="55"/>
      <c r="Z56" s="108">
        <f>0+E56+H56+K56+N56+Q56+T56+W56</f>
        <v>2488.7800000000002</v>
      </c>
      <c r="AA56" s="109"/>
      <c r="AB56" s="110"/>
      <c r="AC56" s="43">
        <v>1.3107658730451326E-2</v>
      </c>
      <c r="AD56" s="86">
        <f>20234.7+Z56</f>
        <v>22723.48</v>
      </c>
      <c r="AE56" s="87"/>
    </row>
    <row r="57" spans="1:31" x14ac:dyDescent="0.25">
      <c r="A57" s="13" t="s">
        <v>48</v>
      </c>
      <c r="B57" s="114">
        <v>8277.1200000000008</v>
      </c>
      <c r="C57" s="115"/>
      <c r="D57" s="116"/>
      <c r="E57" s="53">
        <v>65.16</v>
      </c>
      <c r="F57" s="54"/>
      <c r="G57" s="55"/>
      <c r="H57" s="53">
        <f>21.12+44.04</f>
        <v>65.16</v>
      </c>
      <c r="I57" s="54"/>
      <c r="J57" s="55"/>
      <c r="K57" s="53">
        <f>21.12+44.04</f>
        <v>65.16</v>
      </c>
      <c r="L57" s="54"/>
      <c r="M57" s="55"/>
      <c r="N57" s="53">
        <f>21.12+44.04</f>
        <v>65.16</v>
      </c>
      <c r="O57" s="54"/>
      <c r="P57" s="55"/>
      <c r="Q57" s="53">
        <f>21.12+44.04</f>
        <v>65.16</v>
      </c>
      <c r="R57" s="54"/>
      <c r="S57" s="55"/>
      <c r="T57" s="53">
        <f>21.12+44.04</f>
        <v>65.16</v>
      </c>
      <c r="U57" s="54"/>
      <c r="V57" s="55"/>
      <c r="W57" s="53">
        <f>21.12+44.04</f>
        <v>65.16</v>
      </c>
      <c r="X57" s="54"/>
      <c r="Y57" s="55"/>
      <c r="Z57" s="108">
        <f>0+E57+H57+K57+N57+Q57+T57+W57</f>
        <v>456.11999999999989</v>
      </c>
      <c r="AA57" s="109"/>
      <c r="AB57" s="110"/>
      <c r="AC57" s="43">
        <v>2.4022474064133667E-3</v>
      </c>
      <c r="AD57" s="86">
        <f>8277.12+Z57</f>
        <v>8733.2400000000016</v>
      </c>
      <c r="AE57" s="87"/>
    </row>
    <row r="58" spans="1:31" x14ac:dyDescent="0.25">
      <c r="A58" s="13" t="s">
        <v>49</v>
      </c>
      <c r="B58" s="114">
        <v>1172.5</v>
      </c>
      <c r="C58" s="115"/>
      <c r="D58" s="116"/>
      <c r="E58" s="53">
        <v>39</v>
      </c>
      <c r="F58" s="54"/>
      <c r="G58" s="55"/>
      <c r="H58" s="53">
        <f>39</f>
        <v>39</v>
      </c>
      <c r="I58" s="54"/>
      <c r="J58" s="55"/>
      <c r="K58" s="53">
        <f>39</f>
        <v>39</v>
      </c>
      <c r="L58" s="54"/>
      <c r="M58" s="55"/>
      <c r="N58" s="53">
        <f>39</f>
        <v>39</v>
      </c>
      <c r="O58" s="54"/>
      <c r="P58" s="55"/>
      <c r="Q58" s="53">
        <f>39</f>
        <v>39</v>
      </c>
      <c r="R58" s="54"/>
      <c r="S58" s="55"/>
      <c r="T58" s="53">
        <f>39</f>
        <v>39</v>
      </c>
      <c r="U58" s="54"/>
      <c r="V58" s="55"/>
      <c r="W58" s="53">
        <f>39</f>
        <v>39</v>
      </c>
      <c r="X58" s="54"/>
      <c r="Y58" s="55"/>
      <c r="Z58" s="108">
        <f>0+E58+H58+K58+N58+Q58+T58+W58</f>
        <v>273</v>
      </c>
      <c r="AA58" s="109"/>
      <c r="AB58" s="110"/>
      <c r="AC58" s="43">
        <v>1.437809221149805E-3</v>
      </c>
      <c r="AD58" s="86">
        <f>1172.5+Z58</f>
        <v>1445.5</v>
      </c>
      <c r="AE58" s="87"/>
    </row>
    <row r="59" spans="1:31" x14ac:dyDescent="0.25">
      <c r="A59" s="13" t="s">
        <v>50</v>
      </c>
      <c r="B59" s="114">
        <v>27432.46</v>
      </c>
      <c r="C59" s="115"/>
      <c r="D59" s="116"/>
      <c r="E59" s="53">
        <v>0</v>
      </c>
      <c r="F59" s="54"/>
      <c r="G59" s="55"/>
      <c r="H59" s="53">
        <f>0</f>
        <v>0</v>
      </c>
      <c r="I59" s="54"/>
      <c r="J59" s="55"/>
      <c r="K59" s="53">
        <f>0</f>
        <v>0</v>
      </c>
      <c r="L59" s="54"/>
      <c r="M59" s="55"/>
      <c r="N59" s="53">
        <f>0</f>
        <v>0</v>
      </c>
      <c r="O59" s="54"/>
      <c r="P59" s="55"/>
      <c r="Q59" s="53">
        <f>0</f>
        <v>0</v>
      </c>
      <c r="R59" s="54"/>
      <c r="S59" s="55"/>
      <c r="T59" s="53">
        <f>0</f>
        <v>0</v>
      </c>
      <c r="U59" s="54"/>
      <c r="V59" s="55"/>
      <c r="W59" s="53">
        <f>0</f>
        <v>0</v>
      </c>
      <c r="X59" s="54"/>
      <c r="Y59" s="55"/>
      <c r="Z59" s="108">
        <f>0+E59+H59+K59+N59+Q59+T59+W59</f>
        <v>0</v>
      </c>
      <c r="AA59" s="109"/>
      <c r="AB59" s="110"/>
      <c r="AC59" s="43">
        <v>0</v>
      </c>
      <c r="AD59" s="86">
        <f>27432.46+Z59</f>
        <v>27432.46</v>
      </c>
      <c r="AE59" s="87"/>
    </row>
    <row r="60" spans="1:31" x14ac:dyDescent="0.25">
      <c r="A60" s="13" t="s">
        <v>51</v>
      </c>
      <c r="B60" s="114">
        <v>13184.12</v>
      </c>
      <c r="C60" s="115"/>
      <c r="D60" s="116"/>
      <c r="E60" s="53">
        <v>0</v>
      </c>
      <c r="F60" s="54"/>
      <c r="G60" s="55"/>
      <c r="H60" s="53">
        <f>0</f>
        <v>0</v>
      </c>
      <c r="I60" s="54"/>
      <c r="J60" s="55"/>
      <c r="K60" s="53">
        <f>0</f>
        <v>0</v>
      </c>
      <c r="L60" s="54"/>
      <c r="M60" s="55"/>
      <c r="N60" s="53">
        <f>0</f>
        <v>0</v>
      </c>
      <c r="O60" s="54"/>
      <c r="P60" s="55"/>
      <c r="Q60" s="53">
        <f>0</f>
        <v>0</v>
      </c>
      <c r="R60" s="54"/>
      <c r="S60" s="55"/>
      <c r="T60" s="53">
        <f>0</f>
        <v>0</v>
      </c>
      <c r="U60" s="54"/>
      <c r="V60" s="55"/>
      <c r="W60" s="53">
        <f>0</f>
        <v>0</v>
      </c>
      <c r="X60" s="54"/>
      <c r="Y60" s="55"/>
      <c r="Z60" s="108">
        <f>0+E60+H60+K60+N60+Q60+T60+W60</f>
        <v>0</v>
      </c>
      <c r="AA60" s="109"/>
      <c r="AB60" s="110"/>
      <c r="AC60" s="43">
        <v>0</v>
      </c>
      <c r="AD60" s="86">
        <f>13184.12+Z60</f>
        <v>13184.12</v>
      </c>
      <c r="AE60" s="87"/>
    </row>
    <row r="61" spans="1:31" x14ac:dyDescent="0.25">
      <c r="A61" s="13" t="s">
        <v>52</v>
      </c>
      <c r="B61" s="114">
        <v>5618.11</v>
      </c>
      <c r="C61" s="115"/>
      <c r="D61" s="116"/>
      <c r="E61" s="53">
        <v>0</v>
      </c>
      <c r="F61" s="54"/>
      <c r="G61" s="55"/>
      <c r="H61" s="53">
        <f>0</f>
        <v>0</v>
      </c>
      <c r="I61" s="54"/>
      <c r="J61" s="55"/>
      <c r="K61" s="53">
        <f>0</f>
        <v>0</v>
      </c>
      <c r="L61" s="54"/>
      <c r="M61" s="55"/>
      <c r="N61" s="53">
        <f>0</f>
        <v>0</v>
      </c>
      <c r="O61" s="54"/>
      <c r="P61" s="55"/>
      <c r="Q61" s="53">
        <f>0</f>
        <v>0</v>
      </c>
      <c r="R61" s="54"/>
      <c r="S61" s="55"/>
      <c r="T61" s="53">
        <f>0</f>
        <v>0</v>
      </c>
      <c r="U61" s="54"/>
      <c r="V61" s="55"/>
      <c r="W61" s="53">
        <f>0</f>
        <v>0</v>
      </c>
      <c r="X61" s="54"/>
      <c r="Y61" s="55"/>
      <c r="Z61" s="108">
        <f>0+E61+H61+K61+N61+Q61+T61+W61</f>
        <v>0</v>
      </c>
      <c r="AA61" s="109"/>
      <c r="AB61" s="110"/>
      <c r="AC61" s="43">
        <v>0</v>
      </c>
      <c r="AD61" s="86">
        <f>5618.11+Z61</f>
        <v>5618.11</v>
      </c>
      <c r="AE61" s="87"/>
    </row>
    <row r="62" spans="1:31" x14ac:dyDescent="0.25">
      <c r="A62" s="13" t="s">
        <v>53</v>
      </c>
      <c r="B62" s="114">
        <v>152</v>
      </c>
      <c r="C62" s="115"/>
      <c r="D62" s="116"/>
      <c r="E62" s="53">
        <v>0</v>
      </c>
      <c r="F62" s="54"/>
      <c r="G62" s="55"/>
      <c r="H62" s="53">
        <f>0</f>
        <v>0</v>
      </c>
      <c r="I62" s="54"/>
      <c r="J62" s="55"/>
      <c r="K62" s="53">
        <f>0</f>
        <v>0</v>
      </c>
      <c r="L62" s="54"/>
      <c r="M62" s="55"/>
      <c r="N62" s="53">
        <f>0</f>
        <v>0</v>
      </c>
      <c r="O62" s="54"/>
      <c r="P62" s="55"/>
      <c r="Q62" s="53">
        <f>0</f>
        <v>0</v>
      </c>
      <c r="R62" s="54"/>
      <c r="S62" s="55"/>
      <c r="T62" s="53">
        <f>184</f>
        <v>184</v>
      </c>
      <c r="U62" s="54"/>
      <c r="V62" s="55"/>
      <c r="W62" s="53">
        <f>0</f>
        <v>0</v>
      </c>
      <c r="X62" s="54"/>
      <c r="Y62" s="55"/>
      <c r="Z62" s="108">
        <f>0+E62+H62+K62+N62+Q62+T62+W62</f>
        <v>184</v>
      </c>
      <c r="AA62" s="109"/>
      <c r="AB62" s="110"/>
      <c r="AC62" s="43">
        <v>0</v>
      </c>
      <c r="AD62" s="86">
        <f>152+Z62</f>
        <v>336</v>
      </c>
      <c r="AE62" s="87"/>
    </row>
    <row r="63" spans="1:31" x14ac:dyDescent="0.25">
      <c r="A63" s="13" t="s">
        <v>54</v>
      </c>
      <c r="B63" s="114">
        <v>3016.6</v>
      </c>
      <c r="C63" s="115"/>
      <c r="D63" s="116"/>
      <c r="E63" s="53">
        <v>0</v>
      </c>
      <c r="F63" s="54"/>
      <c r="G63" s="55"/>
      <c r="H63" s="53">
        <f>0</f>
        <v>0</v>
      </c>
      <c r="I63" s="54"/>
      <c r="J63" s="55"/>
      <c r="K63" s="53">
        <f>0</f>
        <v>0</v>
      </c>
      <c r="L63" s="54"/>
      <c r="M63" s="55"/>
      <c r="N63" s="53">
        <f>0</f>
        <v>0</v>
      </c>
      <c r="O63" s="54"/>
      <c r="P63" s="55"/>
      <c r="Q63" s="53">
        <f>0</f>
        <v>0</v>
      </c>
      <c r="R63" s="54"/>
      <c r="S63" s="55"/>
      <c r="T63" s="53">
        <f>0</f>
        <v>0</v>
      </c>
      <c r="U63" s="54"/>
      <c r="V63" s="55"/>
      <c r="W63" s="53">
        <f>0</f>
        <v>0</v>
      </c>
      <c r="X63" s="54"/>
      <c r="Y63" s="55"/>
      <c r="Z63" s="108">
        <f>0+E63+H63+K63+N63+Q63+T63+W63</f>
        <v>0</v>
      </c>
      <c r="AA63" s="109"/>
      <c r="AB63" s="110"/>
      <c r="AC63" s="43">
        <v>0</v>
      </c>
      <c r="AD63" s="86">
        <f>3016.6+Z63</f>
        <v>3016.6</v>
      </c>
      <c r="AE63" s="87"/>
    </row>
    <row r="64" spans="1:31" x14ac:dyDescent="0.25">
      <c r="A64" s="12" t="s">
        <v>55</v>
      </c>
      <c r="B64" s="63">
        <f>SUM(B65:D68)</f>
        <v>528034.7300000001</v>
      </c>
      <c r="C64" s="64"/>
      <c r="D64" s="65"/>
      <c r="E64" s="63">
        <f t="shared" ref="E64" si="28">SUM(E65:G68)</f>
        <v>437.7</v>
      </c>
      <c r="F64" s="64"/>
      <c r="G64" s="65"/>
      <c r="H64" s="63">
        <f t="shared" ref="H64" si="29">SUM(H65:J68)</f>
        <v>15372.37</v>
      </c>
      <c r="I64" s="64"/>
      <c r="J64" s="65"/>
      <c r="K64" s="63">
        <f t="shared" ref="K64" si="30">SUM(K65:M68)</f>
        <v>519.06000000000006</v>
      </c>
      <c r="L64" s="64"/>
      <c r="M64" s="65"/>
      <c r="N64" s="63">
        <f t="shared" ref="N64" si="31">SUM(N65:P68)</f>
        <v>15222.63</v>
      </c>
      <c r="O64" s="64"/>
      <c r="P64" s="65"/>
      <c r="Q64" s="63">
        <f>SUM(Q65:S68)</f>
        <v>20781.829999999998</v>
      </c>
      <c r="R64" s="64"/>
      <c r="S64" s="65"/>
      <c r="T64" s="63">
        <f t="shared" ref="T64" si="32">SUM(T65:V68)</f>
        <v>15171.059999999998</v>
      </c>
      <c r="U64" s="64"/>
      <c r="V64" s="65"/>
      <c r="W64" s="63">
        <f t="shared" ref="W64" si="33">SUM(W65:Y68)</f>
        <v>372.28000000000003</v>
      </c>
      <c r="X64" s="64"/>
      <c r="Y64" s="65"/>
      <c r="Z64" s="63">
        <f t="shared" ref="Z64" si="34">SUM(Z65:AB68)</f>
        <v>67876.929999999993</v>
      </c>
      <c r="AA64" s="64"/>
      <c r="AB64" s="65"/>
      <c r="AC64" s="48">
        <v>1.6136643489673582E-2</v>
      </c>
      <c r="AD64" s="90">
        <f>SUM(AD65:AE68)</f>
        <v>595911.66</v>
      </c>
      <c r="AE64" s="91"/>
    </row>
    <row r="65" spans="1:31" x14ac:dyDescent="0.25">
      <c r="A65" s="13" t="s">
        <v>56</v>
      </c>
      <c r="B65" s="114">
        <v>390944.95</v>
      </c>
      <c r="C65" s="115"/>
      <c r="D65" s="116"/>
      <c r="E65" s="53">
        <v>132.39000000000001</v>
      </c>
      <c r="F65" s="54"/>
      <c r="G65" s="55"/>
      <c r="H65" s="53">
        <f>14888.24</f>
        <v>14888.24</v>
      </c>
      <c r="I65" s="54"/>
      <c r="J65" s="55"/>
      <c r="K65" s="53">
        <f>5.97+27.86+5.97+3.98+3.98+1.99+3.98+27.86+1.99+7.96+67.66+11+1.99</f>
        <v>172.19</v>
      </c>
      <c r="L65" s="54"/>
      <c r="M65" s="55"/>
      <c r="N65" s="53">
        <f>1.99+3.98+11+14841.42+1.99+5.97</f>
        <v>14866.349999999999</v>
      </c>
      <c r="O65" s="54"/>
      <c r="P65" s="55"/>
      <c r="Q65" s="53">
        <f>13.93+3.98+11+3.98+1.99+3.98+11+1.99+36.5+87.56+11</f>
        <v>186.91</v>
      </c>
      <c r="R65" s="54"/>
      <c r="S65" s="55"/>
      <c r="T65" s="53">
        <f>43.78+3.98+11+9.95+14827.49+11</f>
        <v>14907.199999999999</v>
      </c>
      <c r="U65" s="54"/>
      <c r="V65" s="55"/>
      <c r="W65" s="53">
        <f>1.99+3.98+9.95+81.59+11</f>
        <v>108.51</v>
      </c>
      <c r="X65" s="54"/>
      <c r="Y65" s="55"/>
      <c r="Z65" s="108">
        <f>0+E65+H65+K65+N65+Q65+T65+W65</f>
        <v>45261.79</v>
      </c>
      <c r="AA65" s="109"/>
      <c r="AB65" s="110"/>
      <c r="AC65" s="43">
        <v>4.8808093022569927E-3</v>
      </c>
      <c r="AD65" s="88">
        <f>390944.95+Z65</f>
        <v>436206.74</v>
      </c>
      <c r="AE65" s="88"/>
    </row>
    <row r="66" spans="1:31" x14ac:dyDescent="0.25">
      <c r="A66" s="13" t="s">
        <v>57</v>
      </c>
      <c r="B66" s="114">
        <v>84251.94</v>
      </c>
      <c r="C66" s="115"/>
      <c r="D66" s="116"/>
      <c r="E66" s="53">
        <v>198.23</v>
      </c>
      <c r="F66" s="54"/>
      <c r="G66" s="55"/>
      <c r="H66" s="53">
        <f>187.01</f>
        <v>187.01</v>
      </c>
      <c r="I66" s="54"/>
      <c r="J66" s="55"/>
      <c r="K66" s="53">
        <f>173.91</f>
        <v>173.91</v>
      </c>
      <c r="L66" s="54"/>
      <c r="M66" s="55"/>
      <c r="N66" s="53">
        <f>173.91</f>
        <v>173.91</v>
      </c>
      <c r="O66" s="54"/>
      <c r="P66" s="55"/>
      <c r="Q66" s="53">
        <f>173.91</f>
        <v>173.91</v>
      </c>
      <c r="R66" s="54"/>
      <c r="S66" s="55"/>
      <c r="T66" s="53">
        <f>194.8</f>
        <v>194.8</v>
      </c>
      <c r="U66" s="54"/>
      <c r="V66" s="55"/>
      <c r="W66" s="53">
        <f>184.35</f>
        <v>184.35</v>
      </c>
      <c r="X66" s="54"/>
      <c r="Y66" s="55"/>
      <c r="Z66" s="108">
        <f>0+E66+H66+K66+N66+Q66+T66+W66</f>
        <v>1286.1199999999999</v>
      </c>
      <c r="AA66" s="109"/>
      <c r="AB66" s="110"/>
      <c r="AC66" s="43">
        <v>7.3081262027827141E-3</v>
      </c>
      <c r="AD66" s="88">
        <f>84251.94+Z66</f>
        <v>85538.06</v>
      </c>
      <c r="AE66" s="88"/>
    </row>
    <row r="67" spans="1:31" x14ac:dyDescent="0.25">
      <c r="A67" s="13" t="s">
        <v>58</v>
      </c>
      <c r="B67" s="114">
        <v>51957.91</v>
      </c>
      <c r="C67" s="115"/>
      <c r="D67" s="116"/>
      <c r="E67" s="53">
        <v>107.08</v>
      </c>
      <c r="F67" s="54"/>
      <c r="G67" s="55"/>
      <c r="H67" s="53">
        <f>297.12</f>
        <v>297.12</v>
      </c>
      <c r="I67" s="54"/>
      <c r="J67" s="55"/>
      <c r="K67" s="53">
        <f>172.96</f>
        <v>172.96</v>
      </c>
      <c r="L67" s="54"/>
      <c r="M67" s="55"/>
      <c r="N67" s="53">
        <f>114.1+68.27</f>
        <v>182.37</v>
      </c>
      <c r="O67" s="54"/>
      <c r="P67" s="55"/>
      <c r="Q67" s="53">
        <f>90.71+20.38+20309.92</f>
        <v>20421.009999999998</v>
      </c>
      <c r="R67" s="54"/>
      <c r="S67" s="55"/>
      <c r="T67" s="53">
        <f>55.08+13.98</f>
        <v>69.06</v>
      </c>
      <c r="U67" s="54"/>
      <c r="V67" s="55"/>
      <c r="W67" s="53">
        <f>79.42</f>
        <v>79.42</v>
      </c>
      <c r="X67" s="54"/>
      <c r="Y67" s="55"/>
      <c r="Z67" s="108">
        <f>0+E67+H67+K67+N67+Q67+T67+W67</f>
        <v>21329.019999999997</v>
      </c>
      <c r="AA67" s="109"/>
      <c r="AB67" s="110"/>
      <c r="AC67" s="43">
        <v>3.9477079846338753E-3</v>
      </c>
      <c r="AD67" s="88">
        <f>51957.91+Z67</f>
        <v>73286.929999999993</v>
      </c>
      <c r="AE67" s="88"/>
    </row>
    <row r="68" spans="1:31" x14ac:dyDescent="0.25">
      <c r="A68" s="13" t="s">
        <v>59</v>
      </c>
      <c r="B68" s="114">
        <v>879.93</v>
      </c>
      <c r="C68" s="115"/>
      <c r="D68" s="116"/>
      <c r="E68" s="53">
        <v>0</v>
      </c>
      <c r="F68" s="54"/>
      <c r="G68" s="55"/>
      <c r="H68" s="53">
        <f>0</f>
        <v>0</v>
      </c>
      <c r="I68" s="54"/>
      <c r="J68" s="55"/>
      <c r="K68" s="53">
        <f>0</f>
        <v>0</v>
      </c>
      <c r="L68" s="54"/>
      <c r="M68" s="55"/>
      <c r="N68" s="53">
        <f>0</f>
        <v>0</v>
      </c>
      <c r="O68" s="54"/>
      <c r="P68" s="55"/>
      <c r="Q68" s="53">
        <f>0</f>
        <v>0</v>
      </c>
      <c r="R68" s="54"/>
      <c r="S68" s="55"/>
      <c r="T68" s="53">
        <f>0</f>
        <v>0</v>
      </c>
      <c r="U68" s="54"/>
      <c r="V68" s="55"/>
      <c r="W68" s="53">
        <f>0</f>
        <v>0</v>
      </c>
      <c r="X68" s="54"/>
      <c r="Y68" s="55"/>
      <c r="Z68" s="108">
        <f>0+E68+H68+K68+N68+Q68+T68+W68</f>
        <v>0</v>
      </c>
      <c r="AA68" s="109"/>
      <c r="AB68" s="110"/>
      <c r="AC68" s="43">
        <v>0</v>
      </c>
      <c r="AD68" s="88">
        <f>879.93+Z68</f>
        <v>879.93</v>
      </c>
      <c r="AE68" s="88"/>
    </row>
    <row r="69" spans="1:31" x14ac:dyDescent="0.25">
      <c r="A69" s="12" t="s">
        <v>60</v>
      </c>
      <c r="B69" s="63">
        <f>SUM(B70:D83)</f>
        <v>808019.54999999993</v>
      </c>
      <c r="C69" s="64"/>
      <c r="D69" s="65"/>
      <c r="E69" s="63">
        <f t="shared" ref="E69" si="35">SUM(E70:G83)</f>
        <v>7168.8099999999995</v>
      </c>
      <c r="F69" s="64"/>
      <c r="G69" s="65"/>
      <c r="H69" s="63">
        <f t="shared" ref="H69" si="36">SUM(H70:J83)</f>
        <v>10630.960000000001</v>
      </c>
      <c r="I69" s="64"/>
      <c r="J69" s="65"/>
      <c r="K69" s="63">
        <f t="shared" ref="K69" si="37">SUM(K70:M83)</f>
        <v>7888.9600000000009</v>
      </c>
      <c r="L69" s="64"/>
      <c r="M69" s="65"/>
      <c r="N69" s="63">
        <f t="shared" ref="N69" si="38">SUM(N70:P83)</f>
        <v>9171.619999999999</v>
      </c>
      <c r="O69" s="64"/>
      <c r="P69" s="65"/>
      <c r="Q69" s="63">
        <f>SUM(Q70:S83)</f>
        <v>8992.99</v>
      </c>
      <c r="R69" s="64"/>
      <c r="S69" s="65"/>
      <c r="T69" s="63">
        <f t="shared" ref="T69" si="39">SUM(T70:V83)</f>
        <v>8517.09</v>
      </c>
      <c r="U69" s="64"/>
      <c r="V69" s="65"/>
      <c r="W69" s="63">
        <f t="shared" ref="W69" si="40">SUM(W70:Y83)</f>
        <v>10158.64</v>
      </c>
      <c r="X69" s="64"/>
      <c r="Y69" s="65"/>
      <c r="Z69" s="63">
        <f t="shared" ref="Z69" si="41">SUM(Z70:AB83)</f>
        <v>62529.07</v>
      </c>
      <c r="AA69" s="64"/>
      <c r="AB69" s="65"/>
      <c r="AC69" s="48">
        <v>0.26429182365822906</v>
      </c>
      <c r="AD69" s="89">
        <f>SUM(AD70:AE83)</f>
        <v>870548.62</v>
      </c>
      <c r="AE69" s="89"/>
    </row>
    <row r="70" spans="1:31" x14ac:dyDescent="0.25">
      <c r="A70" s="16" t="s">
        <v>61</v>
      </c>
      <c r="B70" s="114">
        <v>9608.91</v>
      </c>
      <c r="C70" s="115"/>
      <c r="D70" s="116"/>
      <c r="E70" s="53">
        <v>0</v>
      </c>
      <c r="F70" s="54"/>
      <c r="G70" s="55"/>
      <c r="H70" s="53">
        <f>0</f>
        <v>0</v>
      </c>
      <c r="I70" s="54"/>
      <c r="J70" s="55"/>
      <c r="K70" s="53">
        <f>0</f>
        <v>0</v>
      </c>
      <c r="L70" s="54"/>
      <c r="M70" s="55"/>
      <c r="N70" s="53">
        <f>0</f>
        <v>0</v>
      </c>
      <c r="O70" s="54"/>
      <c r="P70" s="55"/>
      <c r="Q70" s="53">
        <f>0</f>
        <v>0</v>
      </c>
      <c r="R70" s="54"/>
      <c r="S70" s="55"/>
      <c r="T70" s="53">
        <f>0</f>
        <v>0</v>
      </c>
      <c r="U70" s="54"/>
      <c r="V70" s="55"/>
      <c r="W70" s="53">
        <f>0</f>
        <v>0</v>
      </c>
      <c r="X70" s="54"/>
      <c r="Y70" s="55"/>
      <c r="Z70" s="108">
        <f>0+E70+H70+K70+N70+Q70+T70+W70</f>
        <v>0</v>
      </c>
      <c r="AA70" s="109"/>
      <c r="AB70" s="110"/>
      <c r="AC70" s="43">
        <v>0</v>
      </c>
      <c r="AD70" s="88">
        <f>9608.91+Z70</f>
        <v>9608.91</v>
      </c>
      <c r="AE70" s="88"/>
    </row>
    <row r="71" spans="1:31" x14ac:dyDescent="0.25">
      <c r="A71" s="16" t="s">
        <v>110</v>
      </c>
      <c r="B71" s="114">
        <v>14218.05</v>
      </c>
      <c r="C71" s="115"/>
      <c r="D71" s="116"/>
      <c r="E71" s="53">
        <v>0</v>
      </c>
      <c r="F71" s="54"/>
      <c r="G71" s="55"/>
      <c r="H71" s="53">
        <f>0</f>
        <v>0</v>
      </c>
      <c r="I71" s="54"/>
      <c r="J71" s="55"/>
      <c r="K71" s="53">
        <f>0</f>
        <v>0</v>
      </c>
      <c r="L71" s="54"/>
      <c r="M71" s="55"/>
      <c r="N71" s="53">
        <f>699</f>
        <v>699</v>
      </c>
      <c r="O71" s="54"/>
      <c r="P71" s="55"/>
      <c r="Q71" s="53">
        <f>0</f>
        <v>0</v>
      </c>
      <c r="R71" s="54"/>
      <c r="S71" s="55"/>
      <c r="T71" s="53">
        <f>0</f>
        <v>0</v>
      </c>
      <c r="U71" s="54"/>
      <c r="V71" s="55"/>
      <c r="W71" s="53">
        <f>0</f>
        <v>0</v>
      </c>
      <c r="X71" s="54"/>
      <c r="Y71" s="55"/>
      <c r="Z71" s="108">
        <f>0+E71+H71+K71+N71+Q71+T71+W71</f>
        <v>699</v>
      </c>
      <c r="AA71" s="109"/>
      <c r="AB71" s="110"/>
      <c r="AC71" s="43">
        <v>0</v>
      </c>
      <c r="AD71" s="88">
        <f>14218.05+Z71</f>
        <v>14917.05</v>
      </c>
      <c r="AE71" s="88"/>
    </row>
    <row r="72" spans="1:31" x14ac:dyDescent="0.25">
      <c r="A72" s="16" t="s">
        <v>109</v>
      </c>
      <c r="B72" s="114">
        <v>11343.63</v>
      </c>
      <c r="C72" s="115"/>
      <c r="D72" s="116"/>
      <c r="E72" s="53">
        <v>0</v>
      </c>
      <c r="F72" s="54"/>
      <c r="G72" s="55"/>
      <c r="H72" s="53">
        <f>394.07+1900.8+853.71</f>
        <v>3148.58</v>
      </c>
      <c r="I72" s="54"/>
      <c r="J72" s="55"/>
      <c r="K72" s="53">
        <f>0</f>
        <v>0</v>
      </c>
      <c r="L72" s="54"/>
      <c r="M72" s="55"/>
      <c r="N72" s="53">
        <f>394.07</f>
        <v>394.07</v>
      </c>
      <c r="O72" s="54"/>
      <c r="P72" s="55"/>
      <c r="Q72" s="53">
        <f>394.06</f>
        <v>394.06</v>
      </c>
      <c r="R72" s="54"/>
      <c r="S72" s="55"/>
      <c r="T72" s="53">
        <f>0</f>
        <v>0</v>
      </c>
      <c r="U72" s="54"/>
      <c r="V72" s="55"/>
      <c r="W72" s="53">
        <f>0</f>
        <v>0</v>
      </c>
      <c r="X72" s="54"/>
      <c r="Y72" s="55"/>
      <c r="Z72" s="108">
        <f>0+E72+H72+K72+N72+Q72+T72+W72</f>
        <v>3936.71</v>
      </c>
      <c r="AA72" s="109"/>
      <c r="AB72" s="110"/>
      <c r="AC72" s="43">
        <v>0</v>
      </c>
      <c r="AD72" s="88">
        <f>11343.63+Z72</f>
        <v>15280.34</v>
      </c>
      <c r="AE72" s="88"/>
    </row>
    <row r="73" spans="1:31" x14ac:dyDescent="0.25">
      <c r="A73" s="16" t="s">
        <v>62</v>
      </c>
      <c r="B73" s="114">
        <v>2031.58</v>
      </c>
      <c r="C73" s="115"/>
      <c r="D73" s="116"/>
      <c r="E73" s="53">
        <v>0</v>
      </c>
      <c r="F73" s="54"/>
      <c r="G73" s="55"/>
      <c r="H73" s="53">
        <f>0</f>
        <v>0</v>
      </c>
      <c r="I73" s="54"/>
      <c r="J73" s="55"/>
      <c r="K73" s="53">
        <f>0</f>
        <v>0</v>
      </c>
      <c r="L73" s="54"/>
      <c r="M73" s="55"/>
      <c r="N73" s="53">
        <f>0</f>
        <v>0</v>
      </c>
      <c r="O73" s="54"/>
      <c r="P73" s="55"/>
      <c r="Q73" s="53">
        <f>0</f>
        <v>0</v>
      </c>
      <c r="R73" s="54"/>
      <c r="S73" s="55"/>
      <c r="T73" s="53">
        <f>0</f>
        <v>0</v>
      </c>
      <c r="U73" s="54"/>
      <c r="V73" s="55"/>
      <c r="W73" s="53">
        <f>0</f>
        <v>0</v>
      </c>
      <c r="X73" s="54"/>
      <c r="Y73" s="55"/>
      <c r="Z73" s="108">
        <f>0+E73+H73+K73+N73+Q73+T73+W73</f>
        <v>0</v>
      </c>
      <c r="AA73" s="109"/>
      <c r="AB73" s="110"/>
      <c r="AC73" s="43">
        <v>0</v>
      </c>
      <c r="AD73" s="88">
        <f>2031.58+Z73</f>
        <v>2031.58</v>
      </c>
      <c r="AE73" s="88"/>
    </row>
    <row r="74" spans="1:31" x14ac:dyDescent="0.25">
      <c r="A74" s="13" t="s">
        <v>63</v>
      </c>
      <c r="B74" s="114">
        <v>8539.74</v>
      </c>
      <c r="C74" s="115"/>
      <c r="D74" s="116"/>
      <c r="E74" s="53">
        <v>0</v>
      </c>
      <c r="F74" s="54"/>
      <c r="G74" s="55"/>
      <c r="H74" s="53">
        <f>0</f>
        <v>0</v>
      </c>
      <c r="I74" s="54"/>
      <c r="J74" s="55"/>
      <c r="K74" s="53">
        <f>19.99</f>
        <v>19.989999999999998</v>
      </c>
      <c r="L74" s="54"/>
      <c r="M74" s="55"/>
      <c r="N74" s="53">
        <f>0</f>
        <v>0</v>
      </c>
      <c r="O74" s="54"/>
      <c r="P74" s="55"/>
      <c r="Q74" s="53">
        <f>314.5+18.19</f>
        <v>332.69</v>
      </c>
      <c r="R74" s="54"/>
      <c r="S74" s="55"/>
      <c r="T74" s="53">
        <f>7.99+3.39</f>
        <v>11.38</v>
      </c>
      <c r="U74" s="54"/>
      <c r="V74" s="55"/>
      <c r="W74" s="53">
        <f>0</f>
        <v>0</v>
      </c>
      <c r="X74" s="54"/>
      <c r="Y74" s="55"/>
      <c r="Z74" s="108">
        <f>0+E74+H74+K74+N74+Q74+T74+W74</f>
        <v>364.06</v>
      </c>
      <c r="AA74" s="109"/>
      <c r="AB74" s="110"/>
      <c r="AC74" s="43">
        <v>0</v>
      </c>
      <c r="AD74" s="88">
        <f>8539.74+Z74</f>
        <v>8903.7999999999993</v>
      </c>
      <c r="AE74" s="88"/>
    </row>
    <row r="75" spans="1:31" x14ac:dyDescent="0.25">
      <c r="A75" s="16" t="s">
        <v>64</v>
      </c>
      <c r="B75" s="114">
        <v>127750.82</v>
      </c>
      <c r="C75" s="115"/>
      <c r="D75" s="116"/>
      <c r="E75" s="53">
        <v>1839.83</v>
      </c>
      <c r="F75" s="54"/>
      <c r="G75" s="55"/>
      <c r="H75" s="53">
        <f>2057.82</f>
        <v>2057.8200000000002</v>
      </c>
      <c r="I75" s="54"/>
      <c r="J75" s="55"/>
      <c r="K75" s="53">
        <f>1996.5</f>
        <v>1996.5</v>
      </c>
      <c r="L75" s="54"/>
      <c r="M75" s="55"/>
      <c r="N75" s="53">
        <f>1996.5</f>
        <v>1996.5</v>
      </c>
      <c r="O75" s="54"/>
      <c r="P75" s="55"/>
      <c r="Q75" s="53">
        <f>1996.5</f>
        <v>1996.5</v>
      </c>
      <c r="R75" s="54"/>
      <c r="S75" s="55"/>
      <c r="T75" s="53">
        <f>2020.57</f>
        <v>2020.57</v>
      </c>
      <c r="U75" s="54"/>
      <c r="V75" s="55"/>
      <c r="W75" s="53">
        <f>2020.57</f>
        <v>2020.57</v>
      </c>
      <c r="X75" s="54"/>
      <c r="Y75" s="55"/>
      <c r="Z75" s="108">
        <f>0+E75+H75+K75+N75+Q75+T75+W75</f>
        <v>13928.289999999999</v>
      </c>
      <c r="AA75" s="109"/>
      <c r="AB75" s="110"/>
      <c r="AC75" s="43">
        <v>6.7828834342257588E-2</v>
      </c>
      <c r="AD75" s="88">
        <f>127750.82+Z75</f>
        <v>141679.11000000002</v>
      </c>
      <c r="AE75" s="88"/>
    </row>
    <row r="76" spans="1:31" x14ac:dyDescent="0.25">
      <c r="A76" s="16" t="s">
        <v>65</v>
      </c>
      <c r="B76" s="114">
        <v>24333.75</v>
      </c>
      <c r="C76" s="115"/>
      <c r="D76" s="116"/>
      <c r="E76" s="53">
        <v>297.04000000000002</v>
      </c>
      <c r="F76" s="54"/>
      <c r="G76" s="55"/>
      <c r="H76" s="53">
        <f>172.86+125.4+50.67</f>
        <v>348.93</v>
      </c>
      <c r="I76" s="54"/>
      <c r="J76" s="55"/>
      <c r="K76" s="53">
        <f>130.04+125.12+50.67</f>
        <v>305.83</v>
      </c>
      <c r="L76" s="54"/>
      <c r="M76" s="55"/>
      <c r="N76" s="53">
        <f>169.16+125.25+73.3</f>
        <v>367.71</v>
      </c>
      <c r="O76" s="54"/>
      <c r="P76" s="55"/>
      <c r="Q76" s="53">
        <f>141.74+125.43+102.15</f>
        <v>369.32000000000005</v>
      </c>
      <c r="R76" s="54"/>
      <c r="S76" s="55"/>
      <c r="T76" s="53">
        <f>100.77+128.45+101.65</f>
        <v>330.87</v>
      </c>
      <c r="U76" s="54"/>
      <c r="V76" s="55"/>
      <c r="W76" s="53">
        <f>127.98+128.28+100.65</f>
        <v>356.90999999999997</v>
      </c>
      <c r="X76" s="54"/>
      <c r="Y76" s="55"/>
      <c r="Z76" s="108">
        <f>0+E76+H76+K76+N76+Q76+T76+W76</f>
        <v>2376.6099999999997</v>
      </c>
      <c r="AA76" s="109"/>
      <c r="AB76" s="110"/>
      <c r="AC76" s="43">
        <v>1.0950944898726618E-2</v>
      </c>
      <c r="AD76" s="88">
        <f>24333.75+Z76</f>
        <v>26710.36</v>
      </c>
      <c r="AE76" s="88"/>
    </row>
    <row r="77" spans="1:31" x14ac:dyDescent="0.25">
      <c r="A77" s="16" t="s">
        <v>66</v>
      </c>
      <c r="B77" s="114">
        <v>9274.5</v>
      </c>
      <c r="C77" s="115"/>
      <c r="D77" s="116"/>
      <c r="E77" s="53">
        <v>0</v>
      </c>
      <c r="F77" s="54"/>
      <c r="G77" s="55"/>
      <c r="H77" s="53">
        <f>16.5</f>
        <v>16.5</v>
      </c>
      <c r="I77" s="54"/>
      <c r="J77" s="55"/>
      <c r="K77" s="53">
        <f>16.5+16.5+13.98</f>
        <v>46.980000000000004</v>
      </c>
      <c r="L77" s="54"/>
      <c r="M77" s="55"/>
      <c r="N77" s="53">
        <f>16.5</f>
        <v>16.5</v>
      </c>
      <c r="O77" s="54"/>
      <c r="P77" s="55"/>
      <c r="Q77" s="53">
        <f>16.5+18</f>
        <v>34.5</v>
      </c>
      <c r="R77" s="54"/>
      <c r="S77" s="55"/>
      <c r="T77" s="53">
        <f>12.98+35+12.98+14.69+18</f>
        <v>93.65</v>
      </c>
      <c r="U77" s="54"/>
      <c r="V77" s="55"/>
      <c r="W77" s="53">
        <f>18</f>
        <v>18</v>
      </c>
      <c r="X77" s="54"/>
      <c r="Y77" s="55"/>
      <c r="Z77" s="108">
        <f>0+E77+H77+K77+N77+Q77+T77+W77</f>
        <v>226.13</v>
      </c>
      <c r="AA77" s="109"/>
      <c r="AB77" s="110"/>
      <c r="AC77" s="43">
        <v>0</v>
      </c>
      <c r="AD77" s="88">
        <f>9274.5+Z77</f>
        <v>9500.6299999999992</v>
      </c>
      <c r="AE77" s="88"/>
    </row>
    <row r="78" spans="1:31" x14ac:dyDescent="0.25">
      <c r="A78" s="16" t="s">
        <v>67</v>
      </c>
      <c r="B78" s="114">
        <v>4501.6000000000004</v>
      </c>
      <c r="C78" s="115"/>
      <c r="D78" s="116"/>
      <c r="E78" s="53">
        <v>0</v>
      </c>
      <c r="F78" s="54"/>
      <c r="G78" s="55"/>
      <c r="H78" s="53">
        <f>0</f>
        <v>0</v>
      </c>
      <c r="I78" s="54"/>
      <c r="J78" s="55"/>
      <c r="K78" s="53">
        <f>0</f>
        <v>0</v>
      </c>
      <c r="L78" s="54"/>
      <c r="M78" s="55"/>
      <c r="N78" s="53">
        <f>0</f>
        <v>0</v>
      </c>
      <c r="O78" s="54"/>
      <c r="P78" s="55"/>
      <c r="Q78" s="53">
        <f>0</f>
        <v>0</v>
      </c>
      <c r="R78" s="54"/>
      <c r="S78" s="55"/>
      <c r="T78" s="53">
        <f>0</f>
        <v>0</v>
      </c>
      <c r="U78" s="54"/>
      <c r="V78" s="55"/>
      <c r="W78" s="53">
        <f>0</f>
        <v>0</v>
      </c>
      <c r="X78" s="54"/>
      <c r="Y78" s="55"/>
      <c r="Z78" s="108">
        <f>0+E78+H78+K78+N78+Q78+T78+W78</f>
        <v>0</v>
      </c>
      <c r="AA78" s="109"/>
      <c r="AB78" s="110"/>
      <c r="AC78" s="43">
        <v>0</v>
      </c>
      <c r="AD78" s="88">
        <f>4501.6+Z78</f>
        <v>4501.6000000000004</v>
      </c>
      <c r="AE78" s="88"/>
    </row>
    <row r="79" spans="1:31" x14ac:dyDescent="0.25">
      <c r="A79" s="16" t="s">
        <v>68</v>
      </c>
      <c r="B79" s="114">
        <v>4549.2700000000004</v>
      </c>
      <c r="C79" s="115"/>
      <c r="D79" s="116"/>
      <c r="E79" s="53">
        <v>0</v>
      </c>
      <c r="F79" s="54"/>
      <c r="G79" s="55"/>
      <c r="H79" s="53">
        <f>0</f>
        <v>0</v>
      </c>
      <c r="I79" s="54"/>
      <c r="J79" s="55"/>
      <c r="K79" s="53">
        <f>39.99+8.99+1.99+4.89</f>
        <v>55.860000000000007</v>
      </c>
      <c r="L79" s="54"/>
      <c r="M79" s="55"/>
      <c r="N79" s="53">
        <f>0</f>
        <v>0</v>
      </c>
      <c r="O79" s="54"/>
      <c r="P79" s="55"/>
      <c r="Q79" s="53">
        <f>0</f>
        <v>0</v>
      </c>
      <c r="R79" s="54"/>
      <c r="S79" s="55"/>
      <c r="T79" s="53">
        <f>2.79+13.29+13.29+45.95+41.99+4.99+16.99</f>
        <v>139.29</v>
      </c>
      <c r="U79" s="54"/>
      <c r="V79" s="55"/>
      <c r="W79" s="53">
        <f>0</f>
        <v>0</v>
      </c>
      <c r="X79" s="54"/>
      <c r="Y79" s="55"/>
      <c r="Z79" s="108">
        <f>0+E79+H79+K79+N79+Q79+T79+W79</f>
        <v>195.15</v>
      </c>
      <c r="AA79" s="109"/>
      <c r="AB79" s="110"/>
      <c r="AC79" s="43">
        <v>0</v>
      </c>
      <c r="AD79" s="88">
        <f>4549.27+Z79</f>
        <v>4744.42</v>
      </c>
      <c r="AE79" s="88"/>
    </row>
    <row r="80" spans="1:31" x14ac:dyDescent="0.25">
      <c r="A80" s="16" t="s">
        <v>69</v>
      </c>
      <c r="B80" s="114">
        <v>2359.5500000000002</v>
      </c>
      <c r="C80" s="115"/>
      <c r="D80" s="116"/>
      <c r="E80" s="53">
        <v>0</v>
      </c>
      <c r="F80" s="54"/>
      <c r="G80" s="55"/>
      <c r="H80" s="53">
        <f>0</f>
        <v>0</v>
      </c>
      <c r="I80" s="54"/>
      <c r="J80" s="55"/>
      <c r="K80" s="53">
        <f>0</f>
        <v>0</v>
      </c>
      <c r="L80" s="54"/>
      <c r="M80" s="55"/>
      <c r="N80" s="53">
        <f>0</f>
        <v>0</v>
      </c>
      <c r="O80" s="54"/>
      <c r="P80" s="55"/>
      <c r="Q80" s="53">
        <f>0</f>
        <v>0</v>
      </c>
      <c r="R80" s="54"/>
      <c r="S80" s="55"/>
      <c r="T80" s="53">
        <f>0</f>
        <v>0</v>
      </c>
      <c r="U80" s="54"/>
      <c r="V80" s="55"/>
      <c r="W80" s="53">
        <f>0</f>
        <v>0</v>
      </c>
      <c r="X80" s="54"/>
      <c r="Y80" s="55"/>
      <c r="Z80" s="108">
        <f>0+E80+H80+K80+N80+Q80+T80+W80</f>
        <v>0</v>
      </c>
      <c r="AA80" s="109"/>
      <c r="AB80" s="110"/>
      <c r="AC80" s="43">
        <v>0</v>
      </c>
      <c r="AD80" s="88">
        <f>2359.55+Z80</f>
        <v>2359.5500000000002</v>
      </c>
      <c r="AE80" s="88"/>
    </row>
    <row r="81" spans="1:31" x14ac:dyDescent="0.25">
      <c r="A81" s="16" t="s">
        <v>70</v>
      </c>
      <c r="B81" s="114">
        <v>2056.7600000000002</v>
      </c>
      <c r="C81" s="115"/>
      <c r="D81" s="116"/>
      <c r="E81" s="53">
        <v>0</v>
      </c>
      <c r="F81" s="54"/>
      <c r="G81" s="55"/>
      <c r="H81" s="53">
        <f>0</f>
        <v>0</v>
      </c>
      <c r="I81" s="54"/>
      <c r="J81" s="55"/>
      <c r="K81" s="53">
        <f>0</f>
        <v>0</v>
      </c>
      <c r="L81" s="54"/>
      <c r="M81" s="55"/>
      <c r="N81" s="53">
        <f>0</f>
        <v>0</v>
      </c>
      <c r="O81" s="54"/>
      <c r="P81" s="55"/>
      <c r="Q81" s="53">
        <f>0</f>
        <v>0</v>
      </c>
      <c r="R81" s="54"/>
      <c r="S81" s="55"/>
      <c r="T81" s="53">
        <f>0</f>
        <v>0</v>
      </c>
      <c r="U81" s="54"/>
      <c r="V81" s="55"/>
      <c r="W81" s="53">
        <f>0</f>
        <v>0</v>
      </c>
      <c r="X81" s="54"/>
      <c r="Y81" s="55"/>
      <c r="Z81" s="108">
        <f>0+E81+H81+K81+N81+Q81+T81+W81</f>
        <v>0</v>
      </c>
      <c r="AA81" s="109"/>
      <c r="AB81" s="110"/>
      <c r="AC81" s="43">
        <v>0</v>
      </c>
      <c r="AD81" s="88">
        <f>2056.76+Z81</f>
        <v>2056.7600000000002</v>
      </c>
      <c r="AE81" s="88"/>
    </row>
    <row r="82" spans="1:31" x14ac:dyDescent="0.25">
      <c r="A82" s="16" t="s">
        <v>71</v>
      </c>
      <c r="B82" s="114">
        <v>344107.8</v>
      </c>
      <c r="C82" s="115"/>
      <c r="D82" s="116"/>
      <c r="E82" s="53">
        <v>1876.24</v>
      </c>
      <c r="F82" s="54"/>
      <c r="G82" s="55"/>
      <c r="H82" s="53">
        <f>2469.86</f>
        <v>2469.86</v>
      </c>
      <c r="I82" s="54"/>
      <c r="J82" s="55"/>
      <c r="K82" s="53">
        <f>3145.53</f>
        <v>3145.53</v>
      </c>
      <c r="L82" s="54"/>
      <c r="M82" s="55"/>
      <c r="N82" s="53">
        <f>3107.13</f>
        <v>3107.13</v>
      </c>
      <c r="O82" s="54"/>
      <c r="P82" s="55"/>
      <c r="Q82" s="53">
        <f>3170.73</f>
        <v>3170.73</v>
      </c>
      <c r="R82" s="54"/>
      <c r="S82" s="55"/>
      <c r="T82" s="53">
        <f>3482.29</f>
        <v>3482.29</v>
      </c>
      <c r="U82" s="54"/>
      <c r="V82" s="55"/>
      <c r="W82" s="53">
        <f>3330.97+1623.36</f>
        <v>4954.33</v>
      </c>
      <c r="X82" s="54"/>
      <c r="Y82" s="55"/>
      <c r="Z82" s="108">
        <f>0+E82+H82+K82+N82+Q82+T82+W82</f>
        <v>22206.11</v>
      </c>
      <c r="AA82" s="109"/>
      <c r="AB82" s="110"/>
      <c r="AC82" s="43">
        <v>6.9171158284361794E-2</v>
      </c>
      <c r="AD82" s="88">
        <f>344107.8+Z82</f>
        <v>366313.91</v>
      </c>
      <c r="AE82" s="88"/>
    </row>
    <row r="83" spans="1:31" x14ac:dyDescent="0.25">
      <c r="A83" s="16" t="s">
        <v>72</v>
      </c>
      <c r="B83" s="114">
        <v>243343.59</v>
      </c>
      <c r="C83" s="115"/>
      <c r="D83" s="116"/>
      <c r="E83" s="53">
        <v>3155.7</v>
      </c>
      <c r="F83" s="54"/>
      <c r="G83" s="55"/>
      <c r="H83" s="53">
        <f>332.48+225.6+708.86+41.56+1280.77</f>
        <v>2589.27</v>
      </c>
      <c r="I83" s="54"/>
      <c r="J83" s="55"/>
      <c r="K83" s="53">
        <f>309.2+38.65+59.11+554.76+177.6+1178.95</f>
        <v>2318.27</v>
      </c>
      <c r="L83" s="54"/>
      <c r="M83" s="55"/>
      <c r="N83" s="53">
        <f>309.2+1178.95+169.87+38.65+216+678.04</f>
        <v>2590.71</v>
      </c>
      <c r="O83" s="54"/>
      <c r="P83" s="55"/>
      <c r="Q83" s="53">
        <f>309.2+1178.95+38.65+169.87+792.12+206.4</f>
        <v>2695.19</v>
      </c>
      <c r="R83" s="54"/>
      <c r="S83" s="55"/>
      <c r="T83" s="53">
        <f>346.31+1495.26+43.29+129.6+424.58</f>
        <v>2439.04</v>
      </c>
      <c r="U83" s="54"/>
      <c r="V83" s="55"/>
      <c r="W83" s="53">
        <f>327.76+1463.32+40.97+225.6+751.18</f>
        <v>2808.83</v>
      </c>
      <c r="X83" s="54"/>
      <c r="Y83" s="55"/>
      <c r="Z83" s="108">
        <f>0+E83+H83+K83+N83+Q83+T83+W83</f>
        <v>18597.010000000002</v>
      </c>
      <c r="AA83" s="109"/>
      <c r="AB83" s="110"/>
      <c r="AC83" s="43">
        <v>0.11634088613288307</v>
      </c>
      <c r="AD83" s="88">
        <f>243343.59+Z83</f>
        <v>261940.6</v>
      </c>
      <c r="AE83" s="88"/>
    </row>
    <row r="84" spans="1:31" x14ac:dyDescent="0.25">
      <c r="A84" s="12" t="s">
        <v>73</v>
      </c>
      <c r="B84" s="63">
        <f>SUM(B85:D88)</f>
        <v>23828.720000000001</v>
      </c>
      <c r="C84" s="64"/>
      <c r="D84" s="65"/>
      <c r="E84" s="63">
        <f t="shared" ref="E84" si="42">SUM(E85:G88)</f>
        <v>17</v>
      </c>
      <c r="F84" s="64"/>
      <c r="G84" s="65"/>
      <c r="H84" s="63">
        <f t="shared" ref="H84" si="43">SUM(H85:J88)</f>
        <v>0</v>
      </c>
      <c r="I84" s="64"/>
      <c r="J84" s="65"/>
      <c r="K84" s="63">
        <f t="shared" ref="K84" si="44">SUM(K85:M88)</f>
        <v>18</v>
      </c>
      <c r="L84" s="64"/>
      <c r="M84" s="65"/>
      <c r="N84" s="63">
        <f t="shared" ref="N84" si="45">SUM(N85:P88)</f>
        <v>18</v>
      </c>
      <c r="O84" s="64"/>
      <c r="P84" s="65"/>
      <c r="Q84" s="63">
        <f t="shared" ref="Q84" si="46">SUM(Q85:S88)</f>
        <v>85.1</v>
      </c>
      <c r="R84" s="64"/>
      <c r="S84" s="65"/>
      <c r="T84" s="63">
        <f t="shared" ref="T84" si="47">SUM(T85:V88)</f>
        <v>20</v>
      </c>
      <c r="U84" s="64"/>
      <c r="V84" s="65"/>
      <c r="W84" s="63">
        <f>SUM(W85:Y88)</f>
        <v>520</v>
      </c>
      <c r="X84" s="64"/>
      <c r="Y84" s="65"/>
      <c r="Z84" s="63">
        <f t="shared" ref="Z84" si="48">SUM(Z85:AB88)</f>
        <v>678.1</v>
      </c>
      <c r="AA84" s="64"/>
      <c r="AB84" s="65"/>
      <c r="AC84" s="48">
        <v>6.2673735280888935E-4</v>
      </c>
      <c r="AD84" s="90">
        <f>SUM(AD85:AE88)</f>
        <v>24506.82</v>
      </c>
      <c r="AE84" s="91"/>
    </row>
    <row r="85" spans="1:31" x14ac:dyDescent="0.25">
      <c r="A85" s="13" t="s">
        <v>74</v>
      </c>
      <c r="B85" s="114">
        <v>4832.0600000000004</v>
      </c>
      <c r="C85" s="115"/>
      <c r="D85" s="116"/>
      <c r="E85" s="53">
        <v>0</v>
      </c>
      <c r="F85" s="54"/>
      <c r="G85" s="55"/>
      <c r="H85" s="53">
        <f>0</f>
        <v>0</v>
      </c>
      <c r="I85" s="54"/>
      <c r="J85" s="55"/>
      <c r="K85" s="53">
        <f>0</f>
        <v>0</v>
      </c>
      <c r="L85" s="54"/>
      <c r="M85" s="55"/>
      <c r="N85" s="53">
        <f>0</f>
        <v>0</v>
      </c>
      <c r="O85" s="54"/>
      <c r="P85" s="55"/>
      <c r="Q85" s="53">
        <f>0</f>
        <v>0</v>
      </c>
      <c r="R85" s="54"/>
      <c r="S85" s="55"/>
      <c r="T85" s="53">
        <f>0</f>
        <v>0</v>
      </c>
      <c r="U85" s="54"/>
      <c r="V85" s="55"/>
      <c r="W85" s="53">
        <f>500</f>
        <v>500</v>
      </c>
      <c r="X85" s="54"/>
      <c r="Y85" s="55"/>
      <c r="Z85" s="108">
        <f>0+E85+H85+K85+N85+Q85+T85+W85</f>
        <v>500</v>
      </c>
      <c r="AA85" s="109"/>
      <c r="AB85" s="110"/>
      <c r="AC85" s="43">
        <v>0</v>
      </c>
      <c r="AD85" s="88">
        <f>4832.06+Z85</f>
        <v>5332.06</v>
      </c>
      <c r="AE85" s="88"/>
    </row>
    <row r="86" spans="1:31" x14ac:dyDescent="0.25">
      <c r="A86" s="13" t="s">
        <v>75</v>
      </c>
      <c r="B86" s="114">
        <v>2257.9499999999998</v>
      </c>
      <c r="C86" s="115"/>
      <c r="D86" s="116"/>
      <c r="E86" s="53">
        <v>17</v>
      </c>
      <c r="F86" s="54"/>
      <c r="G86" s="55"/>
      <c r="H86" s="53">
        <f>0</f>
        <v>0</v>
      </c>
      <c r="I86" s="54"/>
      <c r="J86" s="55"/>
      <c r="K86" s="53">
        <f>18</f>
        <v>18</v>
      </c>
      <c r="L86" s="54"/>
      <c r="M86" s="55"/>
      <c r="N86" s="53">
        <f>18</f>
        <v>18</v>
      </c>
      <c r="O86" s="54"/>
      <c r="P86" s="55"/>
      <c r="Q86" s="53">
        <f>20</f>
        <v>20</v>
      </c>
      <c r="R86" s="54"/>
      <c r="S86" s="55"/>
      <c r="T86" s="53">
        <f>20</f>
        <v>20</v>
      </c>
      <c r="U86" s="54"/>
      <c r="V86" s="55"/>
      <c r="W86" s="53">
        <f>20</f>
        <v>20</v>
      </c>
      <c r="X86" s="54"/>
      <c r="Y86" s="55"/>
      <c r="Z86" s="108">
        <f>0+E86+H86+K86+N86+Q86+T86+W86</f>
        <v>113</v>
      </c>
      <c r="AA86" s="109"/>
      <c r="AB86" s="110"/>
      <c r="AC86" s="43">
        <v>2.0830882641257875E-3</v>
      </c>
      <c r="AD86" s="88">
        <f>2257.95+Z86</f>
        <v>2370.9499999999998</v>
      </c>
      <c r="AE86" s="88"/>
    </row>
    <row r="87" spans="1:31" x14ac:dyDescent="0.25">
      <c r="A87" s="13" t="s">
        <v>76</v>
      </c>
      <c r="B87" s="114">
        <v>15957.96</v>
      </c>
      <c r="C87" s="115"/>
      <c r="D87" s="116"/>
      <c r="E87" s="53">
        <v>0</v>
      </c>
      <c r="F87" s="54"/>
      <c r="G87" s="55"/>
      <c r="H87" s="53">
        <f>0</f>
        <v>0</v>
      </c>
      <c r="I87" s="54"/>
      <c r="J87" s="55"/>
      <c r="K87" s="53">
        <f>0</f>
        <v>0</v>
      </c>
      <c r="L87" s="54"/>
      <c r="M87" s="55"/>
      <c r="N87" s="53">
        <f>0</f>
        <v>0</v>
      </c>
      <c r="O87" s="54"/>
      <c r="P87" s="55"/>
      <c r="Q87" s="53">
        <f>35.1</f>
        <v>35.1</v>
      </c>
      <c r="R87" s="54"/>
      <c r="S87" s="55"/>
      <c r="T87" s="53">
        <f>0</f>
        <v>0</v>
      </c>
      <c r="U87" s="54"/>
      <c r="V87" s="55"/>
      <c r="W87" s="53">
        <f>0</f>
        <v>0</v>
      </c>
      <c r="X87" s="54"/>
      <c r="Y87" s="55"/>
      <c r="Z87" s="108">
        <f>0+E87+H87+K87+N87+Q87+T87+W87</f>
        <v>35.1</v>
      </c>
      <c r="AA87" s="109"/>
      <c r="AB87" s="110"/>
      <c r="AC87" s="43">
        <v>0</v>
      </c>
      <c r="AD87" s="88">
        <f>15957.96+Z87</f>
        <v>15993.06</v>
      </c>
      <c r="AE87" s="88"/>
    </row>
    <row r="88" spans="1:31" x14ac:dyDescent="0.25">
      <c r="A88" s="13" t="s">
        <v>77</v>
      </c>
      <c r="B88" s="114">
        <v>780.75</v>
      </c>
      <c r="C88" s="115"/>
      <c r="D88" s="116"/>
      <c r="E88" s="53">
        <v>0</v>
      </c>
      <c r="F88" s="54"/>
      <c r="G88" s="55"/>
      <c r="H88" s="53">
        <f>0</f>
        <v>0</v>
      </c>
      <c r="I88" s="54"/>
      <c r="J88" s="55"/>
      <c r="K88" s="53">
        <f>0</f>
        <v>0</v>
      </c>
      <c r="L88" s="54"/>
      <c r="M88" s="55"/>
      <c r="N88" s="53">
        <f>0</f>
        <v>0</v>
      </c>
      <c r="O88" s="54"/>
      <c r="P88" s="55"/>
      <c r="Q88" s="53">
        <f>16+14</f>
        <v>30</v>
      </c>
      <c r="R88" s="54"/>
      <c r="S88" s="55"/>
      <c r="T88" s="53">
        <f>0</f>
        <v>0</v>
      </c>
      <c r="U88" s="54"/>
      <c r="V88" s="55"/>
      <c r="W88" s="53">
        <f>0</f>
        <v>0</v>
      </c>
      <c r="X88" s="54"/>
      <c r="Y88" s="55"/>
      <c r="Z88" s="108">
        <f>0+E88+H88+K88+N88+Q88+T88+W88</f>
        <v>30</v>
      </c>
      <c r="AA88" s="109"/>
      <c r="AB88" s="110"/>
      <c r="AC88" s="43">
        <v>0</v>
      </c>
      <c r="AD88" s="88">
        <f>780.75+Z88</f>
        <v>810.75</v>
      </c>
      <c r="AE88" s="88"/>
    </row>
    <row r="89" spans="1:31" x14ac:dyDescent="0.25">
      <c r="A89" s="12" t="s">
        <v>78</v>
      </c>
      <c r="B89" s="63">
        <f>SUM(B90:D93)</f>
        <v>359422.61999999994</v>
      </c>
      <c r="C89" s="64"/>
      <c r="D89" s="65"/>
      <c r="E89" s="63">
        <f t="shared" ref="E89" si="49">SUM(E90:G93)</f>
        <v>0</v>
      </c>
      <c r="F89" s="64"/>
      <c r="G89" s="65"/>
      <c r="H89" s="63">
        <f t="shared" ref="H89" si="50">SUM(H90:J93)</f>
        <v>0</v>
      </c>
      <c r="I89" s="64"/>
      <c r="J89" s="65"/>
      <c r="K89" s="63">
        <f t="shared" ref="K89" si="51">SUM(K90:M93)</f>
        <v>0</v>
      </c>
      <c r="L89" s="64"/>
      <c r="M89" s="65"/>
      <c r="N89" s="63">
        <f t="shared" ref="N89" si="52">SUM(N90:P93)</f>
        <v>0</v>
      </c>
      <c r="O89" s="64"/>
      <c r="P89" s="65"/>
      <c r="Q89" s="63">
        <f t="shared" ref="Q89" si="53">SUM(Q90:S93)</f>
        <v>327.58</v>
      </c>
      <c r="R89" s="64"/>
      <c r="S89" s="65"/>
      <c r="T89" s="63">
        <f t="shared" ref="T89" si="54">SUM(T90:V93)</f>
        <v>8431.43</v>
      </c>
      <c r="U89" s="64"/>
      <c r="V89" s="65"/>
      <c r="W89" s="63">
        <f t="shared" ref="W89" si="55">SUM(W90:Y93)</f>
        <v>0</v>
      </c>
      <c r="X89" s="64"/>
      <c r="Y89" s="65"/>
      <c r="Z89" s="63">
        <f t="shared" ref="Z89" si="56">SUM(Z90:AB93)</f>
        <v>8759.01</v>
      </c>
      <c r="AA89" s="64"/>
      <c r="AB89" s="65"/>
      <c r="AC89" s="48">
        <v>0</v>
      </c>
      <c r="AD89" s="90">
        <f>SUM(AD90:AE93)</f>
        <v>368181.62999999995</v>
      </c>
      <c r="AE89" s="91"/>
    </row>
    <row r="90" spans="1:31" x14ac:dyDescent="0.25">
      <c r="A90" s="13" t="s">
        <v>79</v>
      </c>
      <c r="B90" s="114">
        <v>169708.83</v>
      </c>
      <c r="C90" s="115"/>
      <c r="D90" s="116"/>
      <c r="E90" s="53">
        <v>0</v>
      </c>
      <c r="F90" s="54"/>
      <c r="G90" s="55"/>
      <c r="H90" s="53">
        <f>0</f>
        <v>0</v>
      </c>
      <c r="I90" s="54"/>
      <c r="J90" s="55"/>
      <c r="K90" s="53">
        <f>0</f>
        <v>0</v>
      </c>
      <c r="L90" s="54"/>
      <c r="M90" s="55"/>
      <c r="N90" s="53">
        <f>0</f>
        <v>0</v>
      </c>
      <c r="O90" s="54"/>
      <c r="P90" s="55"/>
      <c r="Q90" s="53">
        <f>240</f>
        <v>240</v>
      </c>
      <c r="R90" s="54"/>
      <c r="S90" s="55"/>
      <c r="T90" s="53">
        <f>974.7+7456.73</f>
        <v>8431.43</v>
      </c>
      <c r="U90" s="54"/>
      <c r="V90" s="55"/>
      <c r="W90" s="53">
        <f>0</f>
        <v>0</v>
      </c>
      <c r="X90" s="54"/>
      <c r="Y90" s="55"/>
      <c r="Z90" s="108">
        <f>0+E90+H90+K90+N90+Q90+T90+W90</f>
        <v>8671.43</v>
      </c>
      <c r="AA90" s="109"/>
      <c r="AB90" s="110"/>
      <c r="AC90" s="43">
        <v>0</v>
      </c>
      <c r="AD90" s="88">
        <f>169708.83+Z90</f>
        <v>178380.25999999998</v>
      </c>
      <c r="AE90" s="88"/>
    </row>
    <row r="91" spans="1:31" x14ac:dyDescent="0.25">
      <c r="A91" s="13" t="s">
        <v>80</v>
      </c>
      <c r="B91" s="114">
        <v>1709.88</v>
      </c>
      <c r="C91" s="115"/>
      <c r="D91" s="116"/>
      <c r="E91" s="53">
        <v>0</v>
      </c>
      <c r="F91" s="54"/>
      <c r="G91" s="55"/>
      <c r="H91" s="53">
        <f>0</f>
        <v>0</v>
      </c>
      <c r="I91" s="54"/>
      <c r="J91" s="55"/>
      <c r="K91" s="53">
        <f>0</f>
        <v>0</v>
      </c>
      <c r="L91" s="54"/>
      <c r="M91" s="55"/>
      <c r="N91" s="53">
        <f>0</f>
        <v>0</v>
      </c>
      <c r="O91" s="54"/>
      <c r="P91" s="55"/>
      <c r="Q91" s="53">
        <f>0</f>
        <v>0</v>
      </c>
      <c r="R91" s="54"/>
      <c r="S91" s="55"/>
      <c r="T91" s="53">
        <f>0</f>
        <v>0</v>
      </c>
      <c r="U91" s="54"/>
      <c r="V91" s="55"/>
      <c r="W91" s="53">
        <f>0</f>
        <v>0</v>
      </c>
      <c r="X91" s="54"/>
      <c r="Y91" s="55"/>
      <c r="Z91" s="108">
        <f>0+E91+H91+K91+N91+Q91+T91+W91</f>
        <v>0</v>
      </c>
      <c r="AA91" s="109"/>
      <c r="AB91" s="110"/>
      <c r="AC91" s="43">
        <v>0</v>
      </c>
      <c r="AD91" s="88">
        <f>1709.88+Z91</f>
        <v>1709.88</v>
      </c>
      <c r="AE91" s="88"/>
    </row>
    <row r="92" spans="1:31" x14ac:dyDescent="0.25">
      <c r="A92" s="13" t="s">
        <v>81</v>
      </c>
      <c r="B92" s="114">
        <v>183057.61</v>
      </c>
      <c r="C92" s="115"/>
      <c r="D92" s="116"/>
      <c r="E92" s="53">
        <v>0</v>
      </c>
      <c r="F92" s="54"/>
      <c r="G92" s="55"/>
      <c r="H92" s="53">
        <f>0</f>
        <v>0</v>
      </c>
      <c r="I92" s="54"/>
      <c r="J92" s="55"/>
      <c r="K92" s="53">
        <f>0</f>
        <v>0</v>
      </c>
      <c r="L92" s="54"/>
      <c r="M92" s="55"/>
      <c r="N92" s="53">
        <f>0</f>
        <v>0</v>
      </c>
      <c r="O92" s="54"/>
      <c r="P92" s="55"/>
      <c r="Q92" s="53">
        <f>30+57.58</f>
        <v>87.58</v>
      </c>
      <c r="R92" s="54"/>
      <c r="S92" s="55"/>
      <c r="T92" s="53">
        <f>0</f>
        <v>0</v>
      </c>
      <c r="U92" s="54"/>
      <c r="V92" s="55"/>
      <c r="W92" s="53">
        <f>0</f>
        <v>0</v>
      </c>
      <c r="X92" s="54"/>
      <c r="Y92" s="55"/>
      <c r="Z92" s="108">
        <f>0+E92+H92+K92+N92+Q92+T92+W92</f>
        <v>87.58</v>
      </c>
      <c r="AA92" s="109"/>
      <c r="AB92" s="110"/>
      <c r="AC92" s="43">
        <v>0</v>
      </c>
      <c r="AD92" s="88">
        <f>183057.61+Z92</f>
        <v>183145.18999999997</v>
      </c>
      <c r="AE92" s="88"/>
    </row>
    <row r="93" spans="1:31" x14ac:dyDescent="0.25">
      <c r="A93" s="13" t="s">
        <v>82</v>
      </c>
      <c r="B93" s="114">
        <v>4946.3</v>
      </c>
      <c r="C93" s="115"/>
      <c r="D93" s="116"/>
      <c r="E93" s="53">
        <v>0</v>
      </c>
      <c r="F93" s="54"/>
      <c r="G93" s="55"/>
      <c r="H93" s="53">
        <f>0</f>
        <v>0</v>
      </c>
      <c r="I93" s="54"/>
      <c r="J93" s="55"/>
      <c r="K93" s="53">
        <f>0</f>
        <v>0</v>
      </c>
      <c r="L93" s="54"/>
      <c r="M93" s="55"/>
      <c r="N93" s="53">
        <f>0</f>
        <v>0</v>
      </c>
      <c r="O93" s="54"/>
      <c r="P93" s="55"/>
      <c r="Q93" s="53">
        <f>0</f>
        <v>0</v>
      </c>
      <c r="R93" s="54"/>
      <c r="S93" s="55"/>
      <c r="T93" s="53">
        <f>0</f>
        <v>0</v>
      </c>
      <c r="U93" s="54"/>
      <c r="V93" s="55"/>
      <c r="W93" s="53">
        <f>0</f>
        <v>0</v>
      </c>
      <c r="X93" s="54"/>
      <c r="Y93" s="55"/>
      <c r="Z93" s="108">
        <f>0+E93+H93+K93+N93+Q93+T93+W93</f>
        <v>0</v>
      </c>
      <c r="AA93" s="109"/>
      <c r="AB93" s="110"/>
      <c r="AC93" s="43">
        <v>0</v>
      </c>
      <c r="AD93" s="88">
        <f>4946.3+Z93</f>
        <v>4946.3</v>
      </c>
      <c r="AE93" s="88"/>
    </row>
    <row r="94" spans="1:31" x14ac:dyDescent="0.25">
      <c r="A94" s="12" t="s">
        <v>83</v>
      </c>
      <c r="B94" s="63">
        <f>SUM(B95:D101)</f>
        <v>278724.39</v>
      </c>
      <c r="C94" s="64"/>
      <c r="D94" s="65"/>
      <c r="E94" s="63">
        <f t="shared" ref="E94" si="57">SUM(E95:G101)</f>
        <v>89.96</v>
      </c>
      <c r="F94" s="64"/>
      <c r="G94" s="65"/>
      <c r="H94" s="63">
        <f t="shared" ref="H94" si="58">SUM(H95:J101)</f>
        <v>2172.63</v>
      </c>
      <c r="I94" s="64"/>
      <c r="J94" s="65"/>
      <c r="K94" s="63">
        <f t="shared" ref="K94" si="59">SUM(K95:M101)</f>
        <v>0</v>
      </c>
      <c r="L94" s="64"/>
      <c r="M94" s="65"/>
      <c r="N94" s="63">
        <f t="shared" ref="N94" si="60">SUM(N95:P101)</f>
        <v>0</v>
      </c>
      <c r="O94" s="64"/>
      <c r="P94" s="65"/>
      <c r="Q94" s="63">
        <f t="shared" ref="Q94" si="61">SUM(Q95:S101)</f>
        <v>980.64</v>
      </c>
      <c r="R94" s="64"/>
      <c r="S94" s="65"/>
      <c r="T94" s="63">
        <f t="shared" ref="T94" si="62">SUM(T95:V101)</f>
        <v>13685.72</v>
      </c>
      <c r="U94" s="64"/>
      <c r="V94" s="65"/>
      <c r="W94" s="63">
        <f t="shared" ref="W94" si="63">SUM(W95:Y101)</f>
        <v>1162.5</v>
      </c>
      <c r="X94" s="64"/>
      <c r="Y94" s="65"/>
      <c r="Z94" s="63">
        <f t="shared" ref="Z94" si="64">SUM(Z95:AB101)</f>
        <v>18091.45</v>
      </c>
      <c r="AA94" s="64"/>
      <c r="AB94" s="65"/>
      <c r="AC94" s="48">
        <v>3.3165466034522167E-3</v>
      </c>
      <c r="AD94" s="90">
        <f>SUM(AD95:AE101)</f>
        <v>296815.84000000003</v>
      </c>
      <c r="AE94" s="91"/>
    </row>
    <row r="95" spans="1:31" x14ac:dyDescent="0.25">
      <c r="A95" s="16" t="s">
        <v>84</v>
      </c>
      <c r="B95" s="114">
        <v>99303.14</v>
      </c>
      <c r="C95" s="115"/>
      <c r="D95" s="116"/>
      <c r="E95" s="53">
        <v>0</v>
      </c>
      <c r="F95" s="54"/>
      <c r="G95" s="55"/>
      <c r="H95" s="53">
        <f>280.77</f>
        <v>280.77</v>
      </c>
      <c r="I95" s="54"/>
      <c r="J95" s="55"/>
      <c r="K95" s="53">
        <f>0</f>
        <v>0</v>
      </c>
      <c r="L95" s="54"/>
      <c r="M95" s="55"/>
      <c r="N95" s="53">
        <f>0</f>
        <v>0</v>
      </c>
      <c r="O95" s="54"/>
      <c r="P95" s="55"/>
      <c r="Q95" s="53">
        <f>0</f>
        <v>0</v>
      </c>
      <c r="R95" s="54"/>
      <c r="S95" s="55"/>
      <c r="T95" s="53">
        <f>3396.84</f>
        <v>3396.84</v>
      </c>
      <c r="U95" s="54"/>
      <c r="V95" s="55"/>
      <c r="W95" s="53">
        <f>554.78</f>
        <v>554.78</v>
      </c>
      <c r="X95" s="54"/>
      <c r="Y95" s="55"/>
      <c r="Z95" s="108">
        <f>0+E95+H95+K95+N95+Q95+T95+W95</f>
        <v>4232.3900000000003</v>
      </c>
      <c r="AA95" s="109"/>
      <c r="AB95" s="110"/>
      <c r="AC95" s="43">
        <v>0</v>
      </c>
      <c r="AD95" s="88">
        <f>99303.14+Z95</f>
        <v>103535.53</v>
      </c>
      <c r="AE95" s="88"/>
    </row>
    <row r="96" spans="1:31" x14ac:dyDescent="0.25">
      <c r="A96" s="16" t="s">
        <v>85</v>
      </c>
      <c r="B96" s="114">
        <v>23237.82</v>
      </c>
      <c r="C96" s="115"/>
      <c r="D96" s="116"/>
      <c r="E96" s="53">
        <v>0</v>
      </c>
      <c r="F96" s="54"/>
      <c r="G96" s="55"/>
      <c r="H96" s="53">
        <f>826.2</f>
        <v>826.2</v>
      </c>
      <c r="I96" s="54"/>
      <c r="J96" s="55"/>
      <c r="K96" s="53">
        <f>0</f>
        <v>0</v>
      </c>
      <c r="L96" s="54"/>
      <c r="M96" s="55"/>
      <c r="N96" s="53">
        <f>0</f>
        <v>0</v>
      </c>
      <c r="O96" s="54"/>
      <c r="P96" s="55"/>
      <c r="Q96" s="53">
        <f>0</f>
        <v>0</v>
      </c>
      <c r="R96" s="54"/>
      <c r="S96" s="55"/>
      <c r="T96" s="53">
        <f>0</f>
        <v>0</v>
      </c>
      <c r="U96" s="54"/>
      <c r="V96" s="55"/>
      <c r="W96" s="53">
        <f>0</f>
        <v>0</v>
      </c>
      <c r="X96" s="54"/>
      <c r="Y96" s="55"/>
      <c r="Z96" s="108">
        <f>0+E96+H96+K96+N96+Q96+T96+W96</f>
        <v>826.2</v>
      </c>
      <c r="AA96" s="109"/>
      <c r="AB96" s="110"/>
      <c r="AC96" s="43">
        <v>0</v>
      </c>
      <c r="AD96" s="86">
        <f>23237.82+Z96</f>
        <v>24064.02</v>
      </c>
      <c r="AE96" s="87"/>
    </row>
    <row r="97" spans="1:31" x14ac:dyDescent="0.25">
      <c r="A97" s="16" t="s">
        <v>86</v>
      </c>
      <c r="B97" s="114">
        <v>44190.74</v>
      </c>
      <c r="C97" s="115"/>
      <c r="D97" s="116"/>
      <c r="E97" s="53">
        <v>0</v>
      </c>
      <c r="F97" s="54"/>
      <c r="G97" s="55"/>
      <c r="H97" s="53">
        <f>765.36+300.3</f>
        <v>1065.6600000000001</v>
      </c>
      <c r="I97" s="54"/>
      <c r="J97" s="55"/>
      <c r="K97" s="53">
        <f>0</f>
        <v>0</v>
      </c>
      <c r="L97" s="54"/>
      <c r="M97" s="55"/>
      <c r="N97" s="53">
        <f>0</f>
        <v>0</v>
      </c>
      <c r="O97" s="54"/>
      <c r="P97" s="55"/>
      <c r="Q97" s="53">
        <f>929.98+50.66</f>
        <v>980.64</v>
      </c>
      <c r="R97" s="54"/>
      <c r="S97" s="55"/>
      <c r="T97" s="53">
        <f>3745.74</f>
        <v>3745.74</v>
      </c>
      <c r="U97" s="54"/>
      <c r="V97" s="55"/>
      <c r="W97" s="53">
        <f>0</f>
        <v>0</v>
      </c>
      <c r="X97" s="54"/>
      <c r="Y97" s="55"/>
      <c r="Z97" s="108">
        <f>0+E97+H97+K97+N97+Q97+T97+W97</f>
        <v>5792.04</v>
      </c>
      <c r="AA97" s="109"/>
      <c r="AB97" s="110"/>
      <c r="AC97" s="43">
        <v>0</v>
      </c>
      <c r="AD97" s="86">
        <f>44190.74+Z97</f>
        <v>49982.78</v>
      </c>
      <c r="AE97" s="87"/>
    </row>
    <row r="98" spans="1:31" x14ac:dyDescent="0.25">
      <c r="A98" s="16" t="s">
        <v>87</v>
      </c>
      <c r="B98" s="114">
        <v>19745.099999999999</v>
      </c>
      <c r="C98" s="115"/>
      <c r="D98" s="116"/>
      <c r="E98" s="53">
        <v>0</v>
      </c>
      <c r="F98" s="54"/>
      <c r="G98" s="55"/>
      <c r="H98" s="53">
        <f>0</f>
        <v>0</v>
      </c>
      <c r="I98" s="54"/>
      <c r="J98" s="55"/>
      <c r="K98" s="53">
        <f>0</f>
        <v>0</v>
      </c>
      <c r="L98" s="54"/>
      <c r="M98" s="55"/>
      <c r="N98" s="53">
        <f>0</f>
        <v>0</v>
      </c>
      <c r="O98" s="54"/>
      <c r="P98" s="55"/>
      <c r="Q98" s="53">
        <f>0</f>
        <v>0</v>
      </c>
      <c r="R98" s="54"/>
      <c r="S98" s="55"/>
      <c r="T98" s="53">
        <f>2671.15</f>
        <v>2671.15</v>
      </c>
      <c r="U98" s="54"/>
      <c r="V98" s="55"/>
      <c r="W98" s="53">
        <f>45</f>
        <v>45</v>
      </c>
      <c r="X98" s="54"/>
      <c r="Y98" s="55"/>
      <c r="Z98" s="108">
        <f>0+E98+H98+K98+N98+Q98+T98+W98</f>
        <v>2716.15</v>
      </c>
      <c r="AA98" s="109"/>
      <c r="AB98" s="110"/>
      <c r="AC98" s="43">
        <v>0</v>
      </c>
      <c r="AD98" s="86">
        <f>19745.1+Z98</f>
        <v>22461.25</v>
      </c>
      <c r="AE98" s="87"/>
    </row>
    <row r="99" spans="1:31" x14ac:dyDescent="0.25">
      <c r="A99" s="16" t="s">
        <v>88</v>
      </c>
      <c r="B99" s="114">
        <v>20266.849999999999</v>
      </c>
      <c r="C99" s="115"/>
      <c r="D99" s="116"/>
      <c r="E99" s="53">
        <v>89.96</v>
      </c>
      <c r="F99" s="54"/>
      <c r="G99" s="55"/>
      <c r="H99" s="53">
        <f>0</f>
        <v>0</v>
      </c>
      <c r="I99" s="54"/>
      <c r="J99" s="55"/>
      <c r="K99" s="53">
        <f>0</f>
        <v>0</v>
      </c>
      <c r="L99" s="54"/>
      <c r="M99" s="55"/>
      <c r="N99" s="53">
        <f>0</f>
        <v>0</v>
      </c>
      <c r="O99" s="54"/>
      <c r="P99" s="55"/>
      <c r="Q99" s="53">
        <f>0</f>
        <v>0</v>
      </c>
      <c r="R99" s="54"/>
      <c r="S99" s="55"/>
      <c r="T99" s="53">
        <f>0</f>
        <v>0</v>
      </c>
      <c r="U99" s="54"/>
      <c r="V99" s="55"/>
      <c r="W99" s="53">
        <f>209.75</f>
        <v>209.75</v>
      </c>
      <c r="X99" s="54"/>
      <c r="Y99" s="55"/>
      <c r="Z99" s="108">
        <f>0+E99+H99+K99+N99+Q99+T99+W99</f>
        <v>299.70999999999998</v>
      </c>
      <c r="AA99" s="109"/>
      <c r="AB99" s="110"/>
      <c r="AC99" s="43">
        <v>3.3165466034522167E-3</v>
      </c>
      <c r="AD99" s="86">
        <f>20266.85+Z99</f>
        <v>20566.559999999998</v>
      </c>
      <c r="AE99" s="87"/>
    </row>
    <row r="100" spans="1:31" x14ac:dyDescent="0.25">
      <c r="A100" s="16" t="s">
        <v>89</v>
      </c>
      <c r="B100" s="114">
        <v>31093.99</v>
      </c>
      <c r="C100" s="115"/>
      <c r="D100" s="116"/>
      <c r="E100" s="53">
        <v>0</v>
      </c>
      <c r="F100" s="54"/>
      <c r="G100" s="55"/>
      <c r="H100" s="53">
        <f>0</f>
        <v>0</v>
      </c>
      <c r="I100" s="54"/>
      <c r="J100" s="55"/>
      <c r="K100" s="53">
        <f>0</f>
        <v>0</v>
      </c>
      <c r="L100" s="54"/>
      <c r="M100" s="55"/>
      <c r="N100" s="53">
        <f>0</f>
        <v>0</v>
      </c>
      <c r="O100" s="54"/>
      <c r="P100" s="55"/>
      <c r="Q100" s="53">
        <f>0</f>
        <v>0</v>
      </c>
      <c r="R100" s="54"/>
      <c r="S100" s="55"/>
      <c r="T100" s="53">
        <f>3871.99</f>
        <v>3871.99</v>
      </c>
      <c r="U100" s="54"/>
      <c r="V100" s="55"/>
      <c r="W100" s="53">
        <f>352.97</f>
        <v>352.97</v>
      </c>
      <c r="X100" s="54"/>
      <c r="Y100" s="55"/>
      <c r="Z100" s="108">
        <f>0+E100+H100+K100+N100+Q100+T100+W100</f>
        <v>4224.96</v>
      </c>
      <c r="AA100" s="109"/>
      <c r="AB100" s="110"/>
      <c r="AC100" s="43">
        <v>0</v>
      </c>
      <c r="AD100" s="86">
        <f>31093.99+Z100</f>
        <v>35318.950000000004</v>
      </c>
      <c r="AE100" s="87"/>
    </row>
    <row r="101" spans="1:31" x14ac:dyDescent="0.25">
      <c r="A101" s="16" t="s">
        <v>90</v>
      </c>
      <c r="B101" s="114">
        <v>40886.75</v>
      </c>
      <c r="C101" s="115"/>
      <c r="D101" s="116"/>
      <c r="E101" s="53">
        <v>0</v>
      </c>
      <c r="F101" s="54"/>
      <c r="G101" s="55"/>
      <c r="H101" s="53">
        <f>0</f>
        <v>0</v>
      </c>
      <c r="I101" s="54"/>
      <c r="J101" s="55"/>
      <c r="K101" s="53">
        <f>0</f>
        <v>0</v>
      </c>
      <c r="L101" s="54"/>
      <c r="M101" s="55"/>
      <c r="N101" s="53">
        <f>0</f>
        <v>0</v>
      </c>
      <c r="O101" s="54"/>
      <c r="P101" s="55"/>
      <c r="Q101" s="53">
        <f>0</f>
        <v>0</v>
      </c>
      <c r="R101" s="54"/>
      <c r="S101" s="55"/>
      <c r="T101" s="53">
        <f>0</f>
        <v>0</v>
      </c>
      <c r="U101" s="54"/>
      <c r="V101" s="55"/>
      <c r="W101" s="53">
        <f>0</f>
        <v>0</v>
      </c>
      <c r="X101" s="54"/>
      <c r="Y101" s="55"/>
      <c r="Z101" s="108">
        <f>0+E101+H101+K101+N101+Q101+T101+W101</f>
        <v>0</v>
      </c>
      <c r="AA101" s="109"/>
      <c r="AB101" s="110"/>
      <c r="AC101" s="43">
        <v>0</v>
      </c>
      <c r="AD101" s="86">
        <f>40886.75+Z101</f>
        <v>40886.75</v>
      </c>
      <c r="AE101" s="87"/>
    </row>
    <row r="102" spans="1:31" x14ac:dyDescent="0.25">
      <c r="A102" s="17" t="s">
        <v>91</v>
      </c>
      <c r="B102" s="135">
        <f>B33+B42+B46+B50+B64+B69+B84+B89+B94</f>
        <v>4141891.3000000003</v>
      </c>
      <c r="C102" s="136"/>
      <c r="D102" s="137"/>
      <c r="E102" s="56">
        <f>E33+E42+E46+E50+E64+E69+E84+E89+E94</f>
        <v>27124.6</v>
      </c>
      <c r="F102" s="57"/>
      <c r="G102" s="58"/>
      <c r="H102" s="56">
        <f t="shared" ref="H102" si="65">H33+H42+H46+H50+H64+H69+H84+H89+H94</f>
        <v>48952.85</v>
      </c>
      <c r="I102" s="57"/>
      <c r="J102" s="58"/>
      <c r="K102" s="56">
        <f t="shared" ref="K102" si="66">K33+K42+K46+K50+K64+K69+K84+K89+K94</f>
        <v>29549.200000000004</v>
      </c>
      <c r="L102" s="57"/>
      <c r="M102" s="58"/>
      <c r="N102" s="56">
        <f t="shared" ref="N102" si="67">N33+N42+N46+N50+N64+N69+N84+N89+N94</f>
        <v>41782.25</v>
      </c>
      <c r="O102" s="57"/>
      <c r="P102" s="58"/>
      <c r="Q102" s="56">
        <f t="shared" ref="Q102" si="68">Q33+Q42+Q46+Q50+Q64+Q69+Q84+Q89+Q94</f>
        <v>48882.81</v>
      </c>
      <c r="R102" s="57"/>
      <c r="S102" s="58"/>
      <c r="T102" s="56">
        <f t="shared" ref="T102:W102" si="69">T33+T42+T46+T50+T64+T69+T84+T89+T94</f>
        <v>73858.459999999992</v>
      </c>
      <c r="U102" s="57"/>
      <c r="V102" s="58"/>
      <c r="W102" s="56">
        <f t="shared" si="69"/>
        <v>33454.1</v>
      </c>
      <c r="X102" s="57"/>
      <c r="Y102" s="58"/>
      <c r="Z102" s="56">
        <f>Z94+Z89+Z84+Z69+Z64+Z50+Z46+Z42+Z33</f>
        <v>303604.27</v>
      </c>
      <c r="AA102" s="57"/>
      <c r="AB102" s="58"/>
      <c r="AC102" s="47">
        <v>1</v>
      </c>
      <c r="AD102" s="94">
        <f>AD33+AD42+AD46+AD50+AD64+AD69+AD84+AD89+AD94</f>
        <v>4445495.57</v>
      </c>
      <c r="AE102" s="95"/>
    </row>
    <row r="103" spans="1:31" x14ac:dyDescent="0.25">
      <c r="A103" s="18" t="s">
        <v>92</v>
      </c>
      <c r="B103" s="138">
        <v>4776783.2000000011</v>
      </c>
      <c r="C103" s="139"/>
      <c r="D103" s="140"/>
      <c r="E103" s="59">
        <f>G27-E102</f>
        <v>8160.9600000000064</v>
      </c>
      <c r="F103" s="60"/>
      <c r="G103" s="61"/>
      <c r="H103" s="59">
        <f t="shared" ref="H103" si="70">J27-H102</f>
        <v>199927.02</v>
      </c>
      <c r="I103" s="60"/>
      <c r="J103" s="61"/>
      <c r="K103" s="59">
        <f t="shared" ref="K103" si="71">M27-K102</f>
        <v>9781.36</v>
      </c>
      <c r="L103" s="60"/>
      <c r="M103" s="61"/>
      <c r="N103" s="59">
        <f t="shared" ref="N103" si="72">P27-N102</f>
        <v>211902.93</v>
      </c>
      <c r="O103" s="60"/>
      <c r="P103" s="61"/>
      <c r="Q103" s="59">
        <f t="shared" ref="Q103" si="73">S27-Q102</f>
        <v>-5844.7299999999959</v>
      </c>
      <c r="R103" s="60"/>
      <c r="S103" s="61"/>
      <c r="T103" s="59">
        <f t="shared" ref="T103" si="74">V27-T102</f>
        <v>187644.67</v>
      </c>
      <c r="U103" s="60"/>
      <c r="V103" s="61"/>
      <c r="W103" s="59">
        <f t="shared" ref="W103" si="75">Y27-W102</f>
        <v>8810.3400000000038</v>
      </c>
      <c r="X103" s="60"/>
      <c r="Y103" s="61"/>
      <c r="Z103" s="111">
        <v>8160.9600000000064</v>
      </c>
      <c r="AA103" s="111"/>
      <c r="AB103" s="111"/>
      <c r="AC103" s="96">
        <f>AE27-AD102</f>
        <v>3960706.4600000009</v>
      </c>
      <c r="AD103" s="97"/>
      <c r="AE103" s="97"/>
    </row>
    <row r="104" spans="1:31" x14ac:dyDescent="0.25">
      <c r="A104" s="19" t="s">
        <v>93</v>
      </c>
      <c r="B104" s="141">
        <f>D27-B102</f>
        <v>3340323.9100000006</v>
      </c>
      <c r="C104" s="141"/>
      <c r="D104" s="141"/>
    </row>
    <row r="107" spans="1:31" x14ac:dyDescent="0.25">
      <c r="A107" s="20" t="s">
        <v>94</v>
      </c>
      <c r="B107" s="62" t="s">
        <v>1</v>
      </c>
      <c r="C107" s="62"/>
      <c r="D107" s="62"/>
      <c r="E107" s="62" t="s">
        <v>2</v>
      </c>
      <c r="F107" s="62"/>
      <c r="G107" s="62"/>
      <c r="H107" s="62" t="s">
        <v>103</v>
      </c>
      <c r="I107" s="62"/>
      <c r="J107" s="62"/>
      <c r="K107" s="62" t="s">
        <v>104</v>
      </c>
      <c r="L107" s="62"/>
      <c r="M107" s="62"/>
      <c r="N107" s="62" t="s">
        <v>105</v>
      </c>
      <c r="O107" s="62"/>
      <c r="P107" s="62"/>
      <c r="Q107" s="62" t="s">
        <v>106</v>
      </c>
      <c r="R107" s="62"/>
      <c r="S107" s="62"/>
      <c r="T107" s="62" t="s">
        <v>107</v>
      </c>
      <c r="U107" s="62"/>
      <c r="V107" s="62"/>
      <c r="W107" s="62" t="s">
        <v>108</v>
      </c>
      <c r="X107" s="62"/>
      <c r="Y107" s="62"/>
      <c r="AA107" s="50"/>
    </row>
    <row r="108" spans="1:31" x14ac:dyDescent="0.25">
      <c r="A108" s="21" t="s">
        <v>95</v>
      </c>
      <c r="B108" s="51">
        <v>80211.39</v>
      </c>
      <c r="C108" s="51"/>
      <c r="D108" s="51"/>
      <c r="E108" s="51">
        <f>B108-26140.01-107.08+34000+1014.33</f>
        <v>88978.63</v>
      </c>
      <c r="F108" s="51"/>
      <c r="G108" s="51"/>
      <c r="H108" s="51">
        <f>E108-44590.67-297.12+626.93</f>
        <v>44717.770000000004</v>
      </c>
      <c r="I108" s="51"/>
      <c r="J108" s="51"/>
      <c r="K108" s="51">
        <f>H108-27911.38-172.96+301.06</f>
        <v>16934.490000000005</v>
      </c>
      <c r="L108" s="51"/>
      <c r="M108" s="51"/>
      <c r="N108" s="51">
        <f>K108-16637.99-114.1+25.75</f>
        <v>208.15000000000364</v>
      </c>
      <c r="O108" s="51"/>
      <c r="P108" s="51"/>
      <c r="Q108" s="51">
        <f>N108-9398.89-90.71-20.38+90000+751.28</f>
        <v>81449.450000000012</v>
      </c>
      <c r="R108" s="51"/>
      <c r="S108" s="51"/>
      <c r="T108" s="51">
        <f>Q108-36637.69-55.08-13.98+578.29</f>
        <v>45320.990000000005</v>
      </c>
      <c r="U108" s="51"/>
      <c r="V108" s="51"/>
      <c r="W108" s="51">
        <f>T108-17094.07-79.42+395.63</f>
        <v>28543.130000000008</v>
      </c>
      <c r="X108" s="51"/>
      <c r="Y108" s="51"/>
    </row>
    <row r="109" spans="1:31" x14ac:dyDescent="0.25">
      <c r="A109" s="21" t="s">
        <v>96</v>
      </c>
      <c r="B109" s="51">
        <v>1937613.78</v>
      </c>
      <c r="C109" s="51"/>
      <c r="D109" s="51"/>
      <c r="E109" s="51">
        <f>B109+100000+21945.97</f>
        <v>2059559.75</v>
      </c>
      <c r="F109" s="51"/>
      <c r="G109" s="51"/>
      <c r="H109" s="51">
        <f>E109+220000+15701.77</f>
        <v>2295261.52</v>
      </c>
      <c r="I109" s="51"/>
      <c r="J109" s="51"/>
      <c r="K109" s="51">
        <f>H109+25927.88</f>
        <v>2321189.4</v>
      </c>
      <c r="L109" s="51"/>
      <c r="M109" s="51"/>
      <c r="N109" s="51">
        <f>K109-10000-68.27+21633.69</f>
        <v>2332754.8199999998</v>
      </c>
      <c r="O109" s="51"/>
      <c r="P109" s="51"/>
      <c r="Q109" s="51">
        <f>N109-20309.92+100000+28535.9</f>
        <v>2440980.7999999998</v>
      </c>
      <c r="R109" s="51"/>
      <c r="S109" s="51"/>
      <c r="T109" s="51">
        <f>Q109+170000+27434.12</f>
        <v>2638414.92</v>
      </c>
      <c r="U109" s="51"/>
      <c r="V109" s="51"/>
      <c r="W109" s="51">
        <f>T109+29793.85</f>
        <v>2668208.77</v>
      </c>
      <c r="X109" s="51"/>
      <c r="Y109" s="51"/>
    </row>
    <row r="110" spans="1:31" x14ac:dyDescent="0.25">
      <c r="A110" s="21" t="s">
        <v>97</v>
      </c>
      <c r="B110" s="51">
        <v>1187298.79</v>
      </c>
      <c r="C110" s="51"/>
      <c r="D110" s="51"/>
      <c r="E110" s="51">
        <f>B110+11125.26</f>
        <v>1198424.05</v>
      </c>
      <c r="F110" s="51"/>
      <c r="G110" s="51"/>
      <c r="H110" s="51">
        <f>E110+9191.17</f>
        <v>1207615.22</v>
      </c>
      <c r="I110" s="51"/>
      <c r="J110" s="51"/>
      <c r="K110" s="51">
        <f>H110+11861.62</f>
        <v>1219476.8400000001</v>
      </c>
      <c r="L110" s="51"/>
      <c r="M110" s="51"/>
      <c r="N110" s="51">
        <f>K110+9375.74</f>
        <v>1228852.58</v>
      </c>
      <c r="O110" s="51"/>
      <c r="P110" s="51"/>
      <c r="Q110" s="51">
        <f>N110+11570.9</f>
        <v>1240423.48</v>
      </c>
      <c r="R110" s="51"/>
      <c r="S110" s="51"/>
      <c r="T110" s="51">
        <f>Q110+11160.72</f>
        <v>1251584.2</v>
      </c>
      <c r="U110" s="51"/>
      <c r="V110" s="51"/>
      <c r="W110" s="51">
        <f>T110+11274.96</f>
        <v>1262859.1599999999</v>
      </c>
      <c r="X110" s="51"/>
      <c r="Y110" s="51"/>
    </row>
    <row r="111" spans="1:31" x14ac:dyDescent="0.25">
      <c r="A111" s="22" t="s">
        <v>98</v>
      </c>
      <c r="B111" s="52">
        <v>3205123.96</v>
      </c>
      <c r="C111" s="52"/>
      <c r="D111" s="52"/>
      <c r="E111" s="52">
        <f>SUM(E108:G110)</f>
        <v>3346962.4299999997</v>
      </c>
      <c r="F111" s="52"/>
      <c r="G111" s="52"/>
      <c r="H111" s="52">
        <f t="shared" ref="H111" si="76">SUM(H108:J110)</f>
        <v>3547594.51</v>
      </c>
      <c r="I111" s="52"/>
      <c r="J111" s="52"/>
      <c r="K111" s="52">
        <f t="shared" ref="K111" si="77">SUM(K108:M110)</f>
        <v>3557600.7300000004</v>
      </c>
      <c r="L111" s="52"/>
      <c r="M111" s="52"/>
      <c r="N111" s="52">
        <f t="shared" ref="N111" si="78">SUM(N108:P110)</f>
        <v>3561815.55</v>
      </c>
      <c r="O111" s="52"/>
      <c r="P111" s="52"/>
      <c r="Q111" s="52">
        <f t="shared" ref="Q111" si="79">SUM(Q108:S110)</f>
        <v>3762853.73</v>
      </c>
      <c r="R111" s="52"/>
      <c r="S111" s="52"/>
      <c r="T111" s="52">
        <f t="shared" ref="T111" si="80">SUM(T108:V110)</f>
        <v>3935320.1100000003</v>
      </c>
      <c r="U111" s="52"/>
      <c r="V111" s="52"/>
      <c r="W111" s="52">
        <f t="shared" ref="W111" si="81">SUM(W108:Y110)</f>
        <v>3959611.0599999996</v>
      </c>
      <c r="X111" s="52"/>
      <c r="Y111" s="52"/>
    </row>
    <row r="112" spans="1:31" x14ac:dyDescent="0.25">
      <c r="A112" s="23" t="s">
        <v>99</v>
      </c>
    </row>
    <row r="113" spans="1:1" x14ac:dyDescent="0.25">
      <c r="A113" s="24" t="s">
        <v>100</v>
      </c>
    </row>
    <row r="114" spans="1:1" x14ac:dyDescent="0.25">
      <c r="A114" s="24" t="s">
        <v>101</v>
      </c>
    </row>
    <row r="115" spans="1:1" x14ac:dyDescent="0.25">
      <c r="A115" s="25" t="s">
        <v>102</v>
      </c>
    </row>
  </sheetData>
  <sheetProtection algorithmName="SHA-512" hashValue="SMt84+8RF2xnR8hHjdnPauTspslEW+zLN+AX/XpBE6sEcZGO8saNc6H9QY6cB1tLATH1lGa6lF0LYjCM5m0cwg==" saltValue="dJXjz1whQlAA4wRJ7GDf2Q==" spinCount="100000" sheet="1" objects="1" scenarios="1"/>
  <mergeCells count="871">
    <mergeCell ref="B73:D73"/>
    <mergeCell ref="B66:D66"/>
    <mergeCell ref="B67:D67"/>
    <mergeCell ref="B68:D68"/>
    <mergeCell ref="B69:D69"/>
    <mergeCell ref="A1:AE4"/>
    <mergeCell ref="A5:AE6"/>
    <mergeCell ref="B108:D108"/>
    <mergeCell ref="B109:D109"/>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 ref="A21:A22"/>
    <mergeCell ref="B32:D3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 ref="B96:D96"/>
    <mergeCell ref="B74:D74"/>
    <mergeCell ref="B75:D75"/>
    <mergeCell ref="B76:D76"/>
    <mergeCell ref="B77:D77"/>
    <mergeCell ref="B78:D78"/>
    <mergeCell ref="B79:D79"/>
    <mergeCell ref="B80:D80"/>
    <mergeCell ref="B81:D81"/>
    <mergeCell ref="B82:D82"/>
    <mergeCell ref="B84:D84"/>
    <mergeCell ref="B65:D65"/>
    <mergeCell ref="B85:D85"/>
    <mergeCell ref="B86:D86"/>
    <mergeCell ref="B87:D87"/>
    <mergeCell ref="B88:D88"/>
    <mergeCell ref="E27:F27"/>
    <mergeCell ref="E32:G32"/>
    <mergeCell ref="E33:G33"/>
    <mergeCell ref="E34:G34"/>
    <mergeCell ref="E35:G35"/>
    <mergeCell ref="E11:G11"/>
    <mergeCell ref="E21:G21"/>
    <mergeCell ref="E12:G12"/>
    <mergeCell ref="E13:G13"/>
    <mergeCell ref="E14:G14"/>
    <mergeCell ref="E15:G15"/>
    <mergeCell ref="E16:G16"/>
    <mergeCell ref="E17:G17"/>
    <mergeCell ref="E18:G18"/>
    <mergeCell ref="E44:G44"/>
    <mergeCell ref="E45:G45"/>
    <mergeCell ref="E36:G36"/>
    <mergeCell ref="E37:G37"/>
    <mergeCell ref="E38:G38"/>
    <mergeCell ref="E39:G39"/>
    <mergeCell ref="E40:G40"/>
    <mergeCell ref="E41:G41"/>
    <mergeCell ref="E42:G42"/>
    <mergeCell ref="E43:G43"/>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B53:D53"/>
    <mergeCell ref="B54:D54"/>
    <mergeCell ref="B55:D55"/>
    <mergeCell ref="B56:D56"/>
    <mergeCell ref="B57:D57"/>
    <mergeCell ref="B58:D58"/>
    <mergeCell ref="B59:D59"/>
    <mergeCell ref="B89:D89"/>
    <mergeCell ref="E86:G86"/>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67:G67"/>
    <mergeCell ref="E68:G68"/>
    <mergeCell ref="E78:G78"/>
    <mergeCell ref="E84:G84"/>
    <mergeCell ref="E58:G58"/>
    <mergeCell ref="E46:G46"/>
    <mergeCell ref="E47:G47"/>
    <mergeCell ref="E51:G51"/>
    <mergeCell ref="E52:G52"/>
    <mergeCell ref="E53:G53"/>
    <mergeCell ref="E48:G48"/>
    <mergeCell ref="E49:G49"/>
    <mergeCell ref="E50:G50"/>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92:G92"/>
    <mergeCell ref="E93:G93"/>
    <mergeCell ref="Z56:AB56"/>
    <mergeCell ref="Z57:AB57"/>
    <mergeCell ref="Z59:AB59"/>
    <mergeCell ref="Z11:AB11"/>
    <mergeCell ref="Z12:AB12"/>
    <mergeCell ref="Z13:AB13"/>
    <mergeCell ref="Z14:AB14"/>
    <mergeCell ref="Z15:AB15"/>
    <mergeCell ref="Z16:AB16"/>
    <mergeCell ref="Z17:AB17"/>
    <mergeCell ref="Z18:AB18"/>
    <mergeCell ref="Z21:AB21"/>
    <mergeCell ref="Z27:AA27"/>
    <mergeCell ref="Z32:AB32"/>
    <mergeCell ref="Z33:AB33"/>
    <mergeCell ref="Z34:AB34"/>
    <mergeCell ref="Z40:AB40"/>
    <mergeCell ref="Z41:AB41"/>
    <mergeCell ref="Z42:AB42"/>
    <mergeCell ref="Z43:AB43"/>
    <mergeCell ref="Z44:AB44"/>
    <mergeCell ref="Z35:AB35"/>
    <mergeCell ref="Z36:AB36"/>
    <mergeCell ref="Z37:AB37"/>
    <mergeCell ref="Z38:AB38"/>
    <mergeCell ref="Z39:AB39"/>
    <mergeCell ref="Z76:AB76"/>
    <mergeCell ref="Z77:AB77"/>
    <mergeCell ref="Z78:AB78"/>
    <mergeCell ref="Z79:AB79"/>
    <mergeCell ref="Z102:AB102"/>
    <mergeCell ref="Z103:AB103"/>
    <mergeCell ref="Z95:AB95"/>
    <mergeCell ref="Z96:AB96"/>
    <mergeCell ref="Z97:AB97"/>
    <mergeCell ref="Z98:AB98"/>
    <mergeCell ref="Z99:AB99"/>
    <mergeCell ref="Z90:AB90"/>
    <mergeCell ref="Z91:AB91"/>
    <mergeCell ref="Z92:AB92"/>
    <mergeCell ref="Z93:AB93"/>
    <mergeCell ref="Z94:AB94"/>
    <mergeCell ref="Z100:AB100"/>
    <mergeCell ref="Z101:AB101"/>
    <mergeCell ref="Z50:AB50"/>
    <mergeCell ref="Z51:AB51"/>
    <mergeCell ref="Z52:AB52"/>
    <mergeCell ref="Z53:AB53"/>
    <mergeCell ref="Z54:AB54"/>
    <mergeCell ref="Z85:AB85"/>
    <mergeCell ref="Z86:AB86"/>
    <mergeCell ref="Z87:AB87"/>
    <mergeCell ref="Z88:AB88"/>
    <mergeCell ref="Z89:AB89"/>
    <mergeCell ref="Z80:AB80"/>
    <mergeCell ref="Z81:AB81"/>
    <mergeCell ref="Z82:AB82"/>
    <mergeCell ref="Z83:AB83"/>
    <mergeCell ref="Z84:AB84"/>
    <mergeCell ref="Z75:AB75"/>
    <mergeCell ref="Z60:AB60"/>
    <mergeCell ref="Z61:AB61"/>
    <mergeCell ref="Z58:AB58"/>
    <mergeCell ref="Z70:AB70"/>
    <mergeCell ref="Z71:AB71"/>
    <mergeCell ref="Z72:AB72"/>
    <mergeCell ref="Z73:AB73"/>
    <mergeCell ref="Z74:AB74"/>
    <mergeCell ref="Z65:AB65"/>
    <mergeCell ref="Z66:AB66"/>
    <mergeCell ref="Z67:AB67"/>
    <mergeCell ref="Z68:AB68"/>
    <mergeCell ref="Z69:AB69"/>
    <mergeCell ref="Z45:AB45"/>
    <mergeCell ref="Z46:AB46"/>
    <mergeCell ref="Z47:AB47"/>
    <mergeCell ref="Z48:AB48"/>
    <mergeCell ref="Z49:AB49"/>
    <mergeCell ref="Z62:AB62"/>
    <mergeCell ref="Z63:AB63"/>
    <mergeCell ref="Z64:AB64"/>
    <mergeCell ref="Z55:AB55"/>
    <mergeCell ref="AD83:AE83"/>
    <mergeCell ref="AD84:AE84"/>
    <mergeCell ref="AD75:AE75"/>
    <mergeCell ref="AD62:AE62"/>
    <mergeCell ref="AD63:AE63"/>
    <mergeCell ref="AD32:AE32"/>
    <mergeCell ref="AC18:AE18"/>
    <mergeCell ref="AC11:AE11"/>
    <mergeCell ref="AC12:AE12"/>
    <mergeCell ref="AC17:AE17"/>
    <mergeCell ref="AC16:AE16"/>
    <mergeCell ref="AC15:AE15"/>
    <mergeCell ref="AD36:AE36"/>
    <mergeCell ref="AD50:AE50"/>
    <mergeCell ref="AD51:AE51"/>
    <mergeCell ref="AD52:AE52"/>
    <mergeCell ref="AD53:AE53"/>
    <mergeCell ref="AD54:AE54"/>
    <mergeCell ref="AD45:AE45"/>
    <mergeCell ref="AD46:AE46"/>
    <mergeCell ref="AD47:AE47"/>
    <mergeCell ref="AD48:AE48"/>
    <mergeCell ref="AD49:AE49"/>
    <mergeCell ref="AD33:AE33"/>
    <mergeCell ref="AD34:AE34"/>
    <mergeCell ref="AD35:AE35"/>
    <mergeCell ref="AD44:AE44"/>
    <mergeCell ref="AD43:AE43"/>
    <mergeCell ref="AD42:AE42"/>
    <mergeCell ref="AD41:AE41"/>
    <mergeCell ref="AD40:AE40"/>
    <mergeCell ref="H12:J12"/>
    <mergeCell ref="AD102:AE102"/>
    <mergeCell ref="AD76:AE76"/>
    <mergeCell ref="AD77:AE77"/>
    <mergeCell ref="AD78:AE78"/>
    <mergeCell ref="AD79:AE79"/>
    <mergeCell ref="AD70:AE70"/>
    <mergeCell ref="AD71:AE71"/>
    <mergeCell ref="AD72:AE72"/>
    <mergeCell ref="AD73:AE73"/>
    <mergeCell ref="AD74:AE74"/>
    <mergeCell ref="AC103:AE103"/>
    <mergeCell ref="AD21:AE21"/>
    <mergeCell ref="AC21:AC22"/>
    <mergeCell ref="AD95:AE95"/>
    <mergeCell ref="AD96:AE96"/>
    <mergeCell ref="AD97:AE97"/>
    <mergeCell ref="AD98:AE98"/>
    <mergeCell ref="AD99:AE99"/>
    <mergeCell ref="AD90:AE90"/>
    <mergeCell ref="AD91:AE91"/>
    <mergeCell ref="AD92:AE92"/>
    <mergeCell ref="AD93:AE93"/>
    <mergeCell ref="AD94:AE94"/>
    <mergeCell ref="AD85:AE85"/>
    <mergeCell ref="AD86:AE86"/>
    <mergeCell ref="AD87:AE87"/>
    <mergeCell ref="AD88:AE88"/>
    <mergeCell ref="AD89:AE89"/>
    <mergeCell ref="AD80:AE80"/>
    <mergeCell ref="AD81:AE81"/>
    <mergeCell ref="AD82:AE82"/>
    <mergeCell ref="H13:J13"/>
    <mergeCell ref="H14:J14"/>
    <mergeCell ref="H15:J15"/>
    <mergeCell ref="H16:J16"/>
    <mergeCell ref="H17:J17"/>
    <mergeCell ref="H18:J18"/>
    <mergeCell ref="H21:J21"/>
    <mergeCell ref="H27:I27"/>
    <mergeCell ref="H32:J32"/>
    <mergeCell ref="A9:AE9"/>
    <mergeCell ref="A30:AE30"/>
    <mergeCell ref="AC13:AE13"/>
    <mergeCell ref="AC14:AE14"/>
    <mergeCell ref="AD100:AE100"/>
    <mergeCell ref="AD101:AE101"/>
    <mergeCell ref="AD65:AE65"/>
    <mergeCell ref="AD66:AE66"/>
    <mergeCell ref="AD67:AE67"/>
    <mergeCell ref="AD68:AE68"/>
    <mergeCell ref="AD69:AE69"/>
    <mergeCell ref="AD60:AE60"/>
    <mergeCell ref="AD64:AE64"/>
    <mergeCell ref="AD55:AE55"/>
    <mergeCell ref="AD56:AE56"/>
    <mergeCell ref="AD57:AE57"/>
    <mergeCell ref="AD58:AE58"/>
    <mergeCell ref="AD59:AE59"/>
    <mergeCell ref="AD39:AE39"/>
    <mergeCell ref="AD38:AE38"/>
    <mergeCell ref="AD37:AE37"/>
    <mergeCell ref="AD61:AE61"/>
    <mergeCell ref="H11:J11"/>
    <mergeCell ref="H42:J42"/>
    <mergeCell ref="H43:J43"/>
    <mergeCell ref="H44:J44"/>
    <mergeCell ref="H45:J45"/>
    <mergeCell ref="H46:J46"/>
    <mergeCell ref="H47:J47"/>
    <mergeCell ref="H48:J48"/>
    <mergeCell ref="H49:J49"/>
    <mergeCell ref="H50:J50"/>
    <mergeCell ref="H33:J33"/>
    <mergeCell ref="H34:J34"/>
    <mergeCell ref="H35:J35"/>
    <mergeCell ref="H36:J36"/>
    <mergeCell ref="H37:J37"/>
    <mergeCell ref="H38:J38"/>
    <mergeCell ref="H39:J39"/>
    <mergeCell ref="H40:J40"/>
    <mergeCell ref="H41:J41"/>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1:J51"/>
    <mergeCell ref="H52:J52"/>
    <mergeCell ref="H53:J53"/>
    <mergeCell ref="H54:J54"/>
    <mergeCell ref="H55:J55"/>
    <mergeCell ref="H56:J56"/>
    <mergeCell ref="H57:J57"/>
    <mergeCell ref="H58:J58"/>
    <mergeCell ref="H59:J59"/>
    <mergeCell ref="K41:M41"/>
    <mergeCell ref="H96:J96"/>
    <mergeCell ref="H97:J97"/>
    <mergeCell ref="H98:J98"/>
    <mergeCell ref="H99:J99"/>
    <mergeCell ref="H100:J100"/>
    <mergeCell ref="H101:J101"/>
    <mergeCell ref="H102:J102"/>
    <mergeCell ref="H103:J103"/>
    <mergeCell ref="H107:J107"/>
    <mergeCell ref="H87:J87"/>
    <mergeCell ref="H88:J88"/>
    <mergeCell ref="H89:J89"/>
    <mergeCell ref="H90:J90"/>
    <mergeCell ref="H91:J91"/>
    <mergeCell ref="H92:J92"/>
    <mergeCell ref="H93:J93"/>
    <mergeCell ref="H94:J94"/>
    <mergeCell ref="H95:J95"/>
    <mergeCell ref="H78:J78"/>
    <mergeCell ref="H79:J79"/>
    <mergeCell ref="H80:J80"/>
    <mergeCell ref="H81:J81"/>
    <mergeCell ref="H82:J82"/>
    <mergeCell ref="H83:J83"/>
    <mergeCell ref="H84:J84"/>
    <mergeCell ref="H85:J85"/>
    <mergeCell ref="H86:J86"/>
    <mergeCell ref="H69:J69"/>
    <mergeCell ref="H70:J70"/>
    <mergeCell ref="H71:J71"/>
    <mergeCell ref="H72:J72"/>
    <mergeCell ref="K42:M42"/>
    <mergeCell ref="K43:M43"/>
    <mergeCell ref="K44:M44"/>
    <mergeCell ref="K45:M45"/>
    <mergeCell ref="K46:M46"/>
    <mergeCell ref="K47:M47"/>
    <mergeCell ref="K48:M48"/>
    <mergeCell ref="K49:M49"/>
    <mergeCell ref="K50:M50"/>
    <mergeCell ref="H108:J108"/>
    <mergeCell ref="H109:J109"/>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73:M73"/>
    <mergeCell ref="K74:M74"/>
    <mergeCell ref="K75:M75"/>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K55:M55"/>
    <mergeCell ref="K56:M56"/>
    <mergeCell ref="K57:M57"/>
    <mergeCell ref="K58:M58"/>
    <mergeCell ref="K59:M59"/>
    <mergeCell ref="N41:P41"/>
    <mergeCell ref="K96:M96"/>
    <mergeCell ref="K97:M97"/>
    <mergeCell ref="K98:M98"/>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K78:M78"/>
    <mergeCell ref="K79:M79"/>
    <mergeCell ref="K80:M80"/>
    <mergeCell ref="K81:M81"/>
    <mergeCell ref="K82:M82"/>
    <mergeCell ref="K83:M83"/>
    <mergeCell ref="K84:M84"/>
    <mergeCell ref="K85:M85"/>
    <mergeCell ref="K86:M86"/>
    <mergeCell ref="K69:M69"/>
    <mergeCell ref="K70:M70"/>
    <mergeCell ref="K71:M71"/>
    <mergeCell ref="K72:M72"/>
    <mergeCell ref="N42:P42"/>
    <mergeCell ref="N43:P43"/>
    <mergeCell ref="N44:P44"/>
    <mergeCell ref="N45:P45"/>
    <mergeCell ref="N46:P46"/>
    <mergeCell ref="N47:P47"/>
    <mergeCell ref="N48:P48"/>
    <mergeCell ref="N49:P49"/>
    <mergeCell ref="N50:P50"/>
    <mergeCell ref="K108:M108"/>
    <mergeCell ref="K109:M109"/>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73:P73"/>
    <mergeCell ref="N74:P74"/>
    <mergeCell ref="N75:P75"/>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N55:P55"/>
    <mergeCell ref="N56:P56"/>
    <mergeCell ref="N57:P57"/>
    <mergeCell ref="N58:P58"/>
    <mergeCell ref="N59:P59"/>
    <mergeCell ref="Q41:S41"/>
    <mergeCell ref="N96:P96"/>
    <mergeCell ref="N97:P97"/>
    <mergeCell ref="N98:P98"/>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N78:P78"/>
    <mergeCell ref="N79:P79"/>
    <mergeCell ref="N80:P80"/>
    <mergeCell ref="N81:P81"/>
    <mergeCell ref="N82:P82"/>
    <mergeCell ref="N83:P83"/>
    <mergeCell ref="N84:P84"/>
    <mergeCell ref="N85:P85"/>
    <mergeCell ref="N86:P86"/>
    <mergeCell ref="N69:P69"/>
    <mergeCell ref="N70:P70"/>
    <mergeCell ref="N71:P71"/>
    <mergeCell ref="N72:P72"/>
    <mergeCell ref="Q42:S42"/>
    <mergeCell ref="Q43:S43"/>
    <mergeCell ref="Q44:S44"/>
    <mergeCell ref="Q45:S45"/>
    <mergeCell ref="Q46:S46"/>
    <mergeCell ref="Q47:S47"/>
    <mergeCell ref="Q48:S48"/>
    <mergeCell ref="Q49:S49"/>
    <mergeCell ref="Q50:S50"/>
    <mergeCell ref="N108:P108"/>
    <mergeCell ref="N109:P109"/>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73:S73"/>
    <mergeCell ref="Q74:S74"/>
    <mergeCell ref="Q75:S75"/>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Q55:S55"/>
    <mergeCell ref="Q56:S56"/>
    <mergeCell ref="Q57:S57"/>
    <mergeCell ref="Q58:S58"/>
    <mergeCell ref="Q59:S59"/>
    <mergeCell ref="T41:V41"/>
    <mergeCell ref="Q96:S96"/>
    <mergeCell ref="Q97:S97"/>
    <mergeCell ref="Q98:S98"/>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Q78:S78"/>
    <mergeCell ref="Q79:S79"/>
    <mergeCell ref="Q80:S80"/>
    <mergeCell ref="Q81:S81"/>
    <mergeCell ref="Q82:S82"/>
    <mergeCell ref="Q83:S83"/>
    <mergeCell ref="Q84:S84"/>
    <mergeCell ref="Q85:S85"/>
    <mergeCell ref="Q86:S86"/>
    <mergeCell ref="Q69:S69"/>
    <mergeCell ref="Q70:S70"/>
    <mergeCell ref="Q71:S71"/>
    <mergeCell ref="Q72:S72"/>
    <mergeCell ref="T42:V42"/>
    <mergeCell ref="T43:V43"/>
    <mergeCell ref="T44:V44"/>
    <mergeCell ref="T45:V45"/>
    <mergeCell ref="T46:V46"/>
    <mergeCell ref="T47:V47"/>
    <mergeCell ref="T48:V48"/>
    <mergeCell ref="T49:V49"/>
    <mergeCell ref="T50:V50"/>
    <mergeCell ref="Q108:S108"/>
    <mergeCell ref="Q109:S109"/>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73:V73"/>
    <mergeCell ref="T74:V74"/>
    <mergeCell ref="T75:V75"/>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T55:V55"/>
    <mergeCell ref="T56:V56"/>
    <mergeCell ref="T57:V57"/>
    <mergeCell ref="T58:V58"/>
    <mergeCell ref="T59:V59"/>
    <mergeCell ref="T96:V96"/>
    <mergeCell ref="T97:V97"/>
    <mergeCell ref="T98:V98"/>
    <mergeCell ref="T99:V99"/>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78:V78"/>
    <mergeCell ref="T79:V79"/>
    <mergeCell ref="T80:V80"/>
    <mergeCell ref="T81:V81"/>
    <mergeCell ref="T82:V82"/>
    <mergeCell ref="T83:V83"/>
    <mergeCell ref="T84:V84"/>
    <mergeCell ref="T85:V85"/>
    <mergeCell ref="T86:V86"/>
    <mergeCell ref="T69:V69"/>
    <mergeCell ref="T70:V70"/>
    <mergeCell ref="T71:V71"/>
    <mergeCell ref="T72:V72"/>
    <mergeCell ref="T108:V108"/>
    <mergeCell ref="T109:V109"/>
    <mergeCell ref="T110:V110"/>
    <mergeCell ref="T111:V111"/>
    <mergeCell ref="W41:Y41"/>
    <mergeCell ref="W42:Y42"/>
    <mergeCell ref="W43:Y43"/>
    <mergeCell ref="W44:Y44"/>
    <mergeCell ref="W45:Y45"/>
    <mergeCell ref="W46:Y46"/>
    <mergeCell ref="W47:Y47"/>
    <mergeCell ref="W48:Y48"/>
    <mergeCell ref="W49:Y49"/>
    <mergeCell ref="W50:Y50"/>
    <mergeCell ref="W11:Y11"/>
    <mergeCell ref="W12:Y12"/>
    <mergeCell ref="W13:Y13"/>
    <mergeCell ref="W14:Y14"/>
    <mergeCell ref="W15:Y15"/>
    <mergeCell ref="W16:Y16"/>
    <mergeCell ref="W17:Y17"/>
    <mergeCell ref="W18:Y18"/>
    <mergeCell ref="W21:Y21"/>
    <mergeCell ref="W27:X27"/>
    <mergeCell ref="W32:Y32"/>
    <mergeCell ref="W33:Y33"/>
    <mergeCell ref="W34:Y34"/>
    <mergeCell ref="W35:Y35"/>
    <mergeCell ref="W36:Y36"/>
    <mergeCell ref="W37:Y37"/>
    <mergeCell ref="W38:Y38"/>
    <mergeCell ref="W39:Y39"/>
    <mergeCell ref="W40:Y40"/>
    <mergeCell ref="W73:Y73"/>
    <mergeCell ref="W74:Y74"/>
    <mergeCell ref="W75:Y75"/>
    <mergeCell ref="W76:Y76"/>
    <mergeCell ref="W77:Y77"/>
    <mergeCell ref="W60:Y60"/>
    <mergeCell ref="W61:Y61"/>
    <mergeCell ref="W62:Y62"/>
    <mergeCell ref="W63:Y63"/>
    <mergeCell ref="W64:Y64"/>
    <mergeCell ref="W65:Y65"/>
    <mergeCell ref="W66:Y66"/>
    <mergeCell ref="W67:Y67"/>
    <mergeCell ref="W68:Y68"/>
    <mergeCell ref="W51:Y51"/>
    <mergeCell ref="W52:Y52"/>
    <mergeCell ref="W53:Y53"/>
    <mergeCell ref="W54:Y54"/>
    <mergeCell ref="W55:Y55"/>
    <mergeCell ref="W56:Y56"/>
    <mergeCell ref="W57:Y57"/>
    <mergeCell ref="W58:Y58"/>
    <mergeCell ref="W59:Y59"/>
    <mergeCell ref="W96:Y96"/>
    <mergeCell ref="W97:Y97"/>
    <mergeCell ref="W98:Y98"/>
    <mergeCell ref="W99:Y99"/>
    <mergeCell ref="W100:Y100"/>
    <mergeCell ref="W101:Y101"/>
    <mergeCell ref="W102:Y102"/>
    <mergeCell ref="W103:Y103"/>
    <mergeCell ref="W107:Y107"/>
    <mergeCell ref="W87:Y87"/>
    <mergeCell ref="W88:Y88"/>
    <mergeCell ref="W89:Y89"/>
    <mergeCell ref="W90:Y90"/>
    <mergeCell ref="W91:Y91"/>
    <mergeCell ref="W92:Y92"/>
    <mergeCell ref="W93:Y93"/>
    <mergeCell ref="W94:Y94"/>
    <mergeCell ref="W95:Y95"/>
    <mergeCell ref="W78:Y78"/>
    <mergeCell ref="W79:Y79"/>
    <mergeCell ref="W80:Y80"/>
    <mergeCell ref="W81:Y81"/>
    <mergeCell ref="W82:Y82"/>
    <mergeCell ref="W83:Y83"/>
    <mergeCell ref="W84:Y84"/>
    <mergeCell ref="W85:Y85"/>
    <mergeCell ref="W86:Y86"/>
    <mergeCell ref="W69:Y69"/>
    <mergeCell ref="W70:Y70"/>
    <mergeCell ref="W71:Y71"/>
    <mergeCell ref="W72:Y72"/>
    <mergeCell ref="W108:Y108"/>
    <mergeCell ref="W109:Y109"/>
    <mergeCell ref="W110:Y110"/>
    <mergeCell ref="W111:Y111"/>
  </mergeCells>
  <pageMargins left="0.511811024" right="0.511811024" top="0.78740157499999996" bottom="0.78740157499999996" header="0.31496062000000002" footer="0.31496062000000002"/>
  <pageSetup paperSize="9" orientation="portrait" r:id="rId1"/>
  <ignoredErrors>
    <ignoredError sqref="H53 H46 H50 H42 H69 H89 H72 Z94 Z89 Z84 Z64 Z69 Z50 Z46 Z42 K50 K53 K46 K86 K79 K89 K69 K42 K94 K77 N53 N38 N42 N46 N50 K74 N86 N89 N94 N69 Q38 Q42 Q46 N71 Q72 Q69 Q53 Q97 Q92 Q94 T42 T46 T50 T53 T62 T79 T69 T86 T100 W35 W42 W46 W86 W50 W53 W69 W8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ANIPA</cp:lastModifiedBy>
  <cp:lastPrinted>2023-08-02T19:09:30Z</cp:lastPrinted>
  <dcterms:created xsi:type="dcterms:W3CDTF">2023-04-14T18:57:22Z</dcterms:created>
  <dcterms:modified xsi:type="dcterms:W3CDTF">2023-08-02T19:09:45Z</dcterms:modified>
</cp:coreProperties>
</file>