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2. FINANCEIRO\2020\07. JUL\Histórico Mensal\"/>
    </mc:Choice>
  </mc:AlternateContent>
  <xr:revisionPtr revIDLastSave="0" documentId="13_ncr:1_{6C0585A8-2519-4E20-AD63-3306F69B3BDA}" xr6:coauthVersionLast="46" xr6:coauthVersionMax="46" xr10:uidLastSave="{00000000-0000-0000-0000-000000000000}"/>
  <bookViews>
    <workbookView xWindow="-120" yWindow="-120" windowWidth="20730" windowHeight="11160" xr2:uid="{734907FA-B3A1-42BE-81F5-C86218778D40}"/>
  </bookViews>
  <sheets>
    <sheet name="J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4" i="1" l="1"/>
  <c r="W113" i="1"/>
  <c r="T113" i="1"/>
  <c r="K113" i="1"/>
  <c r="E113" i="1"/>
  <c r="E114" i="1" s="1"/>
  <c r="H112" i="1"/>
  <c r="K112" i="1" s="1"/>
  <c r="N112" i="1" s="1"/>
  <c r="Q112" i="1" s="1"/>
  <c r="T112" i="1" s="1"/>
  <c r="W112" i="1" s="1"/>
  <c r="E112" i="1"/>
  <c r="Q111" i="1"/>
  <c r="T111" i="1" s="1"/>
  <c r="W111" i="1" s="1"/>
  <c r="N111" i="1"/>
  <c r="W110" i="1"/>
  <c r="K110" i="1"/>
  <c r="N110" i="1" s="1"/>
  <c r="Q110" i="1" s="1"/>
  <c r="T110" i="1" s="1"/>
  <c r="H110" i="1"/>
  <c r="E110" i="1"/>
  <c r="H109" i="1"/>
  <c r="E109" i="1"/>
  <c r="B109" i="1"/>
  <c r="AD102" i="1"/>
  <c r="Z102" i="1"/>
  <c r="K102" i="1"/>
  <c r="E102" i="1"/>
  <c r="AD101" i="1"/>
  <c r="Z101" i="1"/>
  <c r="AD100" i="1"/>
  <c r="Z100" i="1"/>
  <c r="K100" i="1"/>
  <c r="AD99" i="1"/>
  <c r="Z99" i="1"/>
  <c r="K99" i="1"/>
  <c r="K98" i="1"/>
  <c r="H98" i="1"/>
  <c r="E98" i="1"/>
  <c r="H97" i="1"/>
  <c r="K96" i="1"/>
  <c r="H96" i="1"/>
  <c r="W95" i="1"/>
  <c r="T95" i="1"/>
  <c r="Q95" i="1"/>
  <c r="N95" i="1"/>
  <c r="B95" i="1"/>
  <c r="Z94" i="1"/>
  <c r="AD94" i="1" s="1"/>
  <c r="AD93" i="1"/>
  <c r="K93" i="1"/>
  <c r="K90" i="1" s="1"/>
  <c r="E93" i="1"/>
  <c r="Z93" i="1" s="1"/>
  <c r="H92" i="1"/>
  <c r="Q91" i="1"/>
  <c r="Z91" i="1" s="1"/>
  <c r="E91" i="1"/>
  <c r="B91" i="1"/>
  <c r="W90" i="1"/>
  <c r="T90" i="1"/>
  <c r="N90" i="1"/>
  <c r="E90" i="1"/>
  <c r="B90" i="1"/>
  <c r="Z89" i="1"/>
  <c r="Q89" i="1"/>
  <c r="K89" i="1"/>
  <c r="E89" i="1"/>
  <c r="W88" i="1"/>
  <c r="T88" i="1"/>
  <c r="Q88" i="1"/>
  <c r="K88" i="1"/>
  <c r="E88" i="1"/>
  <c r="AD87" i="1"/>
  <c r="W87" i="1"/>
  <c r="W84" i="1" s="1"/>
  <c r="T87" i="1"/>
  <c r="Q87" i="1"/>
  <c r="K87" i="1"/>
  <c r="H87" i="1"/>
  <c r="E87" i="1"/>
  <c r="Z87" i="1" s="1"/>
  <c r="Z86" i="1"/>
  <c r="AD86" i="1" s="1"/>
  <c r="AD85" i="1"/>
  <c r="Z85" i="1"/>
  <c r="Q84" i="1"/>
  <c r="N84" i="1"/>
  <c r="K84" i="1"/>
  <c r="H84" i="1"/>
  <c r="B84" i="1"/>
  <c r="W83" i="1"/>
  <c r="T83" i="1"/>
  <c r="Q83" i="1"/>
  <c r="N83" i="1"/>
  <c r="Z83" i="1" s="1"/>
  <c r="K83" i="1"/>
  <c r="H83" i="1"/>
  <c r="E83" i="1"/>
  <c r="AD82" i="1"/>
  <c r="W82" i="1"/>
  <c r="T82" i="1"/>
  <c r="Q82" i="1"/>
  <c r="N82" i="1"/>
  <c r="K82" i="1"/>
  <c r="H82" i="1"/>
  <c r="Z82" i="1" s="1"/>
  <c r="E82" i="1"/>
  <c r="Z81" i="1"/>
  <c r="E80" i="1"/>
  <c r="Z80" i="1" s="1"/>
  <c r="H79" i="1"/>
  <c r="Z79" i="1" s="1"/>
  <c r="E79" i="1"/>
  <c r="Z78" i="1"/>
  <c r="W77" i="1"/>
  <c r="K77" i="1"/>
  <c r="H77" i="1"/>
  <c r="E77" i="1"/>
  <c r="Z77" i="1" s="1"/>
  <c r="W76" i="1"/>
  <c r="T76" i="1"/>
  <c r="T69" i="1" s="1"/>
  <c r="Q76" i="1"/>
  <c r="N76" i="1"/>
  <c r="K76" i="1"/>
  <c r="K69" i="1" s="1"/>
  <c r="H76" i="1"/>
  <c r="E76" i="1"/>
  <c r="W75" i="1"/>
  <c r="T75" i="1"/>
  <c r="Q75" i="1"/>
  <c r="N75" i="1"/>
  <c r="N69" i="1" s="1"/>
  <c r="K75" i="1"/>
  <c r="H75" i="1"/>
  <c r="E75" i="1"/>
  <c r="Z75" i="1" s="1"/>
  <c r="W74" i="1"/>
  <c r="Q74" i="1"/>
  <c r="Z74" i="1" s="1"/>
  <c r="H74" i="1"/>
  <c r="E74" i="1"/>
  <c r="AD73" i="1"/>
  <c r="Z73" i="1"/>
  <c r="K72" i="1"/>
  <c r="H72" i="1"/>
  <c r="E72" i="1"/>
  <c r="Z72" i="1" s="1"/>
  <c r="AD71" i="1"/>
  <c r="Z71" i="1"/>
  <c r="AD70" i="1"/>
  <c r="Z70" i="1"/>
  <c r="B69" i="1"/>
  <c r="W68" i="1"/>
  <c r="N68" i="1"/>
  <c r="H68" i="1"/>
  <c r="E68" i="1"/>
  <c r="Z68" i="1" s="1"/>
  <c r="W67" i="1"/>
  <c r="T67" i="1"/>
  <c r="Q67" i="1"/>
  <c r="N67" i="1"/>
  <c r="K67" i="1"/>
  <c r="H67" i="1"/>
  <c r="Z67" i="1" s="1"/>
  <c r="E67" i="1"/>
  <c r="W66" i="1"/>
  <c r="T66" i="1"/>
  <c r="Q66" i="1"/>
  <c r="N66" i="1"/>
  <c r="N64" i="1" s="1"/>
  <c r="K66" i="1"/>
  <c r="H66" i="1"/>
  <c r="E66" i="1"/>
  <c r="W65" i="1"/>
  <c r="W64" i="1" s="1"/>
  <c r="T65" i="1"/>
  <c r="Q65" i="1"/>
  <c r="N65" i="1"/>
  <c r="K65" i="1"/>
  <c r="K64" i="1" s="1"/>
  <c r="H65" i="1"/>
  <c r="E65" i="1"/>
  <c r="Q64" i="1"/>
  <c r="E64" i="1"/>
  <c r="B64" i="1"/>
  <c r="Z63" i="1"/>
  <c r="N62" i="1"/>
  <c r="Z62" i="1" s="1"/>
  <c r="AD61" i="1"/>
  <c r="Z61" i="1"/>
  <c r="AD60" i="1"/>
  <c r="Z60" i="1"/>
  <c r="Z59" i="1"/>
  <c r="AD59" i="1" s="1"/>
  <c r="Q59" i="1"/>
  <c r="Z58" i="1"/>
  <c r="AD58" i="1" s="1"/>
  <c r="W58" i="1"/>
  <c r="W57" i="1"/>
  <c r="T57" i="1"/>
  <c r="Q57" i="1"/>
  <c r="N57" i="1"/>
  <c r="Z57" i="1" s="1"/>
  <c r="K57" i="1"/>
  <c r="H57" i="1"/>
  <c r="E57" i="1"/>
  <c r="W56" i="1"/>
  <c r="W50" i="1" s="1"/>
  <c r="T56" i="1"/>
  <c r="Q56" i="1"/>
  <c r="N56" i="1"/>
  <c r="K56" i="1"/>
  <c r="K50" i="1" s="1"/>
  <c r="H56" i="1"/>
  <c r="E56" i="1"/>
  <c r="W55" i="1"/>
  <c r="T55" i="1"/>
  <c r="Q55" i="1"/>
  <c r="N55" i="1"/>
  <c r="K55" i="1"/>
  <c r="H55" i="1"/>
  <c r="E55" i="1"/>
  <c r="Z55" i="1" s="1"/>
  <c r="AD54" i="1"/>
  <c r="Z54" i="1"/>
  <c r="W53" i="1"/>
  <c r="T53" i="1"/>
  <c r="Q53" i="1"/>
  <c r="Q50" i="1" s="1"/>
  <c r="N53" i="1"/>
  <c r="K53" i="1"/>
  <c r="H53" i="1"/>
  <c r="E53" i="1"/>
  <c r="Z53" i="1" s="1"/>
  <c r="AD53" i="1" s="1"/>
  <c r="Z52" i="1"/>
  <c r="AD51" i="1"/>
  <c r="Z51" i="1"/>
  <c r="T50" i="1"/>
  <c r="H50" i="1"/>
  <c r="E50" i="1"/>
  <c r="B50" i="1"/>
  <c r="Z49" i="1"/>
  <c r="AD49" i="1" s="1"/>
  <c r="Z48" i="1"/>
  <c r="AD47" i="1"/>
  <c r="Z47" i="1"/>
  <c r="W46" i="1"/>
  <c r="T46" i="1"/>
  <c r="Q46" i="1"/>
  <c r="N46" i="1"/>
  <c r="K46" i="1"/>
  <c r="H46" i="1"/>
  <c r="E46" i="1"/>
  <c r="B46" i="1"/>
  <c r="Z45" i="1"/>
  <c r="AD45" i="1" s="1"/>
  <c r="Z44" i="1"/>
  <c r="B44" i="1"/>
  <c r="Z43" i="1"/>
  <c r="T43" i="1"/>
  <c r="Q43" i="1"/>
  <c r="N43" i="1"/>
  <c r="B43" i="1"/>
  <c r="W42" i="1"/>
  <c r="T42" i="1"/>
  <c r="Q42" i="1"/>
  <c r="N42" i="1"/>
  <c r="K42" i="1"/>
  <c r="H42" i="1"/>
  <c r="E42" i="1"/>
  <c r="AD41" i="1"/>
  <c r="Z41" i="1"/>
  <c r="B41" i="1"/>
  <c r="AD40" i="1"/>
  <c r="Z40" i="1"/>
  <c r="B40" i="1"/>
  <c r="AD39" i="1"/>
  <c r="Z39" i="1"/>
  <c r="B39" i="1"/>
  <c r="W38" i="1"/>
  <c r="T38" i="1"/>
  <c r="N38" i="1"/>
  <c r="K38" i="1"/>
  <c r="H38" i="1"/>
  <c r="W37" i="1"/>
  <c r="T37" i="1"/>
  <c r="T33" i="1" s="1"/>
  <c r="Q37" i="1"/>
  <c r="N37" i="1"/>
  <c r="K37" i="1"/>
  <c r="H37" i="1"/>
  <c r="Z37" i="1" s="1"/>
  <c r="AD37" i="1" s="1"/>
  <c r="W36" i="1"/>
  <c r="W33" i="1" s="1"/>
  <c r="T36" i="1"/>
  <c r="Q36" i="1"/>
  <c r="N36" i="1"/>
  <c r="K36" i="1"/>
  <c r="K33" i="1" s="1"/>
  <c r="H36" i="1"/>
  <c r="Z36" i="1" s="1"/>
  <c r="E36" i="1"/>
  <c r="W35" i="1"/>
  <c r="T35" i="1"/>
  <c r="Q35" i="1"/>
  <c r="N35" i="1"/>
  <c r="N33" i="1" s="1"/>
  <c r="K35" i="1"/>
  <c r="E35" i="1"/>
  <c r="AD34" i="1"/>
  <c r="Z34" i="1"/>
  <c r="B34" i="1"/>
  <c r="Q33" i="1"/>
  <c r="E33" i="1"/>
  <c r="B33" i="1"/>
  <c r="S27" i="1"/>
  <c r="G27" i="1"/>
  <c r="B27" i="1"/>
  <c r="AE26" i="1"/>
  <c r="AB26" i="1"/>
  <c r="D26" i="1"/>
  <c r="Y25" i="1"/>
  <c r="V25" i="1"/>
  <c r="V27" i="1" s="1"/>
  <c r="S25" i="1"/>
  <c r="P25" i="1"/>
  <c r="M25" i="1"/>
  <c r="J25" i="1"/>
  <c r="J27" i="1" s="1"/>
  <c r="G25" i="1"/>
  <c r="D25" i="1"/>
  <c r="AA24" i="1"/>
  <c r="Z24" i="1"/>
  <c r="Z27" i="1" s="1"/>
  <c r="Y24" i="1"/>
  <c r="Y27" i="1" s="1"/>
  <c r="V24" i="1"/>
  <c r="S24" i="1"/>
  <c r="P24" i="1"/>
  <c r="P27" i="1" s="1"/>
  <c r="M24" i="1"/>
  <c r="M27" i="1" s="1"/>
  <c r="J24" i="1"/>
  <c r="G24" i="1"/>
  <c r="E24" i="1"/>
  <c r="E27" i="1" s="1"/>
  <c r="H27" i="1" s="1"/>
  <c r="K27" i="1" s="1"/>
  <c r="N27" i="1" s="1"/>
  <c r="Q27" i="1" s="1"/>
  <c r="T27" i="1" s="1"/>
  <c r="W27" i="1" s="1"/>
  <c r="D24" i="1"/>
  <c r="D27" i="1" s="1"/>
  <c r="B104" i="1" s="1"/>
  <c r="AE23" i="1"/>
  <c r="D23" i="1"/>
  <c r="B17" i="1"/>
  <c r="B16" i="1"/>
  <c r="B18" i="1" s="1"/>
  <c r="B15" i="1"/>
  <c r="B12" i="1" s="1"/>
  <c r="B14" i="1"/>
  <c r="B13" i="1"/>
  <c r="AC12" i="1"/>
  <c r="Z12" i="1"/>
  <c r="AD83" i="1" l="1"/>
  <c r="AD55" i="1"/>
  <c r="AD57" i="1"/>
  <c r="AD75" i="1"/>
  <c r="AD68" i="1"/>
  <c r="AD72" i="1"/>
  <c r="AD77" i="1"/>
  <c r="AD81" i="1"/>
  <c r="Z98" i="1"/>
  <c r="E95" i="1"/>
  <c r="AB25" i="1"/>
  <c r="Z66" i="1"/>
  <c r="E69" i="1"/>
  <c r="E103" i="1" s="1"/>
  <c r="E104" i="1" s="1"/>
  <c r="Z76" i="1"/>
  <c r="H69" i="1"/>
  <c r="AD91" i="1"/>
  <c r="Z35" i="1"/>
  <c r="Z38" i="1"/>
  <c r="Z56" i="1"/>
  <c r="AD62" i="1"/>
  <c r="AD67" i="1"/>
  <c r="W69" i="1"/>
  <c r="W103" i="1" s="1"/>
  <c r="W104" i="1" s="1"/>
  <c r="AD79" i="1"/>
  <c r="E84" i="1"/>
  <c r="Z88" i="1"/>
  <c r="Z92" i="1"/>
  <c r="H90" i="1"/>
  <c r="K95" i="1"/>
  <c r="K103" i="1" s="1"/>
  <c r="K104" i="1" s="1"/>
  <c r="Z96" i="1"/>
  <c r="H114" i="1"/>
  <c r="K109" i="1"/>
  <c r="Q103" i="1"/>
  <c r="Q104" i="1" s="1"/>
  <c r="AD48" i="1"/>
  <c r="AD46" i="1" s="1"/>
  <c r="Z46" i="1"/>
  <c r="AD52" i="1"/>
  <c r="Z50" i="1"/>
  <c r="AD78" i="1"/>
  <c r="AD44" i="1"/>
  <c r="AB24" i="1"/>
  <c r="AD24" i="1"/>
  <c r="AD27" i="1" s="1"/>
  <c r="H33" i="1"/>
  <c r="AD36" i="1"/>
  <c r="B42" i="1"/>
  <c r="AD43" i="1"/>
  <c r="AD42" i="1" s="1"/>
  <c r="Z42" i="1"/>
  <c r="N50" i="1"/>
  <c r="N103" i="1" s="1"/>
  <c r="N104" i="1" s="1"/>
  <c r="AD63" i="1"/>
  <c r="Z65" i="1"/>
  <c r="H64" i="1"/>
  <c r="T64" i="1"/>
  <c r="T103" i="1" s="1"/>
  <c r="T104" i="1" s="1"/>
  <c r="Q69" i="1"/>
  <c r="AD74" i="1"/>
  <c r="AD80" i="1"/>
  <c r="T84" i="1"/>
  <c r="AD89" i="1"/>
  <c r="Q90" i="1"/>
  <c r="H95" i="1"/>
  <c r="Z97" i="1"/>
  <c r="Z84" i="1"/>
  <c r="AD65" i="1" l="1"/>
  <c r="Z64" i="1"/>
  <c r="AD88" i="1"/>
  <c r="AD84" i="1" s="1"/>
  <c r="Z33" i="1"/>
  <c r="AD35" i="1"/>
  <c r="H103" i="1"/>
  <c r="H104" i="1" s="1"/>
  <c r="AD66" i="1"/>
  <c r="AD98" i="1"/>
  <c r="AB27" i="1"/>
  <c r="AE24" i="1"/>
  <c r="AC24" i="1"/>
  <c r="AD92" i="1"/>
  <c r="AD90" i="1"/>
  <c r="AE25" i="1"/>
  <c r="AC25" i="1"/>
  <c r="AD96" i="1"/>
  <c r="AD95" i="1" s="1"/>
  <c r="Z95" i="1"/>
  <c r="AD56" i="1"/>
  <c r="AD50" i="1" s="1"/>
  <c r="AD97" i="1"/>
  <c r="K114" i="1"/>
  <c r="N109" i="1"/>
  <c r="AD38" i="1"/>
  <c r="Z90" i="1"/>
  <c r="AD76" i="1"/>
  <c r="AD69" i="1" s="1"/>
  <c r="Z69" i="1"/>
  <c r="Z103" i="1" l="1"/>
  <c r="AC33" i="1"/>
  <c r="AD64" i="1"/>
  <c r="AC95" i="1"/>
  <c r="AE27" i="1"/>
  <c r="Q109" i="1"/>
  <c r="N114" i="1"/>
  <c r="Z16" i="1"/>
  <c r="Z104" i="1"/>
  <c r="AC27" i="1"/>
  <c r="AC26" i="1"/>
  <c r="AD33" i="1"/>
  <c r="AC64" i="1"/>
  <c r="Q114" i="1" l="1"/>
  <c r="T109" i="1"/>
  <c r="AD103" i="1"/>
  <c r="AC17" i="1" s="1"/>
  <c r="AC101" i="1"/>
  <c r="AC85" i="1"/>
  <c r="AC71" i="1"/>
  <c r="AC61" i="1"/>
  <c r="AC54" i="1"/>
  <c r="AC51" i="1"/>
  <c r="AC47" i="1"/>
  <c r="AC103" i="1"/>
  <c r="AC70" i="1"/>
  <c r="AC59" i="1"/>
  <c r="AC60" i="1"/>
  <c r="AC39" i="1"/>
  <c r="AC100" i="1"/>
  <c r="AC99" i="1"/>
  <c r="AC34" i="1"/>
  <c r="Z17" i="1"/>
  <c r="Z18" i="1" s="1"/>
  <c r="AC102" i="1"/>
  <c r="AC73" i="1"/>
  <c r="AC41" i="1"/>
  <c r="AC40" i="1"/>
  <c r="AC53" i="1"/>
  <c r="AC83" i="1"/>
  <c r="AC75" i="1"/>
  <c r="AC67" i="1"/>
  <c r="AC81" i="1"/>
  <c r="AC62" i="1"/>
  <c r="AC82" i="1"/>
  <c r="AC52" i="1"/>
  <c r="AC36" i="1"/>
  <c r="AC80" i="1"/>
  <c r="AC89" i="1"/>
  <c r="AC77" i="1"/>
  <c r="AC55" i="1"/>
  <c r="AC68" i="1"/>
  <c r="AC72" i="1"/>
  <c r="AC74" i="1"/>
  <c r="AC37" i="1"/>
  <c r="AC79" i="1"/>
  <c r="AC91" i="1"/>
  <c r="AC49" i="1"/>
  <c r="AC48" i="1"/>
  <c r="AC43" i="1"/>
  <c r="AC63" i="1"/>
  <c r="AC87" i="1"/>
  <c r="AC86" i="1"/>
  <c r="AC78" i="1"/>
  <c r="AC44" i="1"/>
  <c r="AC93" i="1"/>
  <c r="AC94" i="1"/>
  <c r="AC57" i="1"/>
  <c r="AC66" i="1"/>
  <c r="AC96" i="1"/>
  <c r="AC76" i="1"/>
  <c r="AC88" i="1"/>
  <c r="AC35" i="1"/>
  <c r="AC92" i="1"/>
  <c r="AC42" i="1"/>
  <c r="AC97" i="1"/>
  <c r="AC65" i="1"/>
  <c r="AC98" i="1"/>
  <c r="AC56" i="1"/>
  <c r="AC46" i="1"/>
  <c r="AC38" i="1"/>
  <c r="AC84" i="1"/>
  <c r="AC50" i="1"/>
  <c r="AC45" i="1"/>
  <c r="AC58" i="1"/>
  <c r="AC16" i="1"/>
  <c r="AC18" i="1" s="1"/>
  <c r="AC104" i="1"/>
  <c r="AC69" i="1"/>
  <c r="AC90" i="1"/>
  <c r="T114" i="1" l="1"/>
  <c r="W109" i="1"/>
  <c r="W114" i="1" s="1"/>
</calcChain>
</file>

<file path=xl/sharedStrings.xml><?xml version="1.0" encoding="utf-8"?>
<sst xmlns="http://schemas.openxmlformats.org/spreadsheetml/2006/main" count="172" uniqueCount="125">
  <si>
    <r>
      <t xml:space="preserve">CONTROLE FINANCEIRO 2020
</t>
    </r>
    <r>
      <rPr>
        <b/>
        <sz val="12"/>
        <rFont val="Calibri"/>
        <family val="2"/>
        <scheme val="minor"/>
      </rPr>
      <t>Posição JULHO</t>
    </r>
  </si>
  <si>
    <t>DETALHAMENTO DE BENS E RECEITAS</t>
  </si>
  <si>
    <t>Bens da ANIPA</t>
  </si>
  <si>
    <t>Acumulado 2019</t>
  </si>
  <si>
    <t>JAN</t>
  </si>
  <si>
    <t>FEV</t>
  </si>
  <si>
    <t>MAR</t>
  </si>
  <si>
    <t>ABR</t>
  </si>
  <si>
    <t>MAI</t>
  </si>
  <si>
    <t>JUN</t>
  </si>
  <si>
    <t>JUL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</si>
  <si>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</si>
  <si>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</si>
  <si>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</si>
  <si>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</si>
  <si>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</si>
  <si>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</si>
  <si>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 xml:space="preserve"> 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</si>
  <si>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</si>
  <si>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</si>
  <si>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</si>
  <si>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</si>
  <si>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</si>
  <si>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</si>
  <si>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</si>
  <si>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</si>
  <si>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</si>
  <si>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</si>
  <si>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</si>
  <si>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</si>
  <si>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</si>
  <si>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</si>
  <si>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</si>
  <si>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</si>
  <si>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</si>
  <si>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</si>
  <si>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</si>
  <si>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</si>
  <si>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</si>
  <si>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</si>
  <si>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</si>
  <si>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</si>
  <si>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</si>
  <si>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</si>
  <si>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</si>
  <si>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</si>
  <si>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</si>
  <si>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</si>
  <si>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</si>
  <si>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</si>
  <si>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</si>
  <si>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</si>
  <si>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</si>
  <si>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</si>
  <si>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novo Sistema ANIPA </t>
  </si>
  <si>
    <t xml:space="preserve">Hospedagem / Manutenção novo Sistema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</si>
  <si>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</si>
  <si>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</si>
  <si>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r>
      <t xml:space="preserve">Plataforma de assinatura eletrônica </t>
    </r>
    <r>
      <rPr>
        <sz val="8"/>
        <rFont val="Calibri"/>
        <family val="2"/>
        <scheme val="minor"/>
      </rPr>
      <t>(6)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</si>
  <si>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</si>
  <si>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</si>
  <si>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</si>
  <si>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</si>
  <si>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</si>
  <si>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</si>
  <si>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</si>
  <si>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</si>
  <si>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</si>
  <si>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 xml:space="preserve">Escritório ANIPA </t>
  </si>
  <si>
    <t>Móveis/Utensílios</t>
  </si>
  <si>
    <t>Computadores 3,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</si>
  <si>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</si>
  <si>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</si>
  <si>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</si>
  <si>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</si>
  <si>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</si>
  <si>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</si>
  <si>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</si>
  <si>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</si>
  <si>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</si>
  <si>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</si>
  <si>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</si>
  <si>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</si>
  <si>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</si>
  <si>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</si>
  <si>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</si>
  <si>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</si>
  <si>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</si>
  <si>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</si>
  <si>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</si>
  <si>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</si>
  <si>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</si>
  <si>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</si>
  <si>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</si>
  <si>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</si>
  <si>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</si>
  <si>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</si>
  <si>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</si>
  <si>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</si>
  <si>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</si>
  <si>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</si>
  <si>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</si>
  <si>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</si>
  <si>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</si>
  <si>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</si>
  <si>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</si>
  <si>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</si>
  <si>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</si>
  <si>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</t>
  </si>
  <si>
    <t xml:space="preserve">Caixa FIC SIGMA </t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</si>
  <si>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</si>
  <si>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</si>
  <si>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</si>
  <si>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</si>
  <si>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</si>
  <si>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</si>
  <si>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</si>
  <si>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</si>
  <si>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</si>
  <si>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</si>
  <si>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</si>
  <si>
    <t>(6) Contratação de plataforma de assinatura eletrônica para assinaturas de atas e documentos necessários em razão da pandemia de COVID-19 que</t>
  </si>
  <si>
    <t xml:space="preserve">       impossibilita a reunião presencial de diretores e conselheiros.</t>
  </si>
  <si>
    <r>
      <t xml:space="preserve">Despesas com Juros/Outras despesas financeiras </t>
    </r>
    <r>
      <rPr>
        <sz val="8"/>
        <rFont val="Calibri"/>
        <family val="2"/>
        <scheme val="minor"/>
      </rPr>
      <t>(7)</t>
    </r>
  </si>
  <si>
    <t>(7) encargos FGTS sobre o 13º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</si>
</sst>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7" fillId="8" borderId="1" xfId="0" applyFont="1" applyFill="1" applyBorder="1"/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center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0" fontId="10" fillId="11" borderId="1" xfId="0" applyFont="1" applyFill="1" applyBorder="1" applyAlignment="1">
      <alignment horizontal="center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9" fillId="1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0" fontId="7" fillId="7" borderId="1" xfId="0" applyFont="1" applyFill="1" applyBorder="1"/>
    <xf numFmtId="164" fontId="11" fillId="7" borderId="1" xfId="0" applyNumberFormat="1" applyFont="1" applyFill="1" applyBorder="1"/>
    <xf numFmtId="10" fontId="12" fillId="7" borderId="1" xfId="0" applyNumberFormat="1" applyFont="1" applyFill="1" applyBorder="1"/>
    <xf numFmtId="3" fontId="7" fillId="13" borderId="1" xfId="0" applyNumberFormat="1" applyFont="1" applyFill="1" applyBorder="1"/>
    <xf numFmtId="164" fontId="7" fillId="13" borderId="1" xfId="0" applyNumberFormat="1" applyFont="1" applyFill="1" applyBorder="1"/>
    <xf numFmtId="164" fontId="11" fillId="8" borderId="1" xfId="0" applyNumberFormat="1" applyFont="1" applyFill="1" applyBorder="1" applyAlignment="1">
      <alignment horizontal="right"/>
    </xf>
    <xf numFmtId="10" fontId="12" fillId="8" borderId="1" xfId="0" applyNumberFormat="1" applyFont="1" applyFill="1" applyBorder="1"/>
    <xf numFmtId="3" fontId="7" fillId="8" borderId="1" xfId="0" applyNumberFormat="1" applyFont="1" applyFill="1" applyBorder="1"/>
    <xf numFmtId="164" fontId="7" fillId="8" borderId="1" xfId="0" applyNumberFormat="1" applyFont="1" applyFill="1" applyBorder="1"/>
    <xf numFmtId="0" fontId="11" fillId="8" borderId="1" xfId="0" applyFont="1" applyFill="1" applyBorder="1"/>
    <xf numFmtId="0" fontId="7" fillId="13" borderId="1" xfId="0" applyFont="1" applyFill="1" applyBorder="1"/>
    <xf numFmtId="0" fontId="10" fillId="14" borderId="1" xfId="0" applyFont="1" applyFill="1" applyBorder="1"/>
    <xf numFmtId="40" fontId="9" fillId="14" borderId="1" xfId="0" applyNumberFormat="1" applyFont="1" applyFill="1" applyBorder="1"/>
    <xf numFmtId="10" fontId="13" fillId="14" borderId="1" xfId="0" applyNumberFormat="1" applyFont="1" applyFill="1" applyBorder="1"/>
    <xf numFmtId="165" fontId="10" fillId="6" borderId="1" xfId="0" applyNumberFormat="1" applyFont="1" applyFill="1" applyBorder="1" applyAlignment="1">
      <alignment horizontal="right"/>
    </xf>
    <xf numFmtId="40" fontId="10" fillId="6" borderId="1" xfId="0" applyNumberFormat="1" applyFont="1" applyFill="1" applyBorder="1"/>
    <xf numFmtId="0" fontId="14" fillId="4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/>
      <protection locked="0"/>
    </xf>
    <xf numFmtId="10" fontId="9" fillId="12" borderId="1" xfId="0" applyNumberFormat="1" applyFont="1" applyFill="1" applyBorder="1" applyAlignment="1">
      <alignment horizontal="right"/>
    </xf>
    <xf numFmtId="0" fontId="11" fillId="8" borderId="1" xfId="0" applyFont="1" applyFill="1" applyBorder="1" applyProtection="1">
      <protection locked="0"/>
    </xf>
    <xf numFmtId="10" fontId="11" fillId="8" borderId="1" xfId="0" applyNumberFormat="1" applyFont="1" applyFill="1" applyBorder="1" applyAlignment="1">
      <alignment horizontal="right"/>
    </xf>
    <xf numFmtId="0" fontId="7" fillId="0" borderId="1" xfId="0" applyFont="1" applyBorder="1" applyProtection="1">
      <protection locked="0"/>
    </xf>
    <xf numFmtId="0" fontId="11" fillId="8" borderId="1" xfId="0" applyFont="1" applyFill="1" applyBorder="1" applyAlignment="1" applyProtection="1">
      <alignment horizontal="left"/>
      <protection locked="0"/>
    </xf>
    <xf numFmtId="10" fontId="11" fillId="8" borderId="1" xfId="1" applyNumberFormat="1" applyFont="1" applyFill="1" applyBorder="1" applyAlignment="1">
      <alignment horizontal="right"/>
    </xf>
    <xf numFmtId="0" fontId="10" fillId="3" borderId="1" xfId="0" applyFont="1" applyFill="1" applyBorder="1" applyAlignment="1" applyProtection="1">
      <alignment horizontal="center"/>
      <protection locked="0"/>
    </xf>
    <xf numFmtId="10" fontId="10" fillId="3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4" fontId="10" fillId="8" borderId="0" xfId="0" applyNumberFormat="1" applyFont="1" applyFill="1" applyAlignment="1">
      <alignment horizontal="right"/>
    </xf>
    <xf numFmtId="4" fontId="16" fillId="8" borderId="0" xfId="0" applyNumberFormat="1" applyFont="1" applyFill="1" applyAlignment="1">
      <alignment horizontal="right"/>
    </xf>
    <xf numFmtId="0" fontId="10" fillId="10" borderId="7" xfId="0" applyFont="1" applyFill="1" applyBorder="1" applyAlignment="1">
      <alignment horizontal="center" vertical="center"/>
    </xf>
    <xf numFmtId="4" fontId="17" fillId="8" borderId="0" xfId="0" applyNumberFormat="1" applyFont="1" applyFill="1" applyAlignment="1">
      <alignment vertical="center" wrapText="1"/>
    </xf>
    <xf numFmtId="0" fontId="7" fillId="0" borderId="1" xfId="0" applyFont="1" applyBorder="1"/>
    <xf numFmtId="0" fontId="10" fillId="5" borderId="1" xfId="0" applyFont="1" applyFill="1" applyBorder="1" applyAlignment="1">
      <alignment horizontal="center"/>
    </xf>
    <xf numFmtId="0" fontId="20" fillId="0" borderId="0" xfId="0" applyFont="1"/>
    <xf numFmtId="40" fontId="10" fillId="8" borderId="0" xfId="0" applyNumberFormat="1" applyFont="1" applyFill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4" fontId="18" fillId="8" borderId="1" xfId="0" applyNumberFormat="1" applyFont="1" applyFill="1" applyBorder="1" applyAlignment="1">
      <alignment horizontal="right" vertical="center" wrapText="1"/>
    </xf>
    <xf numFmtId="4" fontId="9" fillId="5" borderId="5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9" fillId="5" borderId="6" xfId="0" applyNumberFormat="1" applyFont="1" applyFill="1" applyBorder="1" applyAlignment="1">
      <alignment horizontal="right"/>
    </xf>
    <xf numFmtId="4" fontId="9" fillId="5" borderId="1" xfId="0" applyNumberFormat="1" applyFont="1" applyFill="1" applyBorder="1" applyAlignment="1">
      <alignment horizontal="right"/>
    </xf>
    <xf numFmtId="4" fontId="14" fillId="5" borderId="1" xfId="0" applyNumberFormat="1" applyFont="1" applyFill="1" applyBorder="1" applyAlignment="1">
      <alignment horizontal="right" vertical="center" wrapText="1"/>
    </xf>
    <xf numFmtId="4" fontId="17" fillId="8" borderId="0" xfId="0" applyNumberFormat="1" applyFont="1" applyFill="1" applyAlignment="1">
      <alignment horizontal="left" vertical="center" wrapText="1"/>
    </xf>
    <xf numFmtId="4" fontId="7" fillId="7" borderId="5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11" fillId="8" borderId="5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11" fillId="8" borderId="6" xfId="0" applyNumberFormat="1" applyFont="1" applyFill="1" applyBorder="1" applyAlignment="1">
      <alignment horizontal="right"/>
    </xf>
    <xf numFmtId="4" fontId="11" fillId="8" borderId="1" xfId="0" applyNumberFormat="1" applyFont="1" applyFill="1" applyBorder="1" applyAlignment="1">
      <alignment horizontal="right"/>
    </xf>
    <xf numFmtId="4" fontId="7" fillId="8" borderId="5" xfId="0" applyNumberFormat="1" applyFont="1" applyFill="1" applyBorder="1" applyAlignment="1">
      <alignment horizontal="right"/>
    </xf>
    <xf numFmtId="4" fontId="7" fillId="8" borderId="4" xfId="0" applyNumberFormat="1" applyFont="1" applyFill="1" applyBorder="1" applyAlignment="1">
      <alignment horizontal="right"/>
    </xf>
    <xf numFmtId="4" fontId="7" fillId="8" borderId="6" xfId="0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4" fontId="2" fillId="8" borderId="0" xfId="0" applyNumberFormat="1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" fontId="9" fillId="10" borderId="5" xfId="0" applyNumberFormat="1" applyFont="1" applyFill="1" applyBorder="1" applyAlignment="1">
      <alignment horizontal="center"/>
    </xf>
    <xf numFmtId="4" fontId="9" fillId="10" borderId="4" xfId="0" applyNumberFormat="1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4" fontId="14" fillId="1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4" fontId="9" fillId="8" borderId="0" xfId="0" applyNumberFormat="1" applyFont="1" applyFill="1" applyAlignment="1">
      <alignment horizontal="center"/>
    </xf>
    <xf numFmtId="4" fontId="10" fillId="3" borderId="5" xfId="0" applyNumberFormat="1" applyFont="1" applyFill="1" applyBorder="1" applyAlignment="1">
      <alignment horizontal="right"/>
    </xf>
    <xf numFmtId="4" fontId="10" fillId="3" borderId="4" xfId="0" applyNumberFormat="1" applyFont="1" applyFill="1" applyBorder="1" applyAlignment="1">
      <alignment horizontal="right"/>
    </xf>
    <xf numFmtId="4" fontId="10" fillId="3" borderId="6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14" borderId="5" xfId="0" applyNumberFormat="1" applyFont="1" applyFill="1" applyBorder="1" applyAlignment="1">
      <alignment horizontal="right"/>
    </xf>
    <xf numFmtId="4" fontId="9" fillId="14" borderId="4" xfId="0" applyNumberFormat="1" applyFont="1" applyFill="1" applyBorder="1" applyAlignment="1">
      <alignment horizontal="right"/>
    </xf>
    <xf numFmtId="4" fontId="9" fillId="14" borderId="6" xfId="0" applyNumberFormat="1" applyFont="1" applyFill="1" applyBorder="1" applyAlignment="1">
      <alignment horizontal="right"/>
    </xf>
    <xf numFmtId="4" fontId="10" fillId="14" borderId="1" xfId="0" applyNumberFormat="1" applyFont="1" applyFill="1" applyBorder="1" applyAlignment="1">
      <alignment horizontal="right"/>
    </xf>
    <xf numFmtId="4" fontId="9" fillId="14" borderId="1" xfId="0" applyNumberFormat="1" applyFont="1" applyFill="1" applyBorder="1" applyAlignment="1">
      <alignment horizontal="right"/>
    </xf>
    <xf numFmtId="4" fontId="11" fillId="7" borderId="5" xfId="0" applyNumberFormat="1" applyFont="1" applyFill="1" applyBorder="1" applyAlignment="1">
      <alignment horizontal="right"/>
    </xf>
    <xf numFmtId="4" fontId="11" fillId="7" borderId="4" xfId="0" applyNumberFormat="1" applyFont="1" applyFill="1" applyBorder="1" applyAlignment="1">
      <alignment horizontal="right"/>
    </xf>
    <xf numFmtId="4" fontId="11" fillId="7" borderId="6" xfId="0" applyNumberFormat="1" applyFont="1" applyFill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4" fontId="10" fillId="12" borderId="5" xfId="0" applyNumberFormat="1" applyFont="1" applyFill="1" applyBorder="1" applyAlignment="1">
      <alignment horizontal="right"/>
    </xf>
    <xf numFmtId="4" fontId="10" fillId="12" borderId="4" xfId="0" applyNumberFormat="1" applyFont="1" applyFill="1" applyBorder="1" applyAlignment="1">
      <alignment horizontal="right"/>
    </xf>
    <xf numFmtId="4" fontId="10" fillId="12" borderId="6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4" fontId="9" fillId="12" borderId="1" xfId="0" applyNumberFormat="1" applyFont="1" applyFill="1" applyBorder="1" applyAlignment="1">
      <alignment horizontal="right"/>
    </xf>
    <xf numFmtId="2" fontId="7" fillId="7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6" xfId="0" applyNumberFormat="1" applyFont="1" applyFill="1" applyBorder="1" applyAlignment="1">
      <alignment horizontal="center"/>
    </xf>
    <xf numFmtId="3" fontId="9" fillId="14" borderId="5" xfId="0" applyNumberFormat="1" applyFont="1" applyFill="1" applyBorder="1" applyAlignment="1">
      <alignment horizontal="center"/>
    </xf>
    <xf numFmtId="3" fontId="9" fillId="14" borderId="6" xfId="0" applyNumberFormat="1" applyFont="1" applyFill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8" fontId="9" fillId="14" borderId="5" xfId="0" applyNumberFormat="1" applyFont="1" applyFill="1" applyBorder="1" applyAlignment="1">
      <alignment horizontal="center"/>
    </xf>
    <xf numFmtId="38" fontId="9" fillId="14" borderId="6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4" fontId="10" fillId="10" borderId="5" xfId="0" applyNumberFormat="1" applyFont="1" applyFill="1" applyBorder="1" applyAlignment="1">
      <alignment horizontal="right" vertical="center" wrapText="1"/>
    </xf>
    <xf numFmtId="4" fontId="10" fillId="10" borderId="4" xfId="0" applyNumberFormat="1" applyFont="1" applyFill="1" applyBorder="1" applyAlignment="1">
      <alignment horizontal="right" vertical="center" wrapText="1"/>
    </xf>
    <xf numFmtId="4" fontId="10" fillId="10" borderId="6" xfId="0" applyNumberFormat="1" applyFont="1" applyFill="1" applyBorder="1" applyAlignment="1">
      <alignment horizontal="right" vertical="center" wrapText="1"/>
    </xf>
    <xf numFmtId="4" fontId="10" fillId="10" borderId="1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4" fontId="7" fillId="10" borderId="1" xfId="0" applyNumberFormat="1" applyFont="1" applyFill="1" applyBorder="1" applyAlignment="1">
      <alignment horizontal="right" vertical="center" wrapText="1"/>
    </xf>
    <xf numFmtId="4" fontId="11" fillId="11" borderId="5" xfId="0" applyNumberFormat="1" applyFont="1" applyFill="1" applyBorder="1" applyAlignment="1">
      <alignment horizontal="right"/>
    </xf>
    <xf numFmtId="4" fontId="11" fillId="11" borderId="4" xfId="0" applyNumberFormat="1" applyFont="1" applyFill="1" applyBorder="1" applyAlignment="1">
      <alignment horizontal="right"/>
    </xf>
    <xf numFmtId="4" fontId="11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3" fontId="9" fillId="11" borderId="6" xfId="0" applyNumberFormat="1" applyFont="1" applyFill="1" applyBorder="1" applyAlignment="1">
      <alignment horizontal="center"/>
    </xf>
    <xf numFmtId="4" fontId="7" fillId="11" borderId="1" xfId="0" applyNumberFormat="1" applyFont="1" applyFill="1" applyBorder="1" applyAlignment="1">
      <alignment horizontal="right"/>
    </xf>
    <xf numFmtId="4" fontId="11" fillId="10" borderId="5" xfId="0" applyNumberFormat="1" applyFont="1" applyFill="1" applyBorder="1" applyAlignment="1">
      <alignment horizontal="right"/>
    </xf>
    <xf numFmtId="4" fontId="11" fillId="10" borderId="4" xfId="0" applyNumberFormat="1" applyFont="1" applyFill="1" applyBorder="1" applyAlignment="1">
      <alignment horizontal="right"/>
    </xf>
    <xf numFmtId="4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3" fontId="11" fillId="10" borderId="6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3" fontId="11" fillId="8" borderId="5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9" fillId="7" borderId="5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4" fontId="9" fillId="7" borderId="6" xfId="0" applyNumberFormat="1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4" fontId="10" fillId="9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09C56-837B-4D3E-8411-C3052E950B9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57C94-43FA-4196-8993-9F0CE0E80D1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23658-E948-43AC-8E5B-4B95EE4E8F6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7BF46-7E9F-43F3-AA3F-2BD88133093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75EF0-944A-4896-887B-E818D5FEC45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CCCC6-0E61-4394-81B1-534030326A9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8B7D0-284C-4948-901A-9E5A9578E1F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A6AC5-56DB-434E-9984-EAC1197BE2D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68AAC-1B0E-40A7-A248-EB884641347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B75E6-AAC8-436D-8053-550553EAA6E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EA705-84B5-4E8A-BF00-700213D7CD4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F82E2-DDA8-40B9-BE8E-37A51946C43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F1AF3-1253-4408-81CF-65F34FC26CE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C5F74-A4FC-4390-9E42-AD23E6A4E33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621FA-753E-46EC-90B9-26CD626AEFF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1E9F3-4D67-4B63-B302-A789866EC7E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417C8-328C-4F8B-967E-03348B44E4A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7F6CC-04AE-4F15-BC53-8ACD8B99716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3AA47-B543-49E4-9F93-3B22C05866A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06240-ED41-4EB7-98C7-AD430D09C06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9D388-00A6-4449-BA19-872587789E2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AFB70-E361-4212-93BC-C772A2130B6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3E903-7F61-4D93-A31F-F444ECFAF01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787CF-F64F-48C0-9F3D-A84BD99BE03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625B5-8CA9-49F9-8966-8DF19A23C99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CAD07-932E-43FF-91C0-37518E451C8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F1EB6C-95A5-46D4-8F4F-A28BAF75A20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B7B9B-F28A-452E-AF35-5DBB7D7936C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4DD52-C982-4C61-ACC7-1F3372A894A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67E5C-7A2B-4573-9A2F-95C0FA6222E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D0003-4B7F-4185-9274-361859DC929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CDE1D-2518-4EDE-B996-0AFE6E1CEC6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2E26F-12A5-49AA-ADE4-F57AD8FBBCE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53F4C-83FE-4539-A502-4F4950910B6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81EE3-2B56-4304-829B-A3BE1F56A51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46F41-43FE-4072-B32B-EE4513F0C06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5C97B-72E8-4CBB-8C62-DEDF9683328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3C5BD-FBFA-42AF-9819-9091CDC9272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360A6-B09E-4294-B087-127D5AE4820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E0964-5342-4047-8E3C-F825C53ADA5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AB3E8-D122-458C-9F97-7BD6883B953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138CC-657F-4928-A8C8-D18F6F0871F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58574-5BDD-4AED-862A-6C542694438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491F8-2EA9-4F58-9374-19DA98641DF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969B4-2E1B-43A9-9DCB-F28A94F88E1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42BCE-E61A-4153-B4BD-EF04495AEA0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9DC24-5EE4-4033-91C1-6F13EA49E89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54349-7901-4DC2-88A5-E0E9E5B3BB0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F75E2-1A59-4780-99F8-C3B9728137B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ECBF4-286C-478F-A124-D07C8A1CB60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DDFE9-3E5A-4141-A1D3-B1526E453F6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0089B-6093-4AF9-BF62-6D18495688E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2D44C-C79A-4A8F-BF3D-866AC630FB0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194E8-37A7-46E9-A7DE-4EB9D7FF90E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DFB4D-6E93-4E3B-A96A-6765CF159F9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ADEA3-4EF4-469C-8C0C-507000267FA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3106E-6AFD-48E9-AFB6-9255C30E849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5FD41-75A7-49E0-93F3-9E96ED897F0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E1FFA-AF0B-4C31-B8EF-8950972F3D5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587C1-4428-4488-9C29-2CC996C460B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0AE06-7C02-481D-92A5-B1F063ADB3E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DC2C2-EF2B-4DAB-94DD-255C9148A1D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AC830-3091-4CBE-A6DD-FBE52E7A841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65ECC-66D5-42D1-8F44-BD9A0F1CF28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90F15-46BB-4E35-A6CA-D3C018E1DEBB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A3FCF-DB92-4598-B51C-D8137B579428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BCA86-F98C-4287-92D5-885177722CF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75DC8-887B-4E77-BF64-C72DDD35C2D1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818CE-88BA-465B-88AA-CDE826F15EAD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58755-7D0D-4FAF-AB31-9B9C8D3B6C2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596CBC-78FE-4F3D-A889-E95290EB9235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BDDDF-EBF6-4AD8-A1C5-ABFDA998D83B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D8F83-BF22-4478-B72F-97EAC52A1A0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DD483-D0E3-4CBC-8F0C-57BBF538867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7E288-6A66-46E6-90DE-3F473598806E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A978E-EDA0-48E6-A481-26BD92FD1317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521FE-51F1-408F-8E2B-A32153BE752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FB043-6A27-4E2E-B7FE-891F3D3DBBAA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0049D-8D56-4E7D-A3B7-13DA8F147119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24255-1DEA-4CB9-94BE-B9BD59EE9397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97F0D-0AC9-4498-8A6B-7AA5B9420F87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85D97-E6BF-4809-B3CA-8068C7BA55B3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6D170-BAD8-49CA-B34C-A342E731862E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073AE-F809-482E-83B1-3820F75BFC56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6E824-35DB-4D3F-BD17-E0551447DA7C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92405-3350-4705-8ECA-6BDC89159E58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3C31A-E9D9-4826-B628-5C20D828B8F7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396AC-3647-42FA-B3C3-9EB4E000DA18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45B81-2F40-499D-B8C1-44226BAEF154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70D68-AF8F-4B57-BAD9-0F43563057BF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AB425-9C47-4746-A992-E0F1B36F0B31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8D5C4-E6E1-45A2-968D-B6C31D59D1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A230D-92B9-4611-9C5C-C164F17B43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21545-A847-4351-A2CA-C169AAC3B0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2A980-22D2-46A8-A9CA-EFA620897B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4F2B0-C2C6-4907-A8B7-3AE5E87753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E23D5-2126-4674-8CCA-B06AA54202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3ECD6-1603-4090-84E5-008AB5A35A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FD1E4-5DB6-45E0-8F2D-B9BBE60BF2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4C0110-1F6C-48C8-806A-184435BE9F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28462-80E3-4712-A3E8-3432D5DD54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EF621-F5C1-4E14-B4C4-56D54AF767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6EB8E-CFCB-46A5-83E1-A602E6FC4E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DF84C-0733-4F60-A224-437313B5BA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638AB-FB7F-4F17-A117-3970F9B41B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3EAC9-547E-4BF6-A468-A6986E229D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52105-48C2-4E6C-8916-874B32A1AD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CE970-80AA-489A-872F-5627DBE37D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06276-417E-48F7-83FC-ABA9E4665A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D5A0F-D2FB-4E30-9FC8-1AAC15F693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F7B54-98E4-47F9-BCBF-2BE7534DBD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326A0-EC76-42B7-A12E-A32E8ECFC3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2959A-4EFA-416B-976E-7FA52820D9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E7EA0-DD38-4AF1-AA7A-A75881C7A6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BC87A-C283-46BE-89D9-D55B4151ED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13CC5-57A3-4DAF-AF91-A3E2F71331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44D60-3D30-4898-8977-F0A635DD52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552CE-B730-4242-8C82-42BCCC8BCA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F6FB8-6DFC-4BFC-B147-E536C04883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8F70C-11C2-4930-863A-6EE676BA5D1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85F46-CB31-49D5-8930-C3520508A6E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A7AE5-77DC-431D-A0F6-F5DCC855A80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73A1C-9EFD-468A-8FE6-D16C99AC94F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70277-BAD6-4C53-ACAD-B7BBAF7B2DA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390BF-7972-4534-9EDF-A9AE006B03D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263F9-09BE-49CD-B2F3-5FA386C5BBE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3D03A-1C68-4EA3-BB07-B4E90BB7B91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0588A-6EDA-45FA-9D91-205CF63C4CD1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B2DE1-73C2-4A93-835B-1C15A114485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A4D6A-72D9-4BA8-A399-9C167182B4D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92876-FE48-4602-AAF5-E0DB55D5F69B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93778-B8E3-4678-982C-799C3EC944CC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FE4DA-394C-422D-8083-4B73206CDE6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3567A-7EEC-4CF5-9C49-7A584DAC0353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6DDF0-F5D2-49DF-860E-E19C2B0EEA99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2186F-8F5D-4D97-806C-B0518D2728F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4B495-A566-4267-9D30-DD1042D13B1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85D69-622C-409E-8F0B-1C0D7553D8A5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DDF29-22A8-401F-83E0-43F78306F59E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3AC88-F1E2-4651-B620-0959EA5FA55C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16B21-77F5-49D3-9CC7-5406556720B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D300F-A52B-4F15-AEEE-359C14CB68D4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F40FE-0869-4221-BA57-E32A89A3D504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199F3-72FE-4F1B-8D2A-FA67079577F8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A4AF0-D848-4A57-ADB4-06E98FF235E1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B69DC-7366-4AEF-8ADE-71F8300B5FF9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B464D-052E-43D0-8330-209F6FD0362A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FD5DD-1EC8-4AAA-B7D9-EFCB5B373E2C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50A98-35C6-4E9A-89BE-87D833CC516E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B37DA-00F2-4F19-B9D3-88AA0FB347B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F4D78-E4F4-4BEA-8108-7E5C4EF92677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E421E-78D3-4DF7-97C4-BC1BA9FDD28F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77F48-FCB9-432C-B453-EE2501BFE74C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E67C6-B320-4BC7-AB2E-57DEA91D69B2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6A1B0-C86E-47EE-B733-2A77571B68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C95D8-36A5-47B5-B942-DC1EA2ADF1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EE453-D4CF-4172-8F8E-AC46B1B63F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2DF2C-D5FF-4876-B673-A3449C4CE1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7F046-7AA6-4128-9A82-406B045920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2AAEA-F0AC-4B7A-8B7A-F0236A7B6C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A18FD-94E1-4897-B0A1-DA5E555618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259BB-5092-4B92-AA41-1892036B34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8F5AE-F972-482B-9B8F-44398FC2E8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E54A9-486C-438C-88B2-D983632196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D1565-99B6-4C59-8338-74B689C9DF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18229-F0C1-429A-85A4-0315C14529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13ECF-D5FE-428F-B620-18C68E61FB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3E145-5D51-436E-AD4F-FFF44D8571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2E872-F928-4B04-AFFD-DA70FE98AC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D47CF-ED9A-4079-880B-CACDD29B6F4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7C801-3A49-4CA4-BFC3-6F94C69BF1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D968D-0006-4C2E-8722-87A9BA61EE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38F32-B70F-47AB-9917-39B4773AA4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A9C79-FA12-4622-9CEF-0803F6C182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A44DB-E4D4-4A15-AD97-BF70A8A8F4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CE7AE-375D-452E-B06A-258E58BE1E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8FFAB-E4E6-4D90-889C-3B79399660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6C2EC-6EEF-4F61-B0C7-211C76E026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8ED9B-7430-44B3-B92A-146E395DAD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E0CA2-E4DE-46EB-8FB1-E3A5AB816A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30B69-45C3-4259-9B04-8D217E957C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22322-4ECF-4B09-A2A2-6DD1FC4E90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1F1E8-15AA-4EFE-9C4E-5EB47ED520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FFB0F-0032-4A85-9677-F5F5671C46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A9F305-ECE6-4E5E-AD02-45204280BD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CF2E5-F77A-4086-8508-62ADF9D8D2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87500-C3F4-4962-AF4D-598B3BBCC17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59E2D-AEEA-462A-9B7F-0C116E94BC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CAA07-96DB-4640-B8F1-58965102D7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2A662-23D4-4B8C-A8D5-FEE8D1E31F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317D8-8851-4D4B-B86C-AA3AF7825A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F0BDD-A800-4529-85D8-2480770B5A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A17FB-7BC0-48D6-BDAD-C38DB10BF7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4DA79-CE11-43E7-8512-B6BFA96779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5D8C4-3DF9-4D86-AB99-673F961ED1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CD362-DEBB-49B9-8D0A-4BEB0419A7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D0985-D750-443C-9E89-645A1CEE23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51189-BCF2-43BB-A80C-8B7318F64C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582D8-7BD0-482A-87D4-2289CFFD3C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39DA9-D25B-4F6D-A92F-2291CE869C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3090D-6615-458C-964D-B590160AB1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AE72A-BFD8-4C50-9B17-05A972A621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FB85F-5EFA-4143-8CFA-17E4B5739B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2951B-8A0D-43F4-A6BC-CDBE7CDF596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01191-4127-4EA5-BB04-34A15A4E86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E111A-C7D6-438F-A379-45070F40E5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3C740-646F-4F1C-97DD-BCEDD4E543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5A76F-5712-4313-9D94-B8597F75BC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D2653-542A-4726-9F9B-874A90150C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EA689-3BE2-4B75-B250-25E4AFD746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45989-D9A6-4E27-A198-7425F2410C1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43F7B-5CFB-45CA-AFEF-AA8ECE4AD7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28A73-09FD-4E20-9FD9-82E560249F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EDD20-2E5E-4304-962B-A856FFE858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9F4B9-D3F9-4B29-8766-5C4F47BA72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D112B-3505-49F1-ABA4-EAA3C2E337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F2AAB-74FA-4259-8128-F9FB45A408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FA74A-0BB0-4C52-A97B-F6306F7001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BBAAE-7DA5-4A88-A845-7DE03342D1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4F3DF-F259-4FF0-BB7D-9DF1D95620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4ADDA-D061-4B4F-8C97-9738C2D9F8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DCC150-CC2A-4986-BD2B-D9AEDC9E2C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DC4F1-A634-45BF-9905-1584D91219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4FC63-730E-480F-B974-0DE52C2129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A843F-1D48-405A-AF9F-A7EBA8DFFC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9F64D-D03A-4B56-9B21-CA7534A505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E8E71-39BC-444D-A725-49A1289AC1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6125B-AF2E-4905-8C48-76BE86BE41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1C2F3-F16B-4F0F-B023-2A311EB480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1A441-596B-4A1E-9B35-F3C3554ACA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5B168A31-D44F-4D57-B0C4-F4134458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2854" cy="676715"/>
        </a:xfrm>
        <a:prstGeom prst="rect">
          <a:avLst/>
        </a:prstGeom>
      </xdr:spPr>
    </xdr:pic>
    <xdr:clientData/>
  </xdr:two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26ECE-CC9A-46E9-A43D-8232EDB4AF7F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1F9BE-DC21-483D-B492-568396BACAD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03F2E-D6D8-4978-96C7-19DF2B0FB6F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4FE27-2EFA-4B0D-B459-621B9AABACE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11B24-BBCE-4538-96A7-2ABE6D39405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22EA1-D259-4736-890D-BA7F503D76B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4610A-BFC6-49A7-B437-EC5E5051C46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03CD35-F9E1-4F95-BDC6-500FA241817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B90CA-064C-49D9-B2DF-5950319D659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DD615-0BF0-4A80-8351-6373AB7B45E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DEA19-3ADD-4352-9A97-A1A700B9052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5BD04-C497-4849-9251-8999FDF580A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F3C51-74DA-419C-88C3-C0761052727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18472-0E47-488A-9B24-3A321D60AF1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CE733-56E9-47BE-9B99-D4CACB1F46D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0166F-855F-4927-99B0-6A1BF782933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22C35-A8A1-4B32-AF6B-ECE87500FB2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1767A-A406-41EE-9EEC-522FE8BB12C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EF190-21F0-41FB-A540-8271C65D6F1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96E75-24D6-4548-8003-58423A63045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06E92-E6DC-4E7A-A8C3-D3C5BD33EF7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1D675-1503-45BC-AEE1-51D30232ADF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161DD-2DEF-46BA-9DBE-BA1A391C9C2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4B76C-A4F4-4606-A916-7A988CF08FC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73038-C5E1-4B53-B780-C1F491D29CD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5884BF-535C-4F19-9178-2EAEE8CB2AD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E25B5-6A49-4A4F-AB72-EFE71CE4E43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17D9D-B24A-4D50-B218-85F970DEB51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5B0CF-548E-4C11-B926-0A3B3F80767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6813B-B60F-4787-B130-BD95B40BC93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77866-1D09-4E3D-A75B-307E1847A7A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E775F-2EDD-4AF6-8A82-4C7BCC719C0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71FAE-C75C-4CB6-B39D-692C1A9CBFB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0B181-34EE-4F6D-9059-2361A326916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046D9-2AAE-4C19-9E71-C17A486DC4F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08988-AC46-4065-849F-33BE47518EA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727D0-CEED-4D28-A707-0D24D14E104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1B2BE-8E74-49E2-B7AD-8B6D53C3E5D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60FDE-5A16-46FD-ABBC-50848A2760A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91D78-84E1-49BC-BA1F-53396A7E4B8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F72C1-818E-410E-8487-8BF72BB0D26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CD0E4-A497-4815-8CAF-8D93F2A64A4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82281-648C-4D82-8E48-8A897F7DBDF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AF543-82FA-4D06-9E1C-813501FD08A5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6E4C4-C2F5-40C6-87D5-1C4844A5418F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80473-A2EA-4087-930D-1AAB06D9F27F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DB515-6A8B-45D0-AEEA-06E021DEEE2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9897C-C878-41FC-8DED-572A5B6834A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3A480-3C94-4EDA-948A-28F36350E31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51FEB-8881-4B77-B563-C95906A4B17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A91C1-F2D4-45CA-831E-39DFBAA55AD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3F0CF-CED7-4A63-A3D6-17391981B6E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662F5-2E3B-42C5-80DB-1AF3B97467F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DE424-DFE6-442B-AD5E-9518112E2DF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0994F-00A4-4463-9C98-D0F35D001DA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91DA4-6B3A-4E2C-AA7E-7B7906980FF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C28A3-E701-4533-B27C-95B78C28DA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36DA7-2161-4ED6-8B0C-F3CBD7A3E9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9292F-DCAD-4028-9A9B-8872BDA560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2B272-AD94-4B7C-8303-430493FC8E1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92B27-A3B3-44C6-BFF0-6BA886158B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6B6D4E-D1F2-4510-9211-E16E98838E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CAC70-F591-4524-A4D2-9E359336BC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E511E-3A4E-4F9F-A2CD-67E43C136B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56E77-80D9-491B-AACC-A393ABAD56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5EA78-4A6A-40D3-B335-19B781C9AD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66179-950D-4408-9A6B-BC70C15470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C9CCA-029C-43A4-8FDF-5100A5910C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994CA-28E6-40C7-A8FF-7C89CC64AF9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AECF0-8582-4523-BC7D-9443B526F0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BC99D-C344-4F2A-A0FC-359D78AA2C8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A36C6-7194-42B0-9D9E-ED8AF54533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ADB47-F958-4C64-BB9A-C457FB13D6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541DA-7308-43FF-AC24-E34D71D0B0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476D3-67C5-4159-8603-0CD5574925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61D59-993B-4496-BD51-74EFC8F97C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A058B-913D-4597-B0CB-4F9111BFE7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CCB5B-F322-4ADB-BD2F-04865319E3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8A94A-B2CE-49A5-A707-A0D2650236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BD141-B3A0-4BB3-92F8-7BA599585E1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1FD1A-EC64-46CB-9D32-C18252BE316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27A9C-88EB-4C58-96A7-84C870103B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B4CE3-2EA8-419B-A8F0-EBDC593587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D78E6-46DF-4381-9CC3-3608B5684F3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C7763-9B1E-4EE8-B895-D17C1D4F5E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CFCA8-65A4-43BD-9A59-8BA41EC107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F20F6-A229-4C88-83DA-836631EFE2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EA5A1-0900-4EDF-A88B-242C45FED2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F93DE-89C5-4903-9C45-81FB8D5B42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DD298-0D99-486B-9A96-19533DC97D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208D0-529E-47EA-88CF-0BEFE25150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97A9B-4929-4571-ADA4-609DD1DEB4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F6692-D8A6-46CD-9372-3E283D717B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17E12-DA61-4FE7-90A6-9FDACF102A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9379E-930F-4297-B8FE-0F16CBC362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A16EA-3133-4913-A6BF-FA1BF69251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D67C0-CC91-4E1F-91EE-57F4FAD00C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16A79-DEF4-4789-BF08-D7CBEB2ADA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1C944-F604-4BEE-80A2-D0FEFEFC8D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30F6D-2952-4965-8824-BDF141693E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CF587-7F7C-4A77-B084-20796A88DC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A2679-C6EC-441C-B077-52BD3C0693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0D34E-4424-42BE-958B-7B328D9916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2039E-A8A4-4D59-BCDB-FD227556F7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55281-1BB1-4211-A998-E33298D8933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DE2CA-2832-44C6-AE91-7C444BADC7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19748-6A98-40B5-9449-21778DD2FB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C2885-4688-4976-A693-7DC26F0224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03803-F9C6-4235-9128-595509048C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42FB6-3FA7-4C57-A26E-23AA8DDF8C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C895D-876D-465D-AD2A-8D9D8AA917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916BE-4183-4D80-9BC7-515231CCCC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E6396-109B-4833-9A37-638248EE3A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B1F8E-2840-4D51-B3FB-A2D890F765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B68A8-C3A8-4C6E-A738-6C6978A48E2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610A9-9EDA-4AFE-9AB9-C153A6E85E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BCC33-A6A5-4698-97ED-C6C3ACE4FF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EDA7D-F2A4-44D8-A428-DF44A52044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F2C67-CA52-4119-8E21-C80BEDF36D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1B282-B0C4-44D4-BD19-DEB449009E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B39E7-E845-480D-8B85-1B586B9D7B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4A88A-3BC8-476E-8F53-FD8BB4FD6F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2C1C3-D5C6-43AB-8DEE-D6D9AF8639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58418-8544-4CF2-83DA-9D966C13A0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0C725-0A44-4842-99D1-A3F90942DC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17704-4F1D-4155-A7FC-22673EAE98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7D09C-209F-4FB8-829D-619C2961D8D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7FA81-2CAD-4E71-A4C9-A22AA7C013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B5D4A-0418-4216-B060-623F77E9565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16BED-B63C-4C9A-B96C-6D987CDF0F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0D33A-17F6-49E3-8550-E69767B4FD3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14801-68A4-4136-BC9E-34F1755640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87FB6-4B45-4356-8F25-64EC687E8E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D648D-F2B2-4E95-AAA6-4C42904662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4FB1D-EED0-4DF2-AA15-70B49BA2A9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194D4-7464-4809-9CD8-9F90914519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E5F35-0AED-4BCE-8F87-19F92EC2AE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27320-FBDC-44C0-9DA4-F4EB684305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259B2-2E0F-4A16-9464-2B8278EB4D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1F1AC-82CE-4C25-89C0-709E09CEF5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950BB-AD9A-4156-B021-2F770AE10CC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BEDB6-8A12-4381-9ADE-FCCC53536F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2C318-4BF9-4A9B-8471-CA81EA8019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8F880-3F45-4EF8-92DC-43C48DA557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90E4E-C3B3-4219-8C53-DEF6918FD4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D0383-6073-46DB-8B93-5B8054D589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DE08C-205B-440E-BBC0-8E1696E4AF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BE001-A1CC-4907-87DF-257F5F865B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7BCFD-E058-4814-BC23-22A09C5E6C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8DF26-6A5F-4D59-A0DD-52196FDD51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F7E4F-83CA-4794-AAF4-DC63A4BD06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236D7-E846-497E-B5AE-F7302A8C77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EB0ED-C129-4B8C-8E6D-78DE30ABAD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F6F59-B731-4442-AD45-08DC14B715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E1F37-F5FB-4922-8D5A-BDAE927D1F2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72380-6859-4677-85FB-31550E6AB21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1FCBF-E14A-4DFF-8E53-38F7BEA16D1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84962-5FC1-4188-BE6D-88E79ACB9E4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08671-1E64-4C42-971A-36DC0E5DC0F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B1748-E8D0-49B5-BDD3-1DA683983C7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CB526-EFDC-4DCF-B9CD-8D75692086F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0DAEC-E55F-4F47-9CC4-F9969B5F92C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050CC-4870-4EB4-9677-CECEF012280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A5ED1-4783-4A61-9F19-16A03646150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AD24A-67F5-4268-9F01-FA72234E1B8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73E4EB-71A7-449E-8C7A-2ED5CFE60BC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7AD8F-3E11-4B38-9B4D-76B47FC3032F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83170-99AE-4B2A-BEC6-E950BF54532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9FFA9-6081-44A1-8DA1-FD5EE7645BE3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8356A-19B0-4C78-9794-C1A2462B139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BCAA1-4F40-4C80-A8A9-471F4F3418E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5335C-D986-4DBD-96D7-3054A5F2F17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2CA93-6B85-46F6-BE0B-48DEFACB6F5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F7406-64B5-4320-A541-DD666E363E0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C1620-96A9-4CDD-AD03-BC62F45AF28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FE827-1DB3-4428-8C34-98286CBB330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D7D52-C0C4-4055-A4CD-F9335FB7681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604A8B-77F7-49CF-9593-72BD6BE5A8A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48999-BB35-46C0-BED9-9F6C69489F7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8FD97-0BB7-4DD5-B14B-ACC3285D3F2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76AC3-19DD-4B9D-B6D8-807725F30CD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5AE9B-ED4E-4EF3-A46C-0260343267A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AF55A-3872-4D2E-80B8-FC6D36B2556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5FF4D-E325-43FF-92B1-58AB063F739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F0EF5-059F-4C24-B99F-FD649B184ED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E3B55-27B4-49FF-9D67-82605CA27F59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1B038-4595-41D2-9A8E-DF2742AB8A51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747BB-0D17-4EF3-B968-6B1F4F23006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FAC59-3B74-4AB8-9093-45A98F5E454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9AC14-E2B6-4446-B7F1-CDE0BF5C314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98911-9DF2-44C6-A0D8-DC3B5DBF6DA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4682F-948F-4AC2-A78B-AF13318CBEF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DD2D0-DB74-4D14-816D-801810076198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CF3AD-17D3-4060-AECD-6F85D249150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5E82F-7F55-4B2D-8E57-D9212BBAAA3C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C2879-B075-4D3E-A87D-1F7488084E87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1B307-154C-476A-B560-33198B3DB29A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D8517-A6A0-46AC-A447-AF7F2454FBB0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EA2A6-D28A-4F68-8014-E5B1DDFAFC46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78FF5-FE4E-4EBE-9682-9FB51B6586AD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750F9-503E-4862-B390-6512B1D31162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BA616-B3A2-47C5-A98D-3D4A28CEC784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2CB82-2B64-4CE3-B2D1-7F3C1DC1B1E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95106-EF49-4761-B59E-65AD81092DCB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8469F-CF9E-4795-86DF-5B5307A8771E}"/>
            </a:ext>
          </a:extLst>
        </xdr:cNvPr>
        <xdr:cNvSpPr>
          <a:spLocks noChangeAspect="1" noChangeArrowheads="1"/>
        </xdr:cNvSpPr>
      </xdr:nvSpPr>
      <xdr:spPr bwMode="auto">
        <a:xfrm>
          <a:off x="148494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543C9-2EA9-4DDA-BF4C-F393306880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8CA36-6019-444D-8497-9A5942D31C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BD7B0-C5A4-40B4-93DC-48A8CA2286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36544-4AB9-4139-A237-563B9C0EBD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031F5-31A8-4BD4-B017-362D1E068D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D8FF7-1EAB-46EB-A6AA-84EE2DFB40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65159-B23B-477D-A06B-576CE3AF2A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D0165-D680-456D-91D5-88F29CCB2E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B5384-F8C5-4EDA-BF61-7FDE1EC9F4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93805-3D91-44C5-92FF-BD95AA3E3D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E4CD5-9578-4760-B1C6-DFF5EF9A777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DA213-F840-4DF0-AEE0-5055686F93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1D139-BD7F-44C9-8FE3-A91BD5EB0E9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4FD98-EEA1-4FC7-8672-60B8084604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787A0-0DBE-4DDD-99D7-EDF24429C3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3AA9D-7DD5-4F22-88F8-E4BADFBE83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4A350-BBBF-441C-880E-10528CE624C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6B7AF-855F-46AF-A2C8-187B3937824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7DAC0-8F20-45AC-852E-48F5A6E46D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9F295-6D4E-4844-A56F-70E333A6A0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9CB4DF-A2C8-4DD9-B035-CB176A27CD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3D32C-A2BD-479C-BC76-438F41EDF4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62861-D139-46DD-B822-CC26B718F4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B3B96-FE37-4881-87A1-AA7A9BE2BC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537CD-C1EC-44D5-AE97-B5B07182D39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CF43C-616B-44DD-95E6-4DD9980C3F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B3691-23AC-49C9-A9ED-809358AA54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3E152-371C-4038-A44A-EF55F99471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20F08-B006-4808-8EAC-1BA9D0FB3D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43B74-E6B0-448A-8CE1-51FFCD1A8A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6C833-9526-45F8-9C89-7150F78702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9908E-2FC7-432E-852E-80A19E660E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E4FA7-7599-4617-AE70-E21FE0A8BE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56C20-613A-489F-B2FB-A5CE6E53F0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209A0-6F81-4783-A51A-5AE0A4A201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0ECC9-5E4E-4CD9-AA80-6D2420471B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A2633-297A-4E25-8EAF-B2D3E1C204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BEE54-A8A6-448E-AD27-B455EF5844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D3963-456C-459D-8BFF-D2231556EB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59171-FBD7-4EB2-8EC1-6B71D44368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99AD1-A6EA-443A-BA50-7A5BFE84D1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106C0-18F7-41D3-8BED-C0DF5777C2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281B1-5678-4BAB-80FD-4ABE79465F5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6E0DE-9376-44EA-A385-555C6C184E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1ACE3-4E1F-4B7E-A7B5-C02786314E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8BD75-7036-4F35-9768-0A2A619214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9B56E-5D9F-456E-B5E2-9E7CB72107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62609-02A5-4379-AA19-C1F1150650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B86E9-5F1E-4BA4-A53D-8FEBC572FC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8A26D-DD81-4A9D-A9BA-A9483EB0FD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83B14-0852-461D-83D5-A3FACA1D8F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44A83-C769-4A38-B094-099423924C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9B6D4-5ED9-47B7-95B4-37B2AAD404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9F33F-8CED-4B2C-817F-0FF6744364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A634F-8193-4CF4-9119-B2890E38B3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9058A-BD0A-49AB-9D15-90EB6DE950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34056-52A6-443D-9EA5-BC5AC83763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7767D-8F5B-4B38-8FDD-D4E9214B9F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87A17-B4C9-4F70-86BF-2D4C474BD3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4194F-600D-41DE-B51A-C81909E2F0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DE114-A2BE-4CA8-ABE5-4FBE398FBC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B5F52-6845-4620-91C0-F7F87582E6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598AE-9B76-4649-B00C-9C6E7BEB9B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C4C1A-03A6-4BDD-9035-B7911DFE01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61E4E-FD58-4916-BBCD-25224827FD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672C5-6688-4282-B4E3-E2B31244C8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EC4AD-DFD4-4817-955C-4ED9E755BC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D3ACA-898C-4BD0-8886-BFB18AF1BD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ECAF8-D810-44B9-8529-B02D4EC8412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C8529-3BEA-455B-A5E8-E4C05F5C42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AD90F-8856-4F7F-9556-075E7F5E8F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BF3B5-90F5-41A2-B21F-7478A83C2D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C2198-A7F8-4597-8961-DA15C04B65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8464C-046A-4467-9670-2665DD6D92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E9D4A-4903-442B-AAD9-A4F742493C4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F338F-B069-4A87-94F7-5C17B049BF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6158C-083C-46EE-A7C4-C17D654964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F8B51-D34A-47F0-9D86-52CA9A054C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74C31-842A-49E2-B49D-D200740E53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5C345-A9EB-49B0-9AFD-C0E8A96B22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DFDA9-4CBD-4BD9-84C6-339913E896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DFE30-87B6-416D-89BA-7BB6A04E20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F975D-C8C0-4A50-9D2E-382821897A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D452D-D43B-4A40-BA1F-35E8B53A45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FFE4E-4C5B-4DE1-BD4B-8E1289D0C5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6AD10-FC4F-4478-90C2-9D84CEFE73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6A4FB-0908-41B3-BB44-A12CE01ECE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D12F5-FB66-4953-9F4C-9A7BBD8C30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F26DF-66C5-4482-8B60-E4A57EEAA5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776BB-ACFE-4AE9-8AAB-709AAC04B63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FC8F4-DEF8-453B-8CD1-96ADDE3F25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6D534-8BD2-40EB-9E97-6B31E4156C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A61D7-71DD-4C9A-A9B3-8B7D5F7760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F5170-E9ED-4B7D-B9FF-07546ABB99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69940-549A-4854-AF1F-8961C00DD1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7C95F-8DD1-420B-8C5E-227D6FB1BF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DB08C-8343-4C78-9098-8D2389648A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53D0C-6D15-49B8-B7EC-AE220F2542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6BF76-AD29-4FBE-9E00-C289376E7C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2B50F-A2FF-4EDF-AC24-49210AE6A1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4DA08-636B-4770-8186-631CD05E0E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92B5C-8A60-47A2-BBBB-B1D049D209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ECDAB-DD37-4969-B592-102F088EB1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7301E-BD95-4123-A98C-D35225E19A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0176B-EA3D-4A23-885D-D234EEC49D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F608A-A162-47A8-96D3-D5F64A4B6B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0FC53-4E9C-42EF-BBEF-767F844BC7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2D1AD-EB62-45C3-B526-0342F88838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1F0BD-A80B-4FBB-9EB1-27A35F6DB9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E2D65-B826-46CA-9888-3EE08BCB09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2B8A9-6586-4E16-856D-9D586F614F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49786-1C2D-4DA1-86CA-733FC7BBB8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B905F1-829B-40B9-98CB-C236B28ECF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D6AF3-50EE-4094-81E5-0DE32725B8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A4CCB-C3AA-412A-9631-02C233179EC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56E3E-D1AC-4ED6-B8B9-85751E8A23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79F8E-9D36-4D19-BC80-8A75152932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C7AC5-4594-4659-807B-DD3B441342A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E5FC6-907E-4E6D-9FD4-BC7B9F062E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64E63-698F-438F-9F49-1CE212656B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3BB92-C73F-4AE6-8A20-91D910203F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CC45C0-A977-4B8F-B720-5D6895BA994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4AA49-ECD3-437D-B0EF-491850D4A2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FFA50-0012-470C-A02A-AEB90BCF8C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02302-4875-4EAA-9F10-E425D7D97F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E67A8-420A-4434-AB1C-4DC9198A79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6A43D-CA1B-4465-9135-43332F1066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16152-3FE3-40B1-9741-4F2FBB0836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6B090-5B90-4D9E-829C-046020A4F6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666CDC-A98D-47CE-9F31-0E0BB31651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C4126-8F46-45B7-87CD-6314BA7A95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FCF8D-AD26-49B5-BB2A-744C54754D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386D4-60F8-4D41-AF09-81C10A0DD3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0A4C3-1505-4FBD-9DA0-CC74BABA19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9741E-F281-49A7-B0DC-497AE78D32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61D87-1A10-41CE-91D9-942FA700D8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8772D-0F44-48DC-ACBB-7DFBF130F6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33DB6-6CE4-46AE-8DD8-ACF1735624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CA36D-B972-418A-A18B-E8519A6BCB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151E2-75F1-4247-9DB8-9AA714182B4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711D8-09A6-4ECA-9460-B559662ABF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30A93-C761-4231-96D4-E421C2C595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C4289-AC3A-48BE-9EAB-F9272EBF9F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4E0C5-1A4F-4B47-8306-28D04B32DD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3F296-734B-4048-94B4-0055FE8D82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7C598-AF28-43CE-8D89-6FA943AF3F6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81EB5-972D-4D7F-83EF-1F6C86050D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E192F-FAAC-4E27-AB36-E2FCFA1BBA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A5244-1BEE-45B6-8029-2BA7A43598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1DDEA-6119-44DA-863D-50385B98A2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92A13-D1D1-4C0F-9EEC-10F57286F12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4FB7F-1655-4652-BA58-9D8A075D87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63C34-0606-4F24-9B81-BFC2853074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00829-12ED-4F43-BC68-7E536ADBF9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AA109-A463-43C0-9C30-012F2DFFA4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706D0-F12C-49A0-A81B-D26B0EBF47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46F98-9350-4D20-8AF1-F5AE6FD0A0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2E580-8ED4-4980-9D10-CCA33246FB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81EFC-DFC7-46FB-8CB1-53CE1CA9E6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31DAB-17DD-45ED-8665-BBDF94B962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C0A32-2273-475C-846B-761DF9AB6E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C6AEE-5B3A-4CF2-8828-B092F009F8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096B0-7F14-4565-911D-A6C947CDE8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08BED-C755-400D-9ACD-8DFDAEF71B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5E160-2AEE-4632-8A63-A401ED57CA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451E4-A340-44BA-B261-E88BBBDE4AD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06B5C-DA8A-4CA4-92B7-64A12E5851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4DFEA-4C44-4032-A6C4-A847EC44FD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BBC58-EF9B-4DF4-AA7E-2C4557B0C2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23C47-0EA0-42BD-B180-3C01337388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9F0BE-9AE3-46C8-817D-7FA460D9B5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DE33E-012F-4B36-9508-DE42BA3C07C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86009-0D6F-46DD-91C4-A0E8D5DB78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FB560-F73F-419D-AE8F-C4F729DDC6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FE46E-D830-4CA9-A18C-2AC4C8370E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98733-E895-4B17-BDF5-C3AB6EA9726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BD1EF-40FC-4A9A-B1D9-16B67A8E3C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9AD95-58AF-4390-B887-D0F8050236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D4A13-E0DD-4198-BB7A-E4CD52027E5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682C3-6741-4C4A-970C-79A0B9B96B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865F06-179D-4CDA-9E92-DA369946E6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C5C14-4A73-4393-9349-62878DE6F3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37E3E-4C68-48B6-AFCD-3B8B5C30C9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A65B9-8738-491D-9B8A-F44A510B43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033C0-F8B2-46D2-87C8-2856E83A77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FC257-3A6C-48CC-B313-8586B2F588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988E1-4BF1-43D4-872E-EC7C202EFF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72A99-9478-4A40-9842-EEB0287EED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3B89F-0D47-449E-9185-284E1CCB68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E3BCA1-B1CF-4AE2-B957-419661A763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98901-4713-4978-BF6B-CED7CD72C3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10FAB-94E0-4CA0-B2DB-7D4B44B16A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1EFD0-9378-4ADA-9E73-413FB46936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E6BB6-B552-4886-8159-34FDA9696D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3F7E2-1522-4931-98DF-F8563602E4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4FBB5-8119-4D0E-8AC3-126286DC00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0179F-9DEE-4A01-91EC-8C5BB98D23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05412-B8D1-4B8D-BA58-55B4D401ED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56E73-07AC-4C1E-B4CE-89353BD584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5D4B3-ED3C-475F-8F8B-900831DEB05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AF475-4E2F-4BCA-B67C-F3E0D0842F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DAF7D-4C87-44F8-856C-C15D342BD9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93DDE-7739-4CE0-B491-7649EB4D48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2084D4-34DD-4665-9ED6-68FBFCC1FC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83459-29F8-411F-8921-A3E4E9894E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FB57D-9E78-4D83-BAE7-E2C065E0F99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28507-7F75-4505-8F35-5E5E322AC7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9C6D8-1038-4FD8-83D4-93DF92ADCC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1F290-80F6-4B26-AA73-F3996F66E2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0A71D-F5CE-4F61-BDFE-E0108358B6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2CAD0-08D1-4236-B917-A856A2BBEF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DE82E-9C07-4CAF-98E3-EAA81CAF71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0C6FF-62C4-432B-B727-7A3AFA6444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F539B-70FE-422C-ACDD-F98FD73BFC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4D281-5E61-4881-AFB3-901E8F1A16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51097-B63A-4BBE-8B03-0AD775154B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5193C-D6E1-49B7-A536-3A3AE4BEC4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B7C5E-E7FF-4A9C-8F12-ADB9E10C9B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AC102-5163-490F-A053-EEB176E93B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36BCD-562C-410C-AED5-971D443169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5FD07-97E5-4FA6-895C-994E71C69B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68FAA-4BF8-4CFF-8D5B-905A40AC87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721D2-36B1-48E6-A0BA-7FF8692483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99CAC-6808-4E08-AC67-DEE90AFD77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A076D-87C8-4655-B270-AA799640E8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D449C-5CF9-454F-9DE3-4AE83BDFF4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BE3AF-5649-402A-B288-8A6AD7009A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4BC02-8B29-4E63-930C-A0ABB98EAA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15C60D-48BF-4929-8ECA-7B52CF67DAC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1DCD1-688A-415C-A33C-80C9DB9B31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F03F3-63DB-4491-B561-1B290F748F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BE885-9AD8-43A7-8A9D-FAE4A020EE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6FF39-C87A-4827-9A8B-0EF98DB9CF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EDEEF-857F-4601-BB51-65377098BA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2F66B-60C6-4DAD-A202-35874DCF24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FA87E-9E00-49CB-BBF2-D12C31D42D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AC8ED-3513-498D-82A6-0F03BB94C83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4D050-FA61-4C85-95D7-9564A0CCF3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4DC83-90AD-40EA-A91D-C527B1A38C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175A8-EBC1-4638-8DE9-5B2D36BA9D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20D21-9038-4D4E-AA22-667D628CCE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EEAED-A017-4666-9908-BC3D14286A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265ED-0C17-4307-B746-86F7E5089A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17DB6-3F7B-482A-ABCF-1B099E63CD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D0956-DE72-434F-AD24-9D26F0D056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C9EF3-C75E-47AA-82FB-EC7641A42D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F09B7-EAFA-4899-9E3C-432223109C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70236-57D2-45D4-9D2F-02EC67FC38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36DE9-28B6-40EC-AD01-4BF32BAC31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14327-24DF-41EE-991A-86863E778C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176D4-29D1-4A67-A7B2-14CCC6BAC8D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2B3AB-506B-4C02-B4AC-462F392BB4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85AEE-B118-4A26-A4F0-AC5DF4B3D4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32C81-AF4A-4473-BF38-0133428D34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DD1C0-2EC6-49B1-ABC4-79BFB6996E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A8FA6-4286-4D8A-9D13-CB1B007DA1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B814B-374C-4132-9B44-1494D1E8BF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BF064-4C8B-42A1-8B2A-12504B90D54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BE81D-34E5-4EA7-9698-23AAF954162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717F0-08E5-41FA-9442-07CCE7B066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83EB5-B767-40AA-9A68-F110941C8A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F25FC-4B51-4040-8438-0EE83F157D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75251-6936-4347-8230-31A39FE103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62AA9-3CE3-4134-B315-0C71A39D33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F2733-A260-4B67-AA6A-AFE61E3CEA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1467B-DCC6-4EC7-B778-DDF98BFB806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EDDC7-5AA7-4861-93B1-18955BE1B7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D2EEB-6A4A-4F38-B50D-D8C1CE733C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3ACEB-4D9A-4D22-8DCD-1BA9D4E821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4B640-DA2E-43C6-9708-63B5A65B51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5061E-3C4D-45A5-B1CC-0A2CFCD71E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38202-319A-4066-A33C-9F072DE4B5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B0CF7F-5530-45F6-8D8B-D206151F92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E3324-94D9-4E4F-9936-68295E18B8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63D16-C8F8-40FB-A37E-916E81BCDC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C80FB-7211-4060-90CA-EEA3D22B2A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142F0-AAFE-40BF-A704-9195A0A6D4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F0895A-6599-4BC7-8834-86B7275BB5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8967D-9066-40E3-9590-2E732FAF9F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3DF76-072B-4D0D-8995-8B5C86BA17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A795A-2E53-4DD2-9156-2AD6CB6883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DCC1F-D64C-4C7E-8F1D-FE089136EA2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5D61A-572B-4642-9661-03D7922470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77FD6-2720-4DA0-AF0E-AE2B17E9E7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A269C-5C72-4675-85E6-3E51F882D0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FB3A4-B51A-483D-902A-15F4324A3D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264B5-3273-4447-B2B4-9E6D2C7423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126C2-E8C2-4252-B221-118C274F57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FC17B-CFC1-4722-89A0-3E363E9650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602BA-0769-4F9C-81C5-ECF741E407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5C7A3-3786-40D8-B569-9BC43F1F7D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2B4F90-34FC-4C66-BEA7-3448C18D8AD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BFF35-CDEC-4DF7-AEE5-D581F22A85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105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36799-7EAF-4C80-BB09-883852E545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9831C-4436-4A29-84EE-12E9583876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C2290-8E42-4C69-9A4A-75FF957F41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B91BF-027B-48A1-B381-166BB6E9CC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DF7B7-5D11-425E-A95A-EC184F9313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33877-2BFF-4234-9FE5-1AE5B1C1A3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121B3-3640-4470-A579-2EA5A4F312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ECFBC-A371-45C6-8C80-A518C8AF74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9FFD6-0801-4315-B411-9C57989816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07C70-1455-4432-966C-9469A23215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2D220-80F8-4A9A-A402-6A096C5801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99BAF-8BE7-4E60-9D6E-BB297A2360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D3A0C-0A3B-41B6-A9B5-BF3924D272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1D627-C164-4951-A077-492DEDB072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689A9-38C1-4824-B077-D871EF9636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0AB08-B688-4DD6-A688-705C16A9A1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1243F-37CB-499D-99BA-DF6BC8DFCA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E059F-8BD6-4221-AD4D-B8541824A1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2EE08-9312-46A5-B6C9-EB8093E75C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CD8D0-8AD1-4730-AAD3-BE05DF0ABC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124DF-8E80-4763-9C15-8A3111B28E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929FBF-EE53-406E-ADEA-8A8D0B9F94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7CF26-1C76-46CF-A520-A7F1EE6E75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9E69A-7238-46F6-851C-05FE154C7E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DC40E-1236-41F3-9BC9-6A55F303B7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0BDA3-DF7F-46B5-A78F-424C358590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0103F-49D4-4AEA-9697-5E8CDA1AA0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A07DA-5B27-4EBA-9F04-CD133187DB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90F67-EA4C-4979-9947-65F194A224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EAABF-2303-4F78-9B61-1E3ED167E5C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9F5DA-91E2-405E-8478-7707A7667B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0E469-997E-4A67-99FC-E323DBAEF4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AB215-FC01-4371-B27B-937134018D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70C78-BA6E-40CA-B8A9-7E09889A07F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68D5A-394C-44D2-B876-DB9CD7916F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D09FC2-B4EE-4327-8A1C-9A474A74D7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536D8-916D-4D09-85EC-C530D2EAC5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6CB3F-0AD6-49B6-B951-27EC83A054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C4122-CF9A-4D94-80F5-412895370F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B2E40-A13E-4AA2-B644-F2E081828C6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33A18-158B-412D-9932-D7B66FA7A0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5AB7E-90DE-4FDA-B4F0-CC66159AAD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225EC-6088-4E7C-92CA-98387D5E27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386308-1FE4-4ABB-BFF3-229648BEBD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CD875-413B-4ADD-8D73-D9BAF4F25C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EB9B0-CB60-4E14-B327-96E93F1FC6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7707A-0915-4A32-A724-D14C401647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A8D57-DEA1-4717-AF63-21F665C6FC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82B0C-13F2-4D44-8A39-83AC371F68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10FF5-38F9-4748-9567-F8C37DD4D7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69E924-ADB1-4745-9E89-776DFCD68F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3B4A0-9CA1-48B5-AE56-C077CEC121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49BAD-FEC7-4EEB-96AF-992901A4087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66474-299B-41DC-8290-92364E047E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310E0-560B-4673-B230-79AC1C1AC1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A2B25-3220-4C17-877C-06AAB94CC9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5FBB5-54DD-4937-8667-747DE7FDA1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70397-5B02-4731-BEF1-E5CA6A0CF9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785C71-30D9-4D5F-ADEC-747326D9F5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35A5F-22FE-4A95-910C-DCA0D1913C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C73CC-27C3-4143-8173-6C210120FC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8CFD3-F0F6-492F-8AA5-D8E5E047BF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8B21F-8684-473D-8D4F-B8E4034F8D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C003F-C593-4B7F-911D-FB4C5EBEB8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7653C-4816-4244-997D-C2D6C25B03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EA4A1-3787-4F76-A97E-F484DEA720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64AD1-6776-4CD0-8970-9EF5B739E5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D4BA0-78E0-4D08-87C4-E517A0977C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51C43-4CF9-41A6-9272-F63ECB42C7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8B713-2565-4811-B0BD-1CA043F1836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CFDFE-DBDF-46C5-BE56-F090996D720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5D1E1-6C46-49E7-A4C4-AE408C055C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A3FDA2-A5D6-4DF8-851B-889B391387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2251D-59AF-4CCE-9B28-36265E83F2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9F35C-1E8E-49C9-8AA6-8EE31292D3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8B91B-5046-49C8-B063-51BDDA3BD7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E6E2A-E011-4F8E-8BB5-878ED59AF0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93D92-7021-455E-A9B0-ACCABCF34F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12AB3-4AC7-42CC-9E10-211D632970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841B5-E624-4384-90A2-5F46D09298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B8B44-E11D-4797-82D9-684917DDDF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94646-15BF-4034-860E-9D3E1FA701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54A9D-47DF-4506-B152-B0E20E6345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80FA8-86E4-42C5-A53E-649D6FE40E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07BCE-7CA7-459D-9D12-B3F2D97D47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F95FD-392C-4823-943B-D7F76B9E6D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0497E-D27D-40BE-8CFB-E672F154E8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2D4BF-50A1-417C-B18F-F4EA79C7AA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850ED-8B33-44C7-9066-0901B16410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EB1D1-541F-4DB2-AD05-712945A3FA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54BE2-87EA-4619-8B62-9BFBEC2401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D4B7C-B0E1-4321-AB5E-FAEB362E6E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E5981-CE49-48CB-9CC1-0E18A381D0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2E8EC-4530-4F97-8E47-EACCF8BEA8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74EAF-B601-4644-A22A-8B84AD3E1DC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7CD0F-94CA-4961-B8E3-60630CACE8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20AB8-A940-4251-A78A-82EBAB992F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4EB87-31BA-4DF0-8B75-4407A1377A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D9023-8DD4-4D8B-9EAB-D1DF3FA28B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44F2C-E466-4252-9E25-DFAA9A7254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F98F8-56D4-4F9E-A04E-6F3292A20D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E9F77-6E3C-4FFF-8D04-39E4C2B819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5340B-7259-4B7E-AF42-38659F0A67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F8540-F187-4EFC-8834-C673D6235C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C896A-111F-41FA-9589-867197CF61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F09C0-B46A-4D1F-96EB-9A4B1DDC370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397BC-CC7E-4B58-BF30-20B204F5E8D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96293-07FB-4F06-A34C-32D6633366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5B0BD-939C-498A-94D8-CAD79C41D0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75236-1DD1-49CE-AAEA-12691D2849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EDE50-F701-491D-94BE-1E0DE73F55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F3B83-06CE-4CB3-833F-4F79452BDD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6E6AE-18F2-4121-8E2F-5F7C2C8AA2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E574D-DBC6-4892-851E-42E5C06651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B6B73-243E-4AC0-9A20-2574BE211F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736E7-D775-444B-9B7F-2437830FC0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AE868-00F4-4540-9267-498533F8F7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0552B-82C7-4558-9350-B1BE07FCE3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BC521-CEBA-4C2E-9050-C635B8F82A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29ED7-C539-45F9-9DAD-E5B4B2B05C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C84C4-84C7-4268-B956-7EBF65E788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0EA56-C0A9-4E3D-9914-10E2F7822A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389AC-A2DB-4A28-AC7A-9A3716F392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019E9-E88A-4BB5-AA83-2C63E60463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28029-E8C9-4DBB-9062-5B53C062CC7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59BD4-1122-4C44-BB35-B3594701BD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0FD03-1278-459D-AFE0-8EF5F13042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D6803-7E4F-4B68-9F02-0E75970D4E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15AE9-9D23-4B0E-B688-ACE3905762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DD22B-D2C7-4314-9701-D7F3C2C16A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0BD49-AA81-4171-B209-63887BD923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E3D3A-D024-48CC-B2DF-072ABE4F7B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B7E3A-5526-4875-89CD-B429D92FBD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845F7-B3C3-46A2-B131-8FE131C3ED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3389F-D186-4BF8-AE73-BED77DF6E4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EBE13-6E2A-451B-9768-DBB76229F8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4CCD4-83EC-4355-A98E-3E7EC7072E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02E0B-DBC5-4D7B-B2EF-A662A65994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45E7E-9692-4A3C-A5E3-91DB4AE820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AC334-08E1-4DFA-9D34-BE32A827DB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B97EB-A002-4FF7-B143-79FD4B9587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38176-D15F-4651-A0FA-D0B4C827CCA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06B25-7A44-4E13-A4F3-0D35F0D91D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462CA-1131-4C61-A2B1-1F7D4E1E03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02E43-3F46-4A28-98BE-1BCFB5B2EF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23298-9E4B-4F07-832D-1BCED12692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D88A9-5245-4661-BEE9-5C646FB2EC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F1C7A-D311-4304-A06A-765C38F5C1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5B9CC-5E27-4D17-BDC3-99DF414642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53C8D-CED7-4A98-89A1-0436AF22BC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39A50-B7E0-4FB2-A575-7C08BD612B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DAE59-DEB3-494B-860E-6D588D0EC1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90B54-429E-4363-8983-69090BB7278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8B841-7BB5-473E-B8C7-838426DA08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859A1-5BCD-4546-A453-1E44D91455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1B510-BFDE-45BA-8956-E727D640E4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B507C-C353-4843-89F7-117F1CBAD2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8C012-D35D-4CF7-A9B2-8551FFB188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67CA7-915E-42F0-A764-B77C63F6DC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3AB3F-E419-45C1-8130-E97DB90A83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FD60C-C898-4677-9FB0-0065C21CF8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6B7F1-B903-404F-BE35-9779442B194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595C2-61CA-4E6A-9E34-2277C5E790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3EDE2-7087-407E-B080-F6BCF7F0D9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08D0F-943C-4F6D-B14B-84223F715C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4F085-D4B5-4E83-9796-38A820CA75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A8D96-7287-4B12-8178-D6B9E81855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FEB75-EC77-4814-828F-9917F83119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DAAC4-1B9D-465B-94CC-A2FA7C3706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6FF70-0BDB-4B59-86C3-BB152E2E94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34FB1-0FB2-4697-9289-BADF3DCEF9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B5390-0A4E-4ECD-96F2-E58BA31364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A7ED1-F6EE-4686-9D8B-25F04400B6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CE59C-4BB5-4660-8433-3629599194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58E99-BDCF-48E4-9944-D4F5ECC3D64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2CBC42-3267-48B7-B1FF-10F87FB27F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E264C-F55B-4BAB-A3EC-D4691E2C7D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DCAE4-F509-4695-89B9-BC1B3D6F39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62151-F8F1-4DBF-91E0-8F556FEF2D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F114D-414C-4A27-AA4C-1660CB8AE3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72BF0-9EFE-4ADB-B1C5-61957941A6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6CF30-4AF4-4D29-83FE-528E2CF592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385A1-B763-46C7-A040-80A001C208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924DF-3779-497D-B4A2-0DBAF128FB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DEC98-709F-44DD-99FD-FDC6D2A6D0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7AE22-4238-4625-8770-2240D92087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7B73C-0B8A-41E4-93B0-9A4316F75D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3D904-3F5E-4C4B-ADC6-EFA15B5CA6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5FFB5-3717-42E3-8780-F3C53B4A6D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74FA3-C866-4D2F-9B8D-C12B9EF9AB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8E2CB-EEBD-46BD-97CA-D322DCD9F2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B6681-FAF6-4E34-A5D4-415A5BAC8C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4F7A2-34B3-4B12-AC11-39A137F920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13DBA-1C29-4540-93FF-6E7FD825CE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9E81C-F712-43D3-BEFE-172910E82C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E985B-6871-41AE-9C0E-052EA00DED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61056-568F-4A6F-9713-6FF3B413D1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B9B1F-07B3-47AE-B22D-25F31A0C60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1989A-CF08-431A-BF28-5AC70DA8941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8A0F4-B8EA-410B-B3E1-4B884415CCD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2311E-DE65-47F7-AB3D-9FE00E4956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BB779-EEF4-4207-B0E9-6955E8EB3D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66567-BC0A-48EB-8900-2D4B22CC7C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5FF26-A770-4AA2-9B6D-EF96AED509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929A6F-D84F-4664-84D0-A440DFBB68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FEC66-69C4-41D7-9A47-8A52B82DFF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716B7-7C19-4031-8889-3299EB0B40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F91D6-9395-46B8-A5E4-008E94C985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1AB6E-F2AA-4726-95F4-B590A85677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3F7B8-B86E-4F47-A556-9BDA2FE340C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E3557-709B-42C7-A08E-EFBEE3D38E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65A6A-5F01-4537-8A01-FAAC992CF9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9C887-EEC1-4E1D-ADD2-B9A7E3D5A6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CF266-B07F-492C-9C5E-F311545A85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A734B-FD10-4FF6-82A1-EDF0028C03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649F0-E65D-461D-BFA7-AC775DCD5C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09FD7-F4CC-4DDF-A695-A3F8CB1980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6E434-77D5-4394-9098-B121F52519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A89BB-0ADC-4AEC-A601-D405446C68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AA2AE-5452-4234-9C42-8956FDB9BC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50E3E-E836-4698-9984-EDFAF94617D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4532D-E7CF-47F5-AF2D-1D102DA13F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64201-AED6-4AE3-9EB1-CDF20176B8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70C74-E525-4CC4-87E7-045C93BA3F7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9EC48-0B6D-4DFC-B16A-538E46302F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6C21E-A39A-4EE0-8615-08EFD397697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944E8-0D86-4B35-B9D5-074FB3909D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F8F96-3483-4ADD-BB3A-CAE9E49430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42E84-4D93-45BE-8757-FE793198C3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DDE08-F0D4-459B-87FA-9D8CA5DB7B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E5556D-946D-4693-AA3F-D139EDE4BD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2DA3A-DA0D-438E-80DE-B107DFECC4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CE792-8BAC-41FA-924F-C853C45A62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6C5C1-81D3-4B74-AFE1-BAE5357ADB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BA7AF-A848-4844-AA1E-D9B70D5034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2A13E-614F-4328-93D6-9A41ED14A5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55C54-58FE-41C2-A519-630788D42B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0E896-6D8A-421E-BEDA-5AEEA385FD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12E44-8420-4BC6-8366-89551DF49F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28617-D5D0-46AF-B507-7ACFAEEC82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C9A9A-CBC6-497A-8E22-49DDE9E097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66E9F-5C17-4ABE-B468-DC663FEE60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9262B-E06D-400F-820C-8E8A8AB313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CDDD5-63C7-4E08-952C-C83395CAF3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10342-2F9B-486D-B50E-C8CDD80C78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2BF7B-EFC8-438F-B035-3B908F6E394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7CE19-C8D6-4F6B-8E6B-C1742E557C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7C56A-DDB1-4677-8894-2198CA01DF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602F5-27CB-4FDC-AADB-746AD81BE0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79D60-9CBB-4E7C-B82F-39EE08A672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39A36-037C-4401-883E-190852280A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01065-46DE-437B-9122-42FE08B1E4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22460-3856-4C2B-9C9F-FA6187E229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736ED-BB93-4047-93C5-522948D84E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679BD-0B31-465B-979B-88677CD84D4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70253-0993-4BBC-A678-385C721740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87E11-DD94-40E0-9A9F-056C7AA961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60AC1-958E-4F8D-A547-19250D5A65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2C9BE0-EF21-43F8-8267-7A70558403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CD920-EDA6-4169-A38E-368F4A0CEB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70293-35FC-4682-A65F-007AC5EB57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0D958-4697-4F66-A042-6170123FAE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9A811-ED0A-42EB-BF1A-9046D67862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4D8CA-AB0E-4C34-B13D-777EC542A1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C3E38-F053-43AA-A70F-8E0B8F8CC5F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2C322-4D27-45A4-8EB7-AC361B0A56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8DB07-3500-402C-900C-F79EAA7FCA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3D0C2-645A-4B53-BCCB-FCBD3B93D2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E1C4B-54DF-4BF8-992D-62A37DD12C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AE5E7-7EFE-4ABC-9EA5-61A96C31E81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27240-9693-4F1D-AA7A-1604AF8D2D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0A63FD-E675-435B-A12F-D98E92FBF8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B14F9-7009-4C2E-AB6E-229DF5B3CF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5D84A-254E-4919-A53C-9629535073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4BCC5-4273-41DD-ADA4-2818E6D5D1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9B86D-AE1B-4562-91C6-49A58EE2CC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234B2-EC4C-481B-AF57-2CA03DC3630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19CBF-0F9E-4161-9B17-5AAFDA4905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8DA0E-F7F5-42B7-89B9-BC07C3EEF4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BBADE-48D4-4566-9AA7-A0D05BF7AB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3346D-A509-45EB-ABD8-31A82CF5CD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F85B3-AE3C-40B0-A431-B08A1BF1AD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01A1D-1502-467C-87F3-B3B5B46151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F5822-90C8-4626-A744-F695CE074C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43336-C36F-46AF-BE9E-08775295E5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188D2-30FA-4FFB-95FE-F14223EDD3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F4427-C6B4-43B7-BB9F-B128888AB0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5BAE7-5F22-4F58-8488-3EACA69333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4735C-D787-409A-B6EF-392957AFA9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AE69A-1F80-412A-A7F3-B2E221754E8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6BDC5-4D5D-497E-A15D-AD69C3A277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144A3-11A3-4059-827A-4C2FAE54EC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C796C-49B4-45C6-B05A-0C305265D1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FC162-F0E1-4F83-8CE1-81379DB821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4C55A-AAA7-42E6-80A9-798955732D9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1C792-2E69-4CC3-9406-120E3462AF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25605-DC5D-42C3-BEB5-BB2085ED30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209EB-801B-405E-B6A5-2D0035A25B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D217D-6DBB-4620-8A3C-45957988E7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93BA9-B69C-4B65-AA95-1F829190AE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232F6-771A-4A97-BEDE-D7FECB1761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1DFBC-6482-4C01-BADF-F675C8A92B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8F90B-FD50-4692-8C2A-FD98D21994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E27E2-D2C4-40F6-8673-2334A6187C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7222C-3A4A-44C2-90C1-2509B705DB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0BFB8-214E-4B2F-B581-C5FC863DBC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1701F-2FF4-435A-8C91-896D32AD8B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2F802-698E-496E-BF5B-50F6E9CE07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1BB8B-8256-45D0-9434-6259340D98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93758-355E-4ACC-81C0-421E4B8E56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AF469-EC7B-49F2-92BD-CE2DB55792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6C1EA-015A-4407-BD7A-6EFCD6BE81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43735-7A2F-420E-956B-2599EB6B1A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C26A3-0FA3-4C10-8383-1285ED15DB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9F413-7EED-4542-957A-32D30E47BA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FE26B-A0E8-4694-89BB-D13771E0D6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D15E5-54AE-4131-A3B3-0CC6C50FDE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9D866-9B1D-4EB7-B1BA-D5F145BA4B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C816B-F2ED-45A6-8158-73E1B49F1F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3A3E7-1F90-4DED-8C18-C64C322D27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A6456-CF3E-4A21-842B-AC6F2BFDD3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E3070-A536-480F-AB8E-EF56E68B99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1E65D-C14D-4D4B-966F-F3E7D1C9DD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5277D-B4F3-4EE4-A374-77FFAB312F6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DAB30-0EED-47D3-A3DC-D4F80EC9B2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1BF3C-CFA4-4D69-8941-D7B77F3D3D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8CCF2-7207-4A60-A5F1-583BCD30E0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0810A-5DCB-4FCB-A2D3-0A23875066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5A3018-B0BF-4E05-9CC4-2A8DFC2042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15EDC-C7D7-4098-BA31-A8EA8AA046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CBF80-4E02-4262-907B-AF2A572699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72B1E-FA98-44BB-BA0A-FC3A06660A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D2BCA9-C670-4B23-A071-005AA101C5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3C756-F67E-4434-88AC-FAC313DDE6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30CA9-C785-42FB-AB5C-C8214D1B06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1950D-0006-4B02-845D-DCCDA9E579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1BD6A-1B96-466C-B30B-006E91F58C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34C52-820D-441C-BEC6-BD0C5B9F930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D6633-F1A5-444A-A340-2987AE3280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CE2DE-952C-441C-A836-CBE4601655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C9827-5E80-48CC-AAC7-3558971BE5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768D5-1D6A-4320-8A78-BBFC539927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B21D1-273D-4DB0-A0D6-C0B35B6699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854A6-9A97-4E21-BF0B-20E363D0D3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EE3BB-2AAE-4A7E-B769-3D8397A939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A9985-3210-43E8-8907-BC85C20205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DA11A-0E88-409B-88EC-7BE5B54CC1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CCCBC-CBE3-4DBD-BE41-E14418EE04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3A6DA2-A457-44CE-A88D-C56DC6B195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86633-BD01-4E8F-B036-CB3FBE0CC2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D30DB-2A5C-4F03-BA45-1E0EF940D3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0BA40-E589-4F17-8965-1A3D6F54E2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EB271-567E-474F-9F5D-AB36958CFC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831D0-66CB-4073-95DA-737A6AAE8C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F4758-227A-4C27-BEB1-BA9D60709B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664FE-FBCB-4410-A4E7-D4B6FBC059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7A6AA-3B93-4CF6-AB1B-C9494E24E9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90BDF-D80A-477C-88F9-391B3CCD1C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5E95B-6603-4C83-8E80-5D52D7252F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83488-AA68-40EB-8685-6B77DBED4F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B8F62-64AC-4475-8F9C-45D8A28D3B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FD20E-147A-4F6A-9885-22ED26C7DB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A8AB4-C248-4574-979E-C06F0A5688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1C323-AC78-4908-BAF9-E5A38714D3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22B09-DAF3-4FFD-8585-FCBADF4743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A4E1E-24ED-4773-A046-C1BD1ED350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9B2E6-D6B7-40FA-BA0A-F63983458C0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9EA26-15AD-4966-B489-15E111F1F5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701C4-28C9-41AA-AA43-B18CF520E1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8B972-261E-476C-9408-FEAC08B2D5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C4493-D12F-4404-AA10-E197043687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689BB-9E03-4A65-8E9B-4D1B2292B9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D10E2-B4BC-4298-A932-3FF18C9FEB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69123-5118-4448-BE6F-0BBA56DB4A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E6950-971E-41A8-B6FE-62AAD040CC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4F396-4A49-4A9B-8C7D-2DE57405B0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FF1C2-0D86-4449-A42A-842BA50C2A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C59CC-18F2-4100-BA30-33FFFBE787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79421-C8B2-457C-9E67-259BB1090F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B937A-BA00-4660-862D-01441456D9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3FF1A-3709-4E6C-BD0A-A8203EA3A4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53C5D-0A80-4D07-846A-3725F43392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C467B-4FEE-4046-8580-00B860CCE69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E93C2-BC47-4DA2-B96B-53E42141FA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268D1-FF59-48AE-B4ED-1A70D48C49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1F36A7-F921-4898-93F3-00C4952602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4056D-2946-4C4C-B11D-E87BEE6544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C4D15-0E44-4225-8103-97C722209F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949C0-04FA-4EAF-990D-90A4AB71C1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69A62-FBB6-4868-8102-0C3F5BC64C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0E251-55D9-479E-9628-DF946C6D37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D3501-07D6-4F90-9A6A-2EA04B055C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63109-AA74-41BA-85F8-54FCAB3709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FA98F-000A-4D9C-B6C3-EFC24705B6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8F249-6E7E-402E-BA83-F2D68B7430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1E4BD-00B3-4BAD-B2D0-C4966701F3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AE429-0B4A-4121-9619-A93DE069434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C13EE-9B53-458D-8EE6-A05C9A0B8E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23473-FA65-4A1E-961B-0EC6EFA5CA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5B639-FCA7-4C89-9CB7-886DE34C6E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CF7AB-26D5-48DF-8908-BE7FAE6CFF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7BDE4-B8DD-42E4-8B35-A909C8B8CE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69194-AB31-47EC-AF73-C137127FE6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31B2E-D7CD-4596-B469-CAC69E1CB4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1702F-10CD-4054-8C64-9BCC02880A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E9879-6D86-45C3-8FBB-CCE6D86BA7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F8A7C-A8FD-40ED-9A77-31F2D2980A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4DB8D-C662-4234-9525-3FE875CC373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AA16B-7C7C-44F3-8A4E-886D418463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93D35-A525-4D22-A1C0-94A49CE1E7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E0126-1385-49EA-9824-1E386701F1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97A4B-2B04-4F34-9A68-3113EE2157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D7DDF-0ACD-44DB-B312-21AB36C79D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D4F45-7EC6-43B7-97BE-0BF416164C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C34D3A-3BDB-435A-B8EB-E64F8A674C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9FD7F-3FB5-4F13-817D-EBC68FBF09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9B06E-5095-4D2E-8067-48C04455DF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37F70-7955-4287-94C5-EF04B7D32D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F3443-A14C-45B5-9060-E1D6E99EB1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D579A-94CE-483C-B994-A19DB409FD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6B157-8294-4F3F-9354-F5EC5E26BA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2B392-B5F3-4292-9495-6FBB1F6A7A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F2F87-4C7E-4DBB-8B27-B15E393D52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1877F-333B-4C1C-85B5-8A47F70032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4379B-6F86-4E95-9750-1D9C18496D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387A1-9E49-437C-912E-A464D05B29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8BB09-696E-402D-A831-00DDA9C8F8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2A600-BE05-4036-8C51-E1ED9DB509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835E1-B671-4F0A-917A-CCD5D2976E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62328-8A20-4F90-A114-9963CC80A4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6E043-533A-4CBF-AC63-650F5FC0C5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735E0-A7D2-4F54-9132-AEE3D3A938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16444-EE33-4485-97E5-A02DDD33D7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C9ACA-53F8-4B6C-8CA3-B5DC521CBA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41679-B320-49EC-8331-7F6AF84A8B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4AE82-2D01-4592-8A1B-8D88EE8374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9CE56-AAFB-410F-BB86-0386597570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5EFEB-629A-40F0-805A-8CE913B1EB0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21821-971C-4309-8B70-60C7ABCC01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57799-A8E0-4EF0-9772-8A713ECE6A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577CD5-B663-4173-87E5-3DC8541A0C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90371-90BC-46A9-AACB-744C526A6F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C6EFB-AF20-4B04-B859-167B393B9F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4A32A-E237-42CD-AC14-A1C1EB9044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58779-3724-4AAC-BAC3-D3BA41AC47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0B0FA-F270-4FFA-A8F5-064C79AA01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A8CCC-7879-4224-A528-47392639EE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44798-9661-4301-A288-50A85FE942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9099A-C567-4F2F-A463-9DA3D039D8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B1957-1C10-4C37-8843-7797857199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32E5F-854D-46CB-AFED-58F4041389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82EB3-1564-4DB9-8578-DD7F6E15D5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1C068-3833-4F57-A715-C5C6288D02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19BAF-0D4E-4F3C-8B45-12A06735F9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54E77-E6B6-460B-A400-4DB60FF9F29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906C9-EA5B-4DCE-8C97-7317FDD8A6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8EA45-F364-462D-A8F0-3938886A337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3390C-B569-43EF-B8AF-230A8E3705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9932C-16AF-4F44-A96B-99A6417905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37573-C7C8-4E4A-A81F-CEC14AE61B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D165A-FB1E-498D-9A15-C438526C59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4B647-9365-4EF0-B8F5-E74DBE3896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E8E83-2ADE-4D1F-9E8E-FB4799EB78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D3400-A6CE-4CAD-A532-545DFB4564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CC0F9-67D4-47AC-80C5-B04A56A7A8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F377A-1FFC-4793-8A89-C1D96EC4EF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B59BC-EDD5-4F6E-8E79-4A57129501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AC40D-92C3-491C-8869-B62C8D1FCAA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FA6E3-4C89-4466-BA50-8D17B4C4BB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FEB4F-AE70-41F1-9444-BBFC51A033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B5C4E-6D6B-45A1-AA9F-5ACA89554C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8A242-9923-4584-AFE0-E0287C2405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FDDFB-C2E0-48A9-97DB-75D7F83E71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780EC-4E8F-4F0D-A69A-9DD4CE9327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DEE10-2F0C-48DD-8EB1-680A2D26E3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A2065-54CC-4AF6-8E7E-C50D16BC5B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0A348-2D9E-487F-B14D-16B0679CAB2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33441-7DFA-4B32-841B-500754BBF8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0119B-1F4D-4A05-9AFC-B83F593723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E011D-45A2-4446-B5CB-F2939930FC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B5A9F-F0D6-4376-8C4C-1A6AEC80AC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57062-F5C7-4C36-8A95-E94E1A583C1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5A751-E2B1-40FC-8E53-930E2CE80D7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7C23F2-32B6-4E76-A1AE-56B6D2075B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F11EB-813D-4A67-94AF-8E2339C9EAD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CABDE-0ABC-4C68-9750-EF919DFDAD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2E023-F9D1-4985-8DB3-8202EF5991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25B7A-7F49-4358-97A0-2AC9EBE546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F3236-4549-43B7-9DCE-CF198D6C149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92D53D-13D6-4B60-ADE7-8489CD9DF8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A6416-8AFF-4A04-8E12-76D42544AF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4CCF9-B724-4429-9560-2F9082AA714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56D89-612E-4858-98C8-E7D11A35EE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11F6A-5037-4680-8BF0-0AC2737CCC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A2121-FFAC-4E13-86D5-24EA2764D5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D2F3A-8847-42C4-A437-A8BD7AB4ED4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CB963-9292-44CD-8800-BE3F18AC9A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99A64-2A8E-4CA6-8A50-48362F38A3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EEE7E-0E73-4E34-ADB0-EA0E610366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E57D3-50DB-4EF0-B145-9B08C2D4AC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F82C3-F881-4CA6-B772-456ACEF8CE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BE1D4-59D7-4C74-9CE3-2EB4538878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0C965-1098-48D6-B4CB-DA08E49645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0D125-AB99-40CB-9FE0-BA35F6F59B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DCC5A-4CB0-4FF7-A445-B46B2CC078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ED4D6-072F-4517-A21F-22E83989A0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69573-9E5F-40E5-8821-06FCBF4C4D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33DC7-32C1-40E9-99DB-50B7B666BB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ED66B-F5F4-4F92-BCD4-895A80BF28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F574A-047F-4293-A5D9-95362E3CA4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E26C5-C654-4ADA-AC6E-EE73FE81EE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3F0BA-D88B-49F6-909C-83A0DBD092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83025-0375-4942-8206-B0B7B0B894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ADA88-CCDE-48F6-8E9D-83F2E6AA90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2713B-F3ED-4FD6-82E5-501FE1C84C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C1F19-1292-4890-8E1F-AB67158A8D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FC27A-1423-47C6-8A7A-B3A1554A10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DB53B-C746-4FC9-ADF2-D764C11880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6627C-B103-40EF-9042-803FD68657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C99A0-9E7E-4787-B40F-069B8F2D6C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3A90F-21A3-45E8-B8B4-D094CA14D1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7F8F2-C35F-4DAD-A455-068334051D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69EED-B0B6-491F-ACB2-BDF10BBABB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5CFEA-7610-44F2-96F1-3ED1F52325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F3B22-C240-46C1-8404-202B37CBADD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FE707-09ED-4061-8A51-3733E2BE91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95C62-A493-44EF-84FA-245C478CD9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4FD93-30D2-4143-B9F9-6193C870E8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9AFBB-E979-4C63-A3BC-431342CF495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77967-689C-44F9-AEAA-202110F1BC3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178B7-765C-47A1-901F-2729D170EEF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950D6-2FBD-436A-99F4-FFA1C41E20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35B4D-3F45-4C9B-A3C8-B44BEF470F0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8ADDD-9B8A-40C3-B944-6E1D6A7C68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BB548-D948-4751-9E9E-5BF769AA15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AFFC7-79C9-4B0A-B07D-195F78C589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F0AA6-E1F0-44FE-8F8B-C761C78236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37142-08DC-41DF-A9E8-508607194D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05104-C61C-43C5-9E10-EA455CC406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D33FD-7067-4281-BDD3-1B7BFC474D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E3710-F21F-4CBA-9390-3941950805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52058-D0DA-4602-83F6-CAB7BC1DF9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9159F-1CA0-44E4-8CE7-61042654B2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2CF51-440F-4FA7-ADDD-DADAD43048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D03B2-6FC7-42BD-9195-C6B82E4C0D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1A286-5D00-4FFC-8110-D517EEB355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80FD6-50C5-462D-BEFC-8AFE5F8E70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21D2E-661E-41B1-8030-9F40D630DC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A98A8-0D94-44F2-BAFF-45A8225067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B6983-EA9A-4C84-8129-ED9BC5841FA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9AE4E-3F73-4E54-98F1-D59EB81ED5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DE80C-0A29-4A84-9130-6CF7FDAC3D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DD290-D1CC-4F95-89C8-F869ADA7AE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BA179E-FC01-4EC0-BC9A-082EC4B1D2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EDC24-558E-410E-9836-45FF378DFAF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69476-6485-49A6-85E6-E2A68CD531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D96F4-91EE-464F-8052-20C3FB1865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19FCE-2BB0-4F7A-85AA-6100E3A1EE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39632-D140-4F39-B990-584852476E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49047-F812-4A21-B77D-8542D0F947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D851F-95B5-4F99-9616-1011D408D1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751C4-A614-4EB1-BD53-4CF71A8A24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AC01D-523E-4FB9-88D9-1E7D4776D0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FE5F1-8B0D-4A91-8C76-85876AD06C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C9F3E-7C89-4F7C-8E34-C0F51C5572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E03EC-19BA-4189-84CD-A6339E3A26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0BFB7-B2A2-4F4B-ACA5-4F0A84B417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ED39E-D7CA-4615-BDB8-2ED365E83F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24FB7-F39D-4D86-8F32-EEDD64EE40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ED025F-F91B-459E-BCCC-BD7F1F4BAA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32982-9DBD-4105-9133-D4C0E7B214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31960-FFA5-48CD-9111-4F0B3143A8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88F5D-6D1B-4112-AF49-6EE90AFE3A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4127E-B5D3-4E88-AAF9-6D27FDE2D72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7A612-6F45-496F-ABA7-B0FDF959E8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F5ADC-B3A5-47E0-84F1-79096A7C339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1C26B-91E2-4A91-9BD3-F40C2AF669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BBB3D-C73E-48E1-8CD4-3D142C810E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5231E-3EBE-442E-8318-5E19CA2355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AFA0F-8616-48D3-92C8-537314DA1C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2BD3E3-48D5-40D1-9D97-B1AE7CFBB53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9FA52-01BC-41BB-B780-747837A4F2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C177F-A42F-4642-BEE6-CF10E21623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31F77-1858-4BCF-B2C7-1E2EE4E7A3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630C3-29C3-4232-9508-5F9360FEDF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CB73D-8FDF-45B5-9AB2-01B97ACE07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A713E-D1AD-43A0-9D1B-62AA153F9A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0F609-77A2-45CE-A7BA-82DAF33F69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1659C8-5DA9-4B37-9852-78D9E449E1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A51B7-99F7-41B7-A111-30ABA62F10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34C4B-92C7-48E5-8B10-13A9D2EFBA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960A8-6F6A-4F06-B5D7-59C9B02734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548E9-EEC3-4EA8-86EC-C13BC4A1E8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BCEEF8-0046-433B-A824-CB37A7CCD1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984B9-4F43-4B4B-BCB0-63C192D0AC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4251C-5034-47FD-8904-CFB3AEBE49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654BF-4895-4BD9-A9F7-AC86565013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3D3E9-9056-4A98-B515-FF48FCC9B9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82485-0CF7-453D-9810-481D01ED01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9DD8D-FCB5-476B-91F1-A18E5AC779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C38CB-F09C-45C4-9745-226A362BB6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AD99E-4936-4BF9-ABDC-23F4237BCA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A5F03-1AC4-4796-816C-5CB67A1484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1215E-F710-46F3-8F56-7D8A554E69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36860-1D58-47C8-8A63-1349D78872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2FF5C-B4AC-421C-BC25-FC192D53E4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A9057-702A-4E12-A632-0A5DB302A3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6D357-27DE-4997-8184-C367A30BBD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772EF-4BAF-497D-A5D8-B07E3FCA62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1740E-309E-454C-9D7E-EB7807D2E8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E2EB0-15F4-4236-8ED2-6C69719A61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FDA3C-DA8E-45AA-9502-AAA986B05B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88C97-A9A0-42D8-B4D6-2510507D5B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78008-049A-43FA-8821-D9621F93F1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D2BA8-EB9B-48FE-A2A5-202E3E61D5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0BAF8-6178-425F-974A-EFA6B6CB71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14976-30D7-4485-8727-95A4C6654E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F65A6-5DA4-4A14-9CAD-F7604482BC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F62A2-66A3-4B0C-88E6-7A2EB4FC385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C22E5-B099-4962-95F7-0E8CFAE8F7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61AE0-14A8-48A6-BBB0-C7FA92EDB8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7768D-AE34-4C85-B890-9BB3792997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401B6-910B-415F-A5D9-E5BB8311B5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0E647-8466-4859-A059-B3C7052EE2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591E7-65B1-43B1-877E-F85FCE3B93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68384-1E54-485C-B1FA-E1A34E9145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62A91-39F9-4F69-B2CC-CDCB12715C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1AC7A-E719-4478-BD77-5F30334579D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021CA-F94D-417B-853D-B7A0062033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DA589-8DAB-4DF8-9E05-B6C28B83A4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69AB9-7E00-469A-8AC6-E59E401313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2BA59-9DB1-4D83-B88F-9F378E821C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7E77E-D17F-4EA4-8341-01C6ECA39A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EB066-BD57-450B-9FB1-65E1B399FB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04FA1-2B5B-4ED5-AB70-1D2E876A61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5A3F0-2046-4977-B124-75476A109D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69553D-D2B5-441E-964F-2FD4B9C9E7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A7319-36C7-48E3-89D0-BD78C3A0A6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AEA0C-4C27-4DA7-BD02-68409DE2C5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D3097-80AC-408D-BE0B-D12F031C5F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2DC8A-1E71-4D92-A713-898EEEDD67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B2758-E331-428C-9C3C-A992024578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CBCCC-5D57-4DEB-A94F-D3C8881FDC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637D8-9784-485A-8B6E-422844B749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EFA19-EFF1-4315-8B06-B64BF94214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396AF-5623-487C-A43E-C463BF5702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F04C8-C1EA-4C84-9DF3-4317B41CEF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A443C-180E-4C48-99CA-7CE31C6C2E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C7760-58B4-49B7-8305-BC499A829D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94CDA-E86F-4FC5-A9ED-30A5AC3D9A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B15EB-1DD5-4DAE-8450-BDB1608EC2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06D13-7100-4AE0-963E-F4F4E1795B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97EBC-83CC-48D3-97FD-E79AFAB8F6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CA7D9-24C8-43D3-81BB-9F57422A9D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1EC59-7B91-4CFF-8D35-01F8A4AAF6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C5FFE-6FDA-4C6C-9A86-582302C60E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7DEE8-7333-469C-BD38-9E85EF6F33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DC6E7-CDB6-4C4B-B195-044B0894943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82287-8EF7-43AB-B233-E15267106A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B2B3D-2C7C-47D8-BF15-3D948F7A7B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33BD1-4E2E-4227-8BE1-CAF3AFB17F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4985E-4C82-4163-B883-C059C279E9A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83F00-FCE8-4E32-830D-3B12520BDA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439E7-4DAB-41CD-9298-0762BFE498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CC204-E39C-404B-927E-E35BF3070F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61B3A-2EC2-43EE-B191-1D7DF95D3D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38EAE-F84E-4504-8F84-BD5DCA902B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00BCF-6B97-49E5-8EFD-6AB4F0EB40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5623A-E0A2-4BAA-B31E-5CFDEA40F3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F013E-383A-4ABA-B0A2-EA52D38923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DF9AA-AD5C-454D-8C46-DFAA12EC72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F0541-9274-45E9-A085-A6EEB1A5AD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9D14C-80C1-461F-BAE3-B2055BEAF0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322EC-21B4-40AD-BF27-73C928DB23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B1811-E5E0-45C5-8AD3-CCA8EB8E824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490BE-D4A8-4B14-BB50-9602932108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6A23E-BE30-49F9-93C1-3F29A3B2E0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F6107-CBEE-4CCA-BC31-A09CC4F6B3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CFB09-D667-49A9-BC6E-C355EA593FF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F3681-2E6F-463C-A295-906A812858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D9ECF-BD85-4B9F-BF96-F3A8758287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38887-38CA-40E0-A208-120DC74662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A375B-31F7-4F9B-9F47-D060B3EAAE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2FE5E-05C2-4BD4-8610-EF72105E56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12246-061C-45E5-81B1-CAEDB05222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4EA0F-EE08-4C56-B2EF-C9CA94FFA4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BA743-A49D-43F3-B344-42989531AA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FC77B-1E6D-4DFF-AAE4-499FBDDCAF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30EAF-63F7-4EE5-95A9-0BC4308D0C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90D4B-944B-4B2D-81E6-C639CA3610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E09DA-85E2-4E69-8E42-752FA36C79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50ECA-5914-414C-934D-5BF304F61C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8E417-F756-47FD-A77A-4D39C9EDF73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A81E9-C8C1-4CB4-9A48-9DA9454ECE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96BEB-6ECA-4A8B-ABBA-3B1616195D6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CF8F6-73CF-4272-9E8C-ACF9AC60F9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FFFCD-812C-46E1-8908-2520E32C36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323EA-29CD-4BC2-8179-BE84CFFE31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3B570-543A-4F78-B14B-08F49F9DA5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52F53-DCDE-46F3-BC39-8EC4712498F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B2675-6E39-46CE-AF48-41625E4C51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6C125-C6EC-4EFB-86E8-C64B350812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0F270-05EE-4B7A-972F-3B7F80AB9C8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7536D-32C9-461F-BDB3-8457A9000D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3E477-D06A-41FD-B519-4DC85EFF81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A7CE4-AC86-4197-8B4C-995ACF9016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23A9EA-637F-48F3-9F6D-247492B74E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0D7DD-6955-4C70-87B4-64BCAB9525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E422E-1657-4312-A54C-537583616E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9A3D1-C969-4C49-8A33-C7486F88B4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89453-0B53-4A2C-9817-0362211E55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B4D6B-EB4C-489C-8E38-D24E550B2A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17035-B717-407F-AD48-9F7DC6B1C8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C1D71-ED92-46AB-BD2D-15E2BBE816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726FE-CADC-4B5C-9C00-71269FFEFD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9A884-05D7-44BD-9B86-2FA57ED852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5B4DF-C78F-444F-89CA-D4C15A9D34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B56E9-6E86-4DF9-A469-E65E40CFC15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378FE-1375-4BF8-AE6A-3A3D2D3518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2B777-8016-4E5B-B38B-A7BE2E8452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05946-DA96-4DAD-8B6A-83409A2A6D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4182E-C82F-471A-B16D-6D227DA72E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54B0D-5455-4F30-B50E-48C16F2014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FA222-3731-48B2-95B1-E478CB298B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2792B-22F8-4FFA-A23A-9F7A04C3053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9ED7D-B16C-4BBF-A864-C3F3CAA10B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0228E-B8BE-464C-97FA-05488D3AC6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60E14-7A95-40FE-BBEC-3817E279399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63401-C498-4140-BB9A-C815EAF5BE9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2C8A1-D986-458C-92F3-5701201C10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91D2E-36D7-4C6E-BD85-C50125B033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3BDE0-86B1-4940-B5F8-69443C1CDA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CFD63-FEBA-4884-A4B9-20240FE2FF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8F411-3CC8-4723-9184-483201897D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2FC82-CEA8-478B-9ADE-50FA82F61B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00124-B976-4521-9620-5FF82B05474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4DA48-FB54-421E-9BDC-655DC614DBA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38E6B-A683-4F41-BE87-1C4D61FA56A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233EFA-5568-4539-97B3-EB10FF3B9A7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84885-F801-4B47-B829-D68C09B29A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51E16-3421-4D15-AA7C-5D4E6C1D13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F7BCD-DB0E-43A8-901D-866D18C09E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96021D-D8B0-443A-9946-95426F0FD9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8C8FF-56FD-45C3-865F-B0B7E20F12A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089EA-23E1-4149-B9BC-66DD2E44F9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0D06E-545D-4154-BC2F-E7AA6F4810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C9326-74BC-4342-BA5A-1C076CF21B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9E56A-C0AC-4B8C-A5A6-D7562B558E3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37F4E-5C3A-4694-9925-C06DFDD6DE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B21EA-0FCB-42EB-8DD1-4C383750BF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3F56D-576D-4126-9EB2-356296B4294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061B7-413B-454A-BCA0-BBDE059E13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BC4AB-A83F-4658-AF9B-B3B7F98814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FBC99-A2A3-4D49-A7C3-0055E3757E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2B3BF-709D-429B-9453-F73CCC6D823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6A744-B3C5-4CE6-9658-30971904BB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804DB7-713D-4434-8C91-050E2245DD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21ED7-36F3-48C6-A900-B2E6E5C528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5AEB1-B84A-4D27-8025-846B3E5E53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575CB-3A0D-4F4F-B91F-645A35F1C9A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DC023-0088-4413-831F-31C7C0567F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A7C39D-4546-4183-B4F5-87134897F41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46764-D561-4BD3-8C4D-371244C16D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3F306-C4CB-46FD-BEFA-CF5BF03997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38E8E-9954-4CE4-B364-32ED19AB4A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E57CC4-0147-4819-A659-82DAAEA933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8E580-785F-4468-909E-5C2D036A8B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84683-CCD7-4003-8F22-CD2A185EBA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ED097-3973-46DC-8251-CD707EC28D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78C52-635A-4F2D-A64A-4D81DDD5D6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8B504-AED6-49DC-B6D6-7D5B658E9F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3483A-CB2C-41EC-AC3B-655FA016A1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2720D-36E2-4198-A5DE-D7FE3934BC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1FE65-0796-4A5A-A28F-5974449815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9F143-5718-44B0-89EA-FCDF2EF484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47686-C6B5-4D41-AA37-9F5163713C7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C576A-89F1-48A7-8E43-BFD2BC9EE8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96A14-B358-4F23-96A0-CB5E0227EE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C20EE-2839-4E5F-AED9-9DF39AAF587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0AA0A-1EB0-44B0-BED9-6461AC3388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87731-5270-4827-A37A-9193049D5E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2D921-3289-45CC-BD4B-96770E5E04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F819D-190D-4B33-9B5F-F523F8A689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CF658-939C-4B4D-908F-FD2B5708F02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82093-4EEF-4E80-96EF-D6CF79F0EB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5CD6F-95D1-46AC-80A7-B76C9E6722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09358-137B-415B-BA82-B548E47E11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595E8-190C-4D06-BBB3-61D1A7DF64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6510D-E44B-480F-9D82-188E2FA1D14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970C1-F22A-4B4F-94F6-E1F7DE7AC3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AC25E-1879-4478-BC9A-8DFA506B67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017BA-BA66-4A96-A7DD-97C6D078CC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FD64C-AECF-4F92-B355-6BFA324EAD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1C931-7EAA-4BF3-A909-A305FB63FB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B5FA0-AB62-4C09-BD8F-D59140BF7A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35A98-41A1-405E-BC9D-89222EA5FE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A8B55-D042-4EAD-9711-24B845DFB7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94178-8D0A-4F03-9793-D3B909A721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42A96-01CD-426E-B1B9-8DE2962817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8F489-BAA1-4644-AD04-96E10C274E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BD0FF-5F4D-4DA8-88F2-8D555302A1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7A11D-FE00-4175-8FCB-ED32553DA3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8DD17-3D5B-49EA-8197-AB867BAB3A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680BA-9D49-49F7-966C-C9FBE2A1E6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54AB7-55A2-457C-AA47-88C62BF2793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493CF-4914-4966-9724-5A4C689A21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26E0C-EF20-4B47-90F7-08A4B40E8B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4A7FC-F910-4CF1-99D1-107402B379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D0D9A-D622-49CF-B790-DD99595473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24726-85F9-4E52-A876-4434AA867E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C8732-081F-4E01-9B2C-62923F06AE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045F5-A149-4B24-8D0F-7D9E21C1BA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C87C1-D688-4E8D-873C-82207F322B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B5DBE-237C-42B0-AA84-944146D51B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DF098-C602-4FEE-B920-CD5AFE1EA7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C9513-6B7D-4CA1-AA0F-527423EB73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71C50-F2AA-46FF-8678-3B757B4193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74578-0D14-4AEF-AD25-AC97FB1994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48F8D-C9DB-4055-8375-37F0EDDBA6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0896E-4CB0-4866-8DBD-061A68126D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F6538-20B4-4047-BB03-F5FC59CF34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50FBC-E00C-4D2A-BCB1-61BF6C56D4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CFA48-ACCB-4326-BDF6-1E8BDB49DD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A12E1-00BC-48C4-AB7D-2D1C126157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24B6C-7455-4B22-83E0-8BDE5969C5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D7BA9-8157-4197-8146-A74B7676753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74516-58FD-4DC5-9951-B1251E167C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0CA15-F251-4230-9031-6EC30AE27F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F8429-1E74-44B0-87D8-095102DC6D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3FE98-E6FD-4E70-BC1C-3FCD187F7A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61965-026D-4787-B2D2-F4F943BBB62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3D93D-9DA8-4BE7-9816-6F63B71489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96105-96B5-4A45-9A5B-18AE3FAE46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109EE-A914-4378-9021-C4F56A83CC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E6E73-F4D4-4DC7-B47C-E05DD4A673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07C55-4053-4DB3-B78B-C7AF89EFA6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1BEFD-BBB2-4912-ACEE-7723A5B538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D23AA-5454-4EEF-A7FF-4263FE1922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FB292-5E7B-4ECC-9A1D-C6B0F475C4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54FFF-B070-4C48-8F91-BB7A0BCD3E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8142C-3FF2-4709-A97C-D77267F0DE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89D14-E57D-4003-AB25-BE2E66F45D3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F0E16-11D5-4FA8-9F48-D988D69792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2EB5D-585D-413C-AAD3-AA42C5AB92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86353-0EF7-4E83-A2AB-3D6CEEADF2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0DDC5-122F-4F1B-8745-39054D5E34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F9BC4-D40E-4D34-B313-2DD528AED4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20732-C705-4018-A65C-5B12C1FDFB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6F8AF-40C6-4202-AA92-F01330C531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1EFFE-C211-48D7-90EE-1AD53F1F39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EDA54-2069-46BF-A220-F6C339BCFE5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86171-483D-43A9-B283-93C0F0C76C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ABC69-BB23-4CBD-BF1F-5B97B840726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7EA0A-2EBA-4498-9016-980CD987F5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CD465-4ACA-4797-B05C-CC434F1269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4DB46-7D72-422D-B014-909F31618A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C2FBC-762F-4BB2-81F4-E5124C006C6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85BDE-16FE-4F3A-BED4-3A627551DE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DE452-D890-4247-9177-70B2D024617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B08FA-D847-4763-A7DE-CF53AB5E8F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BBEFB-5739-4A9C-B284-521AEE6951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9D436-BF2C-4059-864B-7618F76AF1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202AD-4C80-4863-9BD4-1733BD5AFA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74655-8818-4EC9-A32C-73D883FC62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55B3F-EAE9-489A-9B6A-2F610575C9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2462E-4306-470A-8647-9D09CAACBB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80F99-9A19-4AA0-B367-6C79666FAE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89FF9-69EA-4F20-A3E4-C5D2FF5D28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7F96C-EAAC-4FE8-85C3-D6D000C0B7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0787E-0138-404E-A3F5-6B9A9A18049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2BA10-D5BB-4D89-973F-C58078AC98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6EBC0-1C18-4BC5-9F73-1ED68F12E0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68D7E-0FB0-43FF-B69C-1CDD23E69E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0C4D3-E892-470D-A8AA-76A07A6B936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4FB4D-A761-4C53-B5D0-0EB98C6969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7A32E-B90B-4CFC-B1B2-E4768FEFF7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FBBFC-42AE-4F79-BEC1-3DE0C1602D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942B1-07D9-46D9-9D98-F6219CABEE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43C34-DB54-4BA9-BC4D-DD228FD6561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5056E-1901-4774-A90E-A75151C8CB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14B9B-3F76-4675-9950-B40345AFC2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BC42D-2066-4390-914C-ABF1AC50F2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DD41E-DA99-4899-9FD1-A687C6B9D3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7080B-0D60-41C8-9D7B-61252527DB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CCB78-7039-415D-9B17-A2F6CB178E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7C755-D637-4F0A-8632-44E2F2A8C0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0BF81-C758-4DCD-B331-BAC34A0B7C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AAF2F-9D48-48FA-944F-C640C14345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9A5EF-A66B-445C-B787-20874BBC368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FED90-234D-4F10-B19F-58688C5567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15747-9E45-4B9E-AA68-1E8CF1F84E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E14DD-17AC-40A6-B925-ABF2791694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96298-DB1F-44D8-A0BA-9FF8D3D77B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5666C-8E46-4504-BF23-71BA5FDAD9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9E1F1-E42D-460C-AAB5-DA2821D2F67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C8200-4F54-4065-8476-70147A0741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3E8A3-1F23-4DBD-BAB0-48533B4E6D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ECDB3-F5F1-44E3-AE84-029A946459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35155-3961-4849-9916-EFBABA5FEB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38853-40BA-430D-8900-025AAE70F5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C7ABA-C182-474D-A30D-10BA0D5318F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4453D-0DC7-4803-A6A6-1EF760B571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33863-9B66-439E-8D8C-29230DBEAB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5B6A2-6351-419B-B50A-78E2D3CAA3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28880-C0EA-4109-860A-D6B7174BD5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CDD01-84F1-4A01-AB5F-AC4A53CF61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73210-E600-4EB0-B356-81B2C046D4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9248D-C796-460F-BC2E-FF6E03CC46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9A700-1544-461F-848E-875C5837E2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6234D-07F0-4B5D-89D5-6F97AD8C2E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A8215-0EC2-4C4B-BDE7-81AD7517D6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D8314-3160-4D42-935D-1FB43CDD531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15ADE-5325-49FE-ADF4-9D8AD89251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29362-F735-4364-B28C-2B9CE49D25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2775B-F881-4855-B923-B3B11BBBB5D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D3CBB-5A17-45FD-9B75-A33F0E2EA9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9D215-4235-4250-9063-475C3C24684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B220B-74ED-414E-86C1-5F2C1DB321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65DBE-146C-46E1-801C-5156B04147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CBC0D-55C7-4E8D-B840-4BF050AAC2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096EC-0E9A-450F-8FEC-48BCF196AE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93AFB-24C2-4812-84FC-ABA144A152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C63EC-F083-4975-9275-EE9C1A757C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956DF-AD81-453C-B4B6-5CC3CA1889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45DDF-F1A4-4A43-85F2-559E0B42FE4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C18E1-C2C9-4299-B701-A1D5FCB7EF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F1788-DA76-4A55-80A5-D436C1D115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57097-AF63-4CD1-819B-FD64F84D97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011E1-D413-4AFA-906F-7D147B15025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75F99-27D2-4E0D-A5CC-9641775FB3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DAC94-58E9-4541-B358-BB25BB58EC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68C4A-BD7A-4DFD-88D7-64684A7096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8897D-B16A-420B-B922-33119C7614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912C9-EFC4-4E20-BF2D-651A918981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BB00A-A4BA-49A4-A92B-50BF7009011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F2ABE-5C39-4A38-AB6C-FCF52FC294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DB2B3-4D8D-408A-8384-F3B00F4B157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9DB90-9DEC-4C43-B0DA-DA414B4FBF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DA413-7B0E-49B8-9182-F32656FABA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B94B3-0967-4A9A-86B3-8203615358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7E393-880E-45D7-9FC1-D847F3DC27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37EAB-7540-4A24-868C-4C746F59BD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B3343-8208-4D39-B793-B5BB72ACEC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B459B-97C3-42F0-9D30-5905F7299B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21356-3F0C-4F46-AC9F-2ADCDD8745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C83FB-9E7D-46AC-811F-90819BFFB7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1A470-2F13-4182-8D95-2242325634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471BE-BF38-4AE3-B262-80C199E17D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6C417-C3AA-4738-9308-1B209390D6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1120B-7E90-4ECA-B718-78A050C4D36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F304B-2954-4531-80E0-4C9D31724E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57DC3-E2E6-42FA-9102-D484ACEB04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77627-4751-4E81-B088-C65583AFE9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F77EE-698F-4E82-B35E-2B44AE7AAB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2542B-763D-46A1-81C7-948BB48493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A9D0C-3D63-4295-833A-93A88EC287C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60BDC-7C11-4D5D-80C2-25D92711FA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97C08E-97C5-44B4-9AC9-81113B33AF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07296-EBA7-46BD-8A52-F6E33693F4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161C9-1764-4CE0-BFB8-5495A206127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CEF88-83BB-41A2-9BD3-1E790E7EA1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B8FB0C-6AE3-433F-96D5-FE078EAAD5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5C631-2157-4865-837D-6FF5E81BA3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0DE6D-D041-4CB3-9B49-DB88CCFD57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F76C1-162A-4FB4-BD68-B99998AE4E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6E264-80D5-494C-8D32-8F6D0338E5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C2683-3186-48AF-8FF0-BCE6A2785C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9EB8E-114F-4CAC-9339-7DA9E9A4E87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5A9FE-BB5A-448C-9E53-04D815C941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FE85E-9406-4D53-BF91-3E97E6CD63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2E66F-90E1-4ED2-99C7-A0CFA81A47F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8EFD0-537D-4EC8-9344-6E4FE5E5CA1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12DC4-CA9F-4FB7-90F9-60AAA660BC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0365E-010D-4E4A-949D-53FF8D8B60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34E6D-709B-43E2-93FF-41D1C8AFC5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3CA6D-03A0-44A9-BC4C-72352DD084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953F8-0AA7-47FA-97E9-7802398F7F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B41A5-A58A-4632-BF50-B1EAD49127C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02818-D87D-42F2-A9A5-EA7341620C2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C67EB-55A9-4F46-8361-12B3A3B9CB1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52D3B-63F9-47A2-B8B6-47A8AE23DB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A21BF-03E1-4E0F-BBA9-3261A8E18D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6EDCD-81BE-4CD5-9FD0-3F878D4E93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01B56-A63A-43A6-BCC6-F4A3145C6A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7D01F-12F3-44E2-9904-BA1854FAB3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64EA3-65F8-4992-AB4C-B329930A6B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B0413-DF3E-4ECB-8770-5340604FBC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06A15-50BF-4902-9963-D85D94D378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E8A4C1-9BB5-4965-BF3F-63C17EDE836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ACE0F-EA86-4674-AD21-5C8E61C808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735D5-8AB5-4EFA-9CF7-16CB1A42DA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02D6F-81BB-4CCA-8E36-F3CC9D123C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13494-99E4-4B07-B0E2-CD37889622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70D97-E910-4251-8340-327105BA5A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47B29D-437B-4A5A-851F-AF6EA5AE73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35AEA-CDA5-4780-806D-C88E97BD37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5BEB0-6241-4C8C-A226-72230D5B1A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BF1AF-9C2B-476B-96EA-5E1548EAD3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9E684-B67B-4102-862D-242ECD8431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2D559-B340-48B1-BA4B-E761BD1FB4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85EAE-6EC6-4DC9-A60C-CF705E1E7D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9D355-F806-4F81-BEDD-A2B79C6E59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2B7E4-2947-4F16-87AE-FBD380D58A9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526F5-4C0D-4A3B-AB95-E9A6BFFBA5D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81087-47F6-4252-8272-E23617D2C0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5FBD2-8AF5-43D4-A326-7562A2AB35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D9EE3-7490-429C-84F6-35702BB0003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6C0FB-1980-438D-9580-6B967FEE13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31172-6E4A-47B0-906D-9566EE9691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ACED1-AC91-4E72-AC88-68D87C6C73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30AC2-42DA-453E-97B8-5D2DA9EF80E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E12BC-8D22-42B2-9C18-3F140EFA3F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26CF7-8DB1-4BEF-BF33-339AE373E2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92532-6A72-4FD1-BC76-7CBABAC40F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C0C41-829E-4180-9C60-5F6995C45F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B5E79-A6E7-4215-BCB7-EF602EE75E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FAC2E-341A-4D4F-8ED4-CA6BD3F207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4FDF0-C029-4F97-AC2E-4B9A6CEB10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9B948-F78E-425E-A481-BAF0453712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FCCE8-330C-40A9-A01C-EC9948F027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24426-5338-4234-8227-07FF9F35B1D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EFE6D-83D4-4AA6-B6E9-C20EA0B45A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CD192-D2AA-48D4-8A51-6F56C87D9D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A360C-35CC-4A06-96F1-C7305929965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1F13E-33CF-4502-A6D4-EC8B37F2863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438720-A5DA-49E0-BBAF-B7A57A6357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09332-E21C-4FF9-92AF-C38C12909B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661B5-ED12-4D61-9551-69440743BB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DB29D-32A0-475E-BC62-6DB563ED4A0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A9CCF-1B41-4AC3-924F-9B0ED2751E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84EA1-1095-492A-A62C-5B266A6CD6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9CC64-7A67-49C7-85CF-69C78F0AA2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25060-7FFE-4937-9D23-2E15F0283E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AE1C0-5214-4ABD-B4AD-266441DE94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90ABA-A3EA-4EF0-9A7B-3991DAC3AAC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C55D9-B62F-41CB-B6CC-9931B762D9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3AD58-CAAA-4313-9B3E-52E2DB5886A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B5772-4981-4AA9-A819-7D2D184683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82FBF-07EB-4BF8-96EF-E7091ED45C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BFEAF-1399-430B-B685-96FDBB8BA5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F3523-3C03-42D9-A1E3-3991C09A57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9B7FE-5C4B-4C67-9F41-6AC20A167D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374C5-CB37-4DE8-B437-810763CF26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C1CBA-3FFD-4E50-BE96-8F1E9E8152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69B4B-9382-4867-A4A8-E58ACD8E03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BF79C-2CEB-4C89-9807-2E2270F69B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58C3E-1861-46BF-A485-7B4CC13FCD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1B8A2-D60B-4553-B6C2-CDCE45C0A6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43FD3-ED4B-495D-A4C1-A2F926693B3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F0A86-A94C-4CBA-9046-528F82581C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FF28C-7A5F-4A92-9515-F96199EFE3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CD4D4-E10D-43BE-A1DB-9E978D7ED0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9CDED-689D-403C-8FBC-651535DAB9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6711C-037D-4E33-902D-DB3733D957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ADDDA-0BA9-487E-95DA-46DDCE61687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4C32C-9731-4760-9960-0CD83F469E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3A2D0-B24B-4E8F-A683-ADBD72DC8D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11FFD-90CB-4515-ACE3-DC7E58A289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308B9-74C0-484A-A3F2-2543751DD72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2397E-B904-402F-BA83-6296F33905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C35EF-2FAA-4111-BA7A-CBA37813DD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2F0D7-1204-4FF1-A433-73B2E02F2B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E707C-A49A-43C5-9407-FE3E62FB76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EF2A7A-78C7-44E6-AF2C-96814E9FEA7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06488-3C01-4C69-9CA9-A1447EEB816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8ED42-8535-47C5-A829-9AD2E3607A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D0DE6-A61E-4230-84A5-5AEB142A8E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82469-4A4D-4FAF-9F13-AC1061B6909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B3F2B-8833-4830-8AE1-89DBDD12C3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897C7-6B1E-4516-AF30-B970BA3B9F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A7600-C907-4FC5-BD4D-1F03316B00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B50BA-715B-4E54-94A5-DFF32EDAAE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DDECD-1F71-4BDB-BCC1-F6E842D55A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EDC4A0-1ADB-4D33-BA33-26773554D7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6E27A-5FB7-4837-A19E-A941FFA3EC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B8AE0-1BF7-4ECE-8BEF-4B2203D3EF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C47E9-3FA0-4B4B-8F55-5B61D5D35D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5ED81-E254-4CDC-9980-BA4859B8B1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5A050-F1F9-47D2-A972-A220149DA6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E10AB-05D8-40B1-BD73-A3AE0535A5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2CD6B-18C5-4480-8E0D-1860AB5F6A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35CCD-9B55-4630-B23F-9644DDB117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F79F6-E967-4599-ABF1-38E379A6FE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BAC40-69E8-4845-93D9-22975F0795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5879C-72AF-45C9-95FB-42B8A5D7CE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D576E-0CB2-4C6D-9D7A-32EADA3776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B4C8A-F7C9-4406-AA31-FCAC3B1DEBA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57998-CB42-4CA7-B50B-D49B8F3DF8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AD52F-D176-42C2-85F0-977A823E7B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FB519-477D-487F-834D-B7C66DB383C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A8680-F25F-4D42-B411-15DE7BCFF8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9E339-FAC6-4F74-A787-97A47E319B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A0910-7EB1-4363-8F8F-E86D65FBCE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B42D3-E96F-4C6E-8066-C686656A20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E9F2B-6BAF-4CBF-BE5E-5A536252D8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24A2F-BCD0-4D50-8C03-C892FC81C5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6CFAF-AE63-4E3F-AC49-BF29D56CDB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16CFB-40BC-48EE-914C-17AAA67C40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E877E-A8BB-488C-B346-9B72BF5697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52755-193A-4491-A256-E08FFA4AC49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9CB00-650C-4AA2-9449-00C4D7795D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4C075-79DC-4308-9B11-2B35451B43B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FD2F5-B0E3-42BB-8BF7-BF63C34C7E0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0A4E3-9323-46F0-8B51-CEF283FAA2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1D4EC-1A63-40E9-82A0-1164C90F690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6AA55-4228-4498-9E60-26E2963589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2CA55-5726-42D4-9C7B-BC191A6C2C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589CA-AD1A-4A82-8F78-078170A5C1B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ECA24-92F1-46BB-8202-C463AA3E9B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23703-4F92-434C-B1DE-986366801C8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14663-8D5A-4C1C-90D2-A52557CACAD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FFAE1-DDD3-4010-A766-0232B6CBA6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5658B-89F3-41A5-80D7-3C84586483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CD47C-4DD3-4495-B135-9626C200AF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E4284-EF1A-438D-8856-CD73AB2787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BEF83-61DF-4C0A-80D2-45A0D212B2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3B119-E694-48FB-87E2-DC8FFE55BC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BB128-8657-43A8-A4F5-670F2B5530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57EA9-15ED-45BD-856E-3352C4A16BF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EE8C0-3874-4382-88ED-A3588B16A0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2E6BF-ECE0-4926-97AD-BD7EB77F9B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1CE11-663C-411F-AD77-E3281C00FB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330D5-792A-45B3-98EB-921AC4BB5F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62BCC-665A-46A9-91FD-9C9D8268BB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63CF2-AD24-46D6-A855-D4782C7B2D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11F29-755E-43CB-9A63-FB9C7C1ADB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B8EDE-CD14-4CD0-AF85-0A6324DDCB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5E057-B01D-4DB3-9A65-D425242007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756C2-F774-4311-A967-B23110883F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FADC8-FE9B-41A7-98E7-1561832900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0B24E-573B-4FE1-91DF-E59573A9670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79D46-36B6-4568-A0B0-FD9432E06C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3DF89-0A5F-4056-A576-E9A53317FEA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7B514-9521-47FD-AAA9-AD269C0FE9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86071-6DC9-410B-8DF0-E905BD2E97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0E042-206E-49CE-A65E-957EA5CE0F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4DFE3-3F42-452C-9EBA-6D9CDC3AB3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9C41E-605E-481F-8D06-42A1CF09C57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5B054-0975-4486-B194-CF1D2FA7D39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DB8C0-D5D9-44D0-9415-064E22AA733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D02FE-6096-494E-83EA-B783C4A169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4445E-5324-44FB-8CBF-3F9D39C6E1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5FC60-9928-437C-ABC7-4CF23BB10F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35981-350D-4C68-9379-16C35684EF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61B60-AA8A-4C28-83C9-E391EA66EE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06759-C04B-4C06-847A-6484FEFD24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7580F-B136-4495-BA90-8EB822033A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3E95B-981D-40A2-A423-F59831619E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ECEB3-05F7-427E-8469-CEDFD9C3DC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0E9E4-333D-49A3-B2BD-7B2364A5B1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0C309-E9B1-4063-AE2B-C6D7970207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EF5E8-7099-4EDE-B5A2-09B304151D3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D335D-1000-4C62-9865-28A920E05A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26766-1ED4-40BC-AA48-7D9ED13080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4CA0C-2194-4D2B-9DB6-F74F5A47B6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1B820-5227-40A7-8660-E6EDC7A9842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AB8B2-21F9-426F-8577-269B921D9C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62B3E-5F8E-48FF-823B-0781DEBFDA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E2E6D-7CF6-48F5-8E0A-47172BD4B28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ADC8B-714B-412E-92A7-48A56D4576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810FF-CB91-44BF-9A5E-11F5935E9D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F2168-8433-4EB7-B2FB-733DDDD1B3A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65CBD-D142-407F-B523-77631F8B37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00DC3-0554-44E8-AB4C-226EF3399A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4CFB7-EBDE-4E1F-9864-88A0328ABB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64630-BA3B-4339-9044-F0161D37B8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7642C-5A2E-48B7-9163-06B8962B10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55A0F-61BD-43DF-A7A3-E3A0984BB0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D834E-D80A-4F24-AAF0-474D428AF30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43500-5C2F-430E-AD69-A915FEB252D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2EDCB-15A8-4683-B94A-7D01B2D14EF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DCA51-57AD-400B-AF70-051439B8A6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CB72E-F8E7-4AE0-BDDB-57515B11157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EA294-ADA1-4D89-B849-A29D784A3C2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BC468-9DB9-4D7F-8D40-E89C07A9F7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2F3F5-5C8F-49F7-92E8-B83A97043B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D04A4-6361-45A5-B96D-AFC5C63358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9A968-99FC-4343-AB4A-7D78C7FAB7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A073C-3BCA-413E-920B-EEA297DE9D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136CB-2413-4E39-9E69-F19352178D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E76B5-6A58-4B99-B863-845FE26501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F4BDF-97A5-4530-B026-85C34A0C0A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1DA4A-D7B2-464F-844D-3E63F983FF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B9E07-EC65-42D0-87C0-C42DC079E4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16B1B-3E66-41C0-BB4E-6D5753BDB3C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24B17-405A-41C4-BA57-42E9669EA0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0B11D-78F0-4BA5-88B5-EF24539E5BB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C0D7C-1E2E-4372-84E2-5381F215F1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2AF47-3E6C-48EA-83E3-B5C8517EF7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4D70B-B430-4E6A-8BEF-804FB3F17E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4C3B9-F166-41A8-B1B6-B757A3423EC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24DF3-EB66-4C3F-8200-0F646C5376A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7FA6C-1D5B-4F8B-88EB-ADA23D0C0D6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E1CE5-5710-4B5E-9DAE-77631BCA7D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F85CC-96E8-442F-B343-273FC2D4DD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9E726-CE19-48A5-9F14-568D6F1A7D0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A11AC-46C4-4D81-A239-F37C21E7AD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D4515-A3B1-4895-9895-B27FBC6FE1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DCC42-A12F-4CC5-B398-1C19A204ED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3C5C6-7A27-4C6B-992B-448CB1EAC1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08817-226B-4035-A867-A14CD1E787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F9655-9DEA-4EA6-BDC1-21FEFC99E0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E42D5-DA71-4BEC-9AD3-5F26FE55B6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D8A8F-22FE-40B9-BE1F-C90C4910F1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BF0F3-0765-4D40-8130-ABC103D6C87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7F8AD-EA52-40DA-B5CE-EAF6EFE1A1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0F089-BA5C-4489-8752-9BECCE1A43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45D61-BFC2-4CAC-9D43-D94381FC022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B3C1C-CBA8-4C3D-834D-56EFD6A71E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BEFC3-AAD2-48B9-9CA9-64CC033DEC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56DFE-346C-498D-A962-A312DA2018B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80E51-7501-4A66-88BD-4DE6F49535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56A3F-990E-46C2-8975-5CB2C93F3B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6490D-7E80-484A-841D-19B10867983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AB50B-31B4-4C4F-8F39-3A8E8747CAB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8B0D9-C9FE-4F2A-9F98-FFF88D33CB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775F6-F303-43DD-B9F8-160B7799CC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5589C-E180-47C1-B59E-371205210DE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F82B5-51D8-4A10-9E83-4067F6E30C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4CE54-9DEA-428B-812B-B24FF36624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81B33-15F9-40B8-9D56-EC7798D02B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67EE4-4A59-4657-A467-4C8BAA2F74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ADC9A-E357-4851-A917-CED6A4CDD3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8EB5A-5C88-4628-B4D0-A9E6D9A239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73A17-4E05-48DE-BD2C-DBFE97E168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FB908-1510-475A-9FE3-FDB139DE58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C86A3-2568-474D-ACC7-577B728D99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65C0C-47F8-40E1-B1A2-DE383465A7D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F4354-B47B-4820-A782-7A6A91D9185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B5EFB-3B5F-4AEE-9DFA-C0BA22CC2F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646EE-8D9A-47A5-816F-A09223C9FE9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BAD48-A367-4146-93E7-6A47B807C7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070C6-2D8B-4858-B8D8-FD4F03682D9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0EF74-DAF0-4F84-8653-4BB67D476A8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9328E-D1E6-42E3-8525-065F021BAC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8BB17-6668-4391-9634-9B8277453A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57245-7E3A-4508-B361-1646EC9C93E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FAB55-9F20-434D-B74B-3F15618FED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4BF8B-8A5F-4D30-BC1C-3045F4DDE2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17C27-C4CC-40B1-980F-4F96DF6E043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56583-689F-4026-BDB7-9DAE7F941B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A5282-F4E7-4FDF-A550-6C5379BE05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65568-9A90-44D7-B9B8-716FFE22ABA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AB234-C0BD-4766-85E4-E55809937C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1F491-1F9C-4636-87C5-BF74D9046E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AF6AF-2B49-40F7-A27F-B55743F1A3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54A0F-91A2-4E8F-B39B-904335F17F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9F5B1-D2A3-4EB1-ABE7-4E19B37594D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CFB01-19DB-4BCE-8AF6-6F5236579C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CB68F-C750-4D08-9257-209D8C81F3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F0585-3C35-4A1B-B127-AA58CD27AF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47AA1-7FAF-4997-B5D3-D6DA2CEE1A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BD676-6A5B-4F79-B107-2778005D26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F0CEB-DDB2-4531-885C-D8058664EF2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8AFCB-D28D-4BB1-B566-EDC33D90C9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649BF-7C5F-41C5-A7FA-95286F81DB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3021D-E4D8-47F1-83F9-B4AE84B3A9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AEFA9-E96C-4572-BA25-B5A0F823FD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9ED65-F0A9-4623-864A-BC087D493D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23047-4F0E-469A-8105-2F3D25B0DA9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4C3E4-71ED-480C-A9D6-BC6943F53EB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BFCCB-FA8E-4FA7-92A8-72E9315CA9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B1C3D5-6046-4E34-843C-5234FF6C59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35093-B4AC-4ED2-A6FB-8DF0598EE68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71B8C-F360-4ADB-A01B-EAA2A70B9B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7C098-BAD3-482B-B171-B80E8BF086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A016B-CBCE-425A-AC0C-68405AB3E54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D88DB-C98A-45C4-A167-8E39C79C72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7A073-8AE4-4C79-A66E-75C50B5C205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DE8D8-7735-4931-ABDF-8832A2CF16C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FBC20-07DA-45A6-A2E9-52041F6A995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09DB1-8C25-42F8-944A-910819E367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39022-3CB5-4129-A0F8-9653498C53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CE2C0-826F-4A61-97CB-13B8556E15B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59657-8903-47A7-93AB-F6BE5B5C0B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4EB80-C55A-4A3E-A53B-F22DF2051F3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0DCA0-3B48-4F70-9754-2910CF51D1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46635-3C40-41EC-B6F3-4ED0196DB74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8341D-0060-4A34-80CA-4DB9BE0D453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CE499-F196-4D10-B221-EE6FC4751D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3650B-A53F-48CD-A92F-384688D18B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69EE8-AAD2-4821-951E-4C54D2272C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9CEB4-8572-4E76-AE27-E0112D300B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44395-4F1F-420E-A0C8-203E01FC93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FEA4A-0442-4370-B860-37AF0676BA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0D1EF-12AE-407A-A92B-F399DE2B0F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70EA7-D2FA-4ACB-B12A-F5F5023B71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96251-F5C4-4E73-AA4D-CDF714F109F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275ECF-097D-478E-BEC9-00B1C52705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8E458-6E55-4F2F-BC43-7F4A3836831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37B8B4-0931-4327-AD76-3F3E616F1C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8C48F-6CD1-43F9-BF84-355D5E9387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61C79-3E09-4349-AACC-BAA913F806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5D2399-4E65-495F-ADEC-A2D21FBF2A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B2DF8-071A-430D-B94D-8E675E7C715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CABBF-7FC4-439B-AEA5-7265DCF072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C2717-9624-4265-AF03-C1850317E7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66E4B-1498-4365-ADB7-8D4BB98A49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76E52-091D-4865-B89B-F40AC5C3445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72362-6C03-4D23-8A2A-FD973E01E26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86194-6AB3-4C5B-8FA6-92A9336FAB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12BA3-3BF7-4543-83F0-8D9FD5D71E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92D81-1873-469A-B0A4-29F40CB707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6BD9F-9727-4A4C-8729-00CC113979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09553-7656-4B37-9CE8-A65A766B1C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61BD79-F51F-4DD4-97C8-D07976EF8A5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A7283-AF62-4AB9-9984-0E09D7CAC3F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12EE6-8BAD-44C8-A726-715524AEDEE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07459-A22F-4176-A492-3E17471893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FB596-070A-462F-843C-510B486D65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26D79-1FB6-47C7-871E-525BB7304A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3C00D-3933-4E43-A0B0-D42307967A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51A88-5337-44EB-BC2F-7E1C78F566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F736A-DEC9-4C58-A97C-F3941FE3B5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3EA9E-3170-4CDE-82A5-F8BCF808B3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4E92C-2B2A-4630-A8FD-0B82952CDB9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46A53-3FE2-48F3-87FF-41721A300B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2DC8D-CD35-4F35-8B07-E565B91510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238E2-CB90-41B0-B7C8-6CEDA63AC96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67730-5A46-4047-B823-B9A4A1BED5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56F9C-EAB0-4EB7-BF80-4520CD11E03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A959F-B108-4E5B-8833-D74989C73F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ECA4C-5B1C-4783-8300-F9FE37F723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40631-B6B0-4981-A13D-EE2C679AD3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9323A-3BB6-4440-9F94-D11B62479F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1B501-A52A-4087-A28C-54355131524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C8FD2-ACD1-4429-8F9D-4AF5CEC25DC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EC365-9BA1-41D0-943D-6F5125F5ED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003F2-1D30-4F5B-9671-6F01A6ACDC6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60F18-5E13-4A89-A4EB-D1760D87651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1112B-B8AF-4E98-B911-62A85717300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8DABA-0E87-457C-AEE5-F57409D8AA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BBE6E-AC50-4EFC-AB20-F93695A6029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AEFE5-6C93-4033-B244-324911C1F9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4AA6C1-6A68-4606-8ADA-375BA148AAD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320F5-3CF6-4F72-ABD7-7DAD0047911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C96AD0-FB15-45FB-B6C6-0CD1C8D0AA4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2DD59-7350-4130-964E-C0A0FA86A4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E508A-83B9-4AA3-A1B0-A561A8C6CA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89E22-B038-4F68-9F06-5D8F546824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6BF67-2567-470D-B3D0-68B2AF73E6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862021-4D78-4650-AFAF-85D11DD291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6F356-C8E4-4029-9471-8975C126EF0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C80D1-C001-4787-8434-C7A5948E75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7ED0A-7BA3-46B8-8951-667901170F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45429-F1E6-41D3-9B7C-2DAC1F03EE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14EC2-CE7C-4CEA-B782-BB3D8BF2FE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C4385-F910-4ADA-8D2A-6A12099820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564E4-CEAC-42D3-88B4-05451CD10AE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C50D1-0BB1-4551-9E1B-9ED5A0FB54B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DD024-E0F1-4BAB-B8E7-BC28D4BD3D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54D61-43C5-4A5D-858F-4F9EE5B667D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46760-C586-4137-BE1F-B633208D6BF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163E6-8226-4186-89F6-9793813D171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304A3-46B2-435B-8788-3BC00C2888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41EBE-777A-4268-9DD0-A011E86F3F6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6D6F5-BD95-43A0-A6B2-8DBA5B1F5A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7CA6B-9F02-439A-96ED-28354AE8AD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EA949-6461-4CFC-A9DF-FFAEF6E0FB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06A74-D3AE-4D78-A5F9-1EB69FF696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AED8E-6B93-4897-BA64-DC45E98D57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59B61-336F-445B-A88E-4FF3FF26A53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21A9B-6D43-44A9-A601-8965D66D56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9C356-3575-4B39-AA5D-1D508053F1A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E9F89-2E55-4731-B87B-6F6DD09871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3EFC4-F468-44C9-B5CE-4B48143BAD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E34C9-8E6E-4016-9AAD-4119D270D4B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38A8A-B75F-4DE5-A30B-9CCF8CE3BF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7677C-F65F-49CB-B483-3520B502E4E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ACD27-842F-4E63-8BE0-4C9C0BBEEFF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056B3-917D-43B5-9CBA-1B52F8B946F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615F6-76C9-4789-B6EE-5DCF0FCAAF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D2A64-0A7A-4866-B84B-A6ECB553AE6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9AB20-0523-43E3-91F0-4D118B3F3C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FBE23-66FD-42CC-9BD4-F67B5AAD16A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6567A-3073-4A23-9CB2-8A5BB214AF8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E4D65-2335-4D23-BCC9-558FD4E9B0C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5D4D2-E504-4B4B-8AB9-39643F62E0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163F5-4136-4D68-995E-7B5263BDAC0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55A7B-3111-49EB-9B02-A0B2EAE99BD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C449E-426D-45EC-9BC7-D611AFD5495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2DD08-C99E-48C3-9C1A-F55A69E5199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153F1-5DC1-4111-B07D-1F11F3EF1FD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A7C1F-FF95-4B00-9C01-74FFDD91D0C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59E3A-B64E-482D-81EE-801922E465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8DBE1-08F9-43AC-8E93-71C78B3419A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54AC2-AEB6-4539-8EB8-AFA19622452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47AF0-142D-43F0-BE66-48F3330CA3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FCA02-F32D-475A-8D35-443CC5E6134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671C8-1CDD-4A47-8BE3-ACB87DBE30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7B4BF-4330-4550-AB77-84AF56B421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1D796-F859-41BD-9C00-9F6A2108570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5F3D9-3172-4084-8FDA-B8EF202B3F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FEACF-112B-474C-89B2-09F394F3CDA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E63C4-0C22-4AAC-9DBE-D28BFE3AF29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AC235-9642-496C-95A0-373C4FDFEFA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24A40-EADF-4CF9-BA5D-8900FFCFA2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8A81F-21C7-4221-9950-D716A49FC78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44085-6D0F-4F53-B647-D26ECC1B368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9B08B-AF9D-41FC-AFFA-8C21066AFB8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E3C6B-3178-47A4-ADA0-5FDC9016B6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059E7-26E4-4564-98A7-29504856E5E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53EA3-11CA-4F4D-91B2-9A855709B4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4BAAD-F8B2-4706-A6A5-A9CCA6A1D56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F3495-A579-46D7-9B1C-E5AF8532C5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9B187-C8ED-4604-837C-FFBC0400BA2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470A9-4953-4F2C-8F82-58F90FF5C54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083FC-9B05-450E-B34B-2AEE37A5B9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18F08-8083-4596-918D-EB86734CD56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01285-F2E0-4A56-B5DC-B4C269836A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7AF48-757F-410F-896E-7E1880758F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F3353-93F0-4272-AF77-8239993FDA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D9C3A-9D5B-4EFE-BD80-850D84B33A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AFABA-1099-4409-A48B-1049127330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9303C-1AFA-474D-82B8-393720BC3A1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B4A3B-A135-4B31-A64F-B2248C738FE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DEAFD-95A2-4872-93DC-CC11717E7FA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61727-314D-4DF0-A77F-434B6B99FE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21029-0DC7-4B8A-AE5D-B211E741370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CA230-971A-44AB-9D41-999FB27836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AB55B-4AE5-4B23-8D30-26EB901545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650B5-8DC7-4B47-89C7-6571CAFDFCF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5367B-FAA8-4325-BB41-F01B8D35A30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C177C-7EFA-42A6-AF23-2A3D45F94A9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70CB5-8AB3-4EE4-9733-5F4036DF57E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3BCEC-4E8A-4207-B06B-D1DE0D7E3D5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210DF-9F8B-419D-9568-76DF298EFC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9971F-A9D2-4292-8AA8-C05D7022DB8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5398B-9BF3-4F52-8667-85263BBB22F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9AE15-BDD2-4A63-A075-6077FF66C5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7037B-828D-4E27-8D93-D9C8A731F5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CB66C-947F-462E-847E-FBD3EC3ABC5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BCE29-19CB-44E4-8CA4-9B42595DB0D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C0673-61B3-420C-9CFB-5DC5803094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3C48B-BD37-4BF9-A5BD-579B5334D20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D2D95-EB3C-4B68-B78D-F77DCED26FE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CB554-FC30-4E19-8D7F-BB1B50E7D08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22C81-D589-44D9-A142-CF2E831DD6C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4E39A-9A4E-4519-BF87-1216B37B0D6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B3D8F-E119-4507-9F91-1AA754D4712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0F218-4FAA-46BE-9EEE-B975D0C903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1658C-DE9E-4028-90B5-B1DF46D1F6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C8150-0E4F-4124-9C78-91C654779E7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9FB4A-92C9-4FA2-86FF-75748FF989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B3A61-B79D-4742-9DA2-C6B94FB6655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C05F4-20F6-4C06-BA7C-ECBD7F32783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E5211-3D81-4CA2-B8E1-80C792D141B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7DBCD-8D2A-4D9D-A2E1-CC131F18167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83305-56DA-41B6-956C-38D42E9702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5E3F5-DE22-4E35-9DFA-6B2968FFE5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34254-B0C3-48F8-A2A0-4F4332ECA06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F4588-E25B-4F16-B787-CCF0A6D9247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08A2E-5CB5-44C7-B816-CDDE7964EB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285DE-B550-4B8E-B62E-433940A094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C8215-60AF-42DC-BD6C-91F6333EB92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5AB43-4D57-4431-B7F2-0C49B93CF8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F77DD-C09B-49C5-B064-C01C8945A78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4B617-6894-435E-8B07-AC801A5978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A70D7-DE13-4A2C-9F63-DD6D11EA9D4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5503E-776B-4A9D-801D-4C01C5EBD4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0AC6A-92B2-4B10-BEC3-CBD23C798E4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BC2D02-8270-4080-9254-6A9B2700D3E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91CF9-F4DC-4FC8-AFB4-3EB1E75EB91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888CE-3985-45CF-9888-3DAFD2F94F7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2FE02-A40D-4E56-8CE0-53EA180013B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E2D40-684B-43E1-8912-3A307180EB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277B0-44C5-4566-9D56-FE3E9C630C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4D4BB-7D29-468E-AA7D-6FA232B8D6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AAF61-0F1E-4F36-B1D1-58486C19749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107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E8D06-2187-491F-94D8-4B7149937C0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2791C-8C26-4331-AEF9-31B1AB88C71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CFF93-5609-45F4-A0D4-62EC653EFE1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00E70-E9F8-495F-B697-2D6C28967D5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A69FC8-0FF2-4172-B6BD-65931BFCA2B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C30CA-9607-4151-B76B-51CD9B722DA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A92EA-FD5D-4D6E-B715-08AB2F786E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81BC4-C761-449A-9618-502B789DAF8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95383-DA17-4743-BC5F-9903BAF0794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648EC-ECFF-4C52-A88B-2FAEBCD55DF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6DFD0-11BB-4F68-AC0D-00349394298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2D24F-9B66-4794-A226-1653F1A7745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3B5AA-EF24-4F3F-B267-E85DF4176AC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9E24D-FFDC-4B96-ADFF-526226FBFF8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C4431-8532-4D4C-896C-D8DC5A6F4D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184CF-CEE1-4057-BE40-DE015BA22A6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F667A-76C4-4703-B77E-C7AF2699EA2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DFCA9-434B-4BAE-A25C-C7B46774D1F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0BB8E-07A6-4113-BE62-0AD5DE71262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E4769-55ED-4EF2-B551-AC680406974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6B0A5-976F-4476-AADA-FD9262B929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C38E9-C4E4-4DF5-A203-C52EDCA4BB2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D9441-47F3-42F5-846A-420DD091C4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1E0CF-B2DF-4FC6-B3CA-AE8E5C8AA25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1FABA-E8D1-44E2-B507-FBC19B876E2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2DB0B-18FC-455D-8132-237FA9FC7D9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6777E-57CC-403A-8B4A-5E9DEF55AD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688F1-8581-470D-8A7F-EA4E5FBCB83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0FDE4-A554-415D-95BE-0B794BCE757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A5CCC-ED00-48EE-BD62-92C3A1BAB1B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4F2DB-CF56-4463-BDE3-590AF20594C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2779E-CB45-4273-996F-538555F43C1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42835-BBB2-417A-9F5F-8929A81796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B49FE-4FAD-4F58-84CA-FCB49B20845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9452C-6202-41E1-8FFD-0612D7B1AE4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DF4D2-E1B4-4E07-AB7D-91DF2B1B3E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1A436-4E97-4FE4-BFE8-BF6E1D6AD3E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2F243-1763-4534-B5A7-D76BB796FFC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D021A-7857-4041-9D7F-E78E752BCB9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EF0D1-3278-4B1F-B811-F0775DFB83C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4BCC6-DC93-4A3D-94F0-AB6F110E9175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C8C61-C9EC-4F89-9971-8E7FDE5538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9231C9-931E-4098-9C70-1794418DE79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F3752-A793-48E4-AD05-B9D42FFB443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0D87E-D603-46E2-8721-5F7F6EF514FF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22A7D-0014-4992-B08A-0EF6940DF6A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0E12C-B7D5-4E95-B7F7-36FF0708AAA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73BAE-DA76-4B8E-8AF5-FA69F64AC3D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53A3E-8A1D-45B5-A7E0-E39FC683CE03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5D073-4D0B-465A-B89D-1D0453D4961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56259-8315-4E2D-83DF-4744B288715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B7959-3F13-4C1B-A62E-B67026795AF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7CF828-93EF-4B88-BB56-FEC23331D5E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EF656-FF41-4923-A421-078DAC1BD67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94730-95D9-45DD-B29D-964B8696C8EE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F2C45-9E67-4451-9CEC-59FAD3149F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A595D-E52E-47AD-B757-12731FFD4FE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47D0A-D3EE-49B1-AB50-6FD39F9BFD6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C8AC5-665A-430A-B847-AD1D956CAFB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8CE2E-4AFE-4860-B894-5AD4849AF0B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C973E-3498-4E1B-B149-78F9506D084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B92AC-BC69-48ED-8F76-64FDAF23C68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51144-CD90-4621-B62F-79C98273E25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4CD11-760B-4BDF-9AE7-6F60885BED8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B5946-FE50-4A7F-85EF-165C0BD8BB1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25A8E-887C-4073-83CA-79DED20143D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707B5-D540-4D31-AE63-E9AE0A03C7DA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F283A-5827-4A7F-87B7-486B416BEB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80C15-EEDE-4F05-B7BD-C38C459084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853B4-166D-4B6C-BD72-BC1A3782A0F7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1B60F-4B35-48F2-A3C6-6F9173EAF5AC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89435-FF29-4A37-97C1-16BC507C5232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276E4-E85C-458C-AF50-7C3C89A2484D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A9145-75E0-4AEE-B6FC-BEEC52B32F74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F6971-F9EA-4800-ADBD-6B777E8E23B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4157F-06F4-4501-8057-DCBD7144BC78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B3A94-08CC-4298-BCE5-B488FA860BC6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C7DCF-6AAC-4BD1-836A-F0DD30335FE9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B78FF-FFC4-4D37-8899-D56C4DDC53EB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10FB0-EEC3-4789-A819-AD74010E7CC0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3C7EE-E356-4D3F-83F1-DBA5C5203E11}"/>
            </a:ext>
          </a:extLst>
        </xdr:cNvPr>
        <xdr:cNvSpPr>
          <a:spLocks noChangeAspect="1" noChangeArrowheads="1"/>
        </xdr:cNvSpPr>
      </xdr:nvSpPr>
      <xdr:spPr bwMode="auto">
        <a:xfrm>
          <a:off x="14154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B064D-9162-456E-951C-AD4A1F39E44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866A7-09EA-4539-AC0A-9DC9E315F24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6DE43-D41D-453B-8AC6-4F729783DDB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80644-FD62-4233-A064-2AD3CBBE35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89D69-A34A-45C3-9884-3FA4D8C822D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D0B1E-6E31-41F3-9F97-B682B1A7071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60A3E-A751-43AB-AF41-85C142E2F6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171A7-608C-47A1-B311-6D94F17EBEC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CAB91-0B33-474A-A1C9-CA2B41A73EB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55DD0-A8CC-448F-8C2C-543FF2F642A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8846E-E815-40A3-942E-66682699749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9EAF24-5D1E-41B5-B50D-4BEC00F0744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0D924-5198-429E-A239-081514EA75B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0514D-8209-47C0-9DDD-A6D295CAFEB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551DD-E7F8-4380-AAA0-075E708C6BE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15222-0C39-4817-B757-4010490FB4E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2BA25-7619-4A32-8933-6C25845881F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8C6A2-0DBD-4671-A2E6-6886DAF8C90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CAAD2-8909-412A-AE7C-E215D8D7241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72A1F-F88C-4222-B59F-8C42094D645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DFFC5-2376-4429-9396-4A78BC51748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BDA9D-2DD8-4C31-9C88-E35DA37B6D5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6541E-8958-4D33-A421-0412820E097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DCF0E-3E00-43D5-B1EC-F6EE7ECE126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56756-87A8-4829-B88B-77F3FF4746D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E155E-64E6-4430-AFDE-30531338436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4C79E-AC77-42A1-93E3-2FD68D89CCF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389CC-F3FA-4B0A-BF14-06C08E6A04E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0C8F3-7186-42AA-883E-D88E9DBA016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6F5D6-0790-46F5-B2E2-27EB8B0BCA5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26583-2ADB-4A13-B297-87C6DC674F6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4208F-E4E2-49BF-993C-0020D92C281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3BF69-ED42-48E1-8929-D7A631EC13D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EDCB5-EE2E-4ED4-A949-279F33552B7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B85EA-564F-40D1-AB31-2E137D3C266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64BD1-C092-423E-A80D-699DB14E4DD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85D9B-B279-4770-A840-D123C97EFAB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7E3E8-7F7C-487E-8376-F07A7B466D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7D2F9-1AA9-4247-9D73-EA7F403634E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9F8E5-18DA-4794-ACAF-DF7D493E85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02453-82E0-45C3-83F0-09F2CCB0EC0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DE071-1375-46A6-8F86-20E2930B41D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79316-AD18-4FD6-8A6F-4A3809B92C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C1F77-95C7-4BF7-81B5-71E5DF407B0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3157C-C7F1-4DB4-BE8C-5CEA6D8F7ED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DF5EC-3C55-4F5D-BDFE-0F44ACDBB7E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27C3F-270B-42AB-89BC-B5A5014E1EB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C56FC-6D45-438C-82E2-C767D5B655F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5ED69-8CA3-4B8D-80AB-F5C29AEC79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28053-2DD9-438B-90E8-FDD2513ED2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27E63B-30BE-4DCF-A8A8-0797B1D14B9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7E0FE-8604-45D5-9236-6C2CE6B85F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443EE-4118-4174-AB10-11513E88092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8C21F-A10A-4AD7-897D-36062B30EC9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100BD-81BA-4878-8210-AB58C96A5CC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5EEDB-41C9-456B-AC31-6DA6DF0606C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01492-B0FD-4D87-8DBC-DBE22DAEED4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12E8C-9F33-4205-93CA-9F915302D03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673B8-4F13-43F3-A6A9-A633F0AB42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50EA0-5744-4ED2-86E6-7DB08764DE7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442AD-4E54-4E00-9C73-3CF8BFE7A95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503BA-00CE-4F09-8F30-B633BDF1BB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7A65E-C309-404B-A342-0DB8E58C193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79A6A-7E65-4226-8BE6-9B77659364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F31EE-090B-47E9-A2F4-DB7D245035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47196-2A77-4AF0-8CE7-6197588294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20530-319B-4428-BE42-CEE67734F01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EAAAC-F694-407A-BA6C-7E959A903D9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C5C04-648F-44DE-8753-E729FF26F59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F18B2-9538-4140-8DA9-831C7A2EA17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701C5-6CA3-45C7-AE03-B945A2A8432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5A213-BFFB-409A-BCB0-BFA0350CD65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FA276-1BDD-4285-ADCE-744B9F4B49B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F6795-E7ED-497E-948D-FB5913FDC4A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14DF4-E9EC-45E5-B891-96FF5551530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1BBA1-8502-4D75-B6B5-BD353951523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064AF-FB60-4185-A32E-682EE9E5C79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E50B4-A49F-4E99-86F0-5F3281548F8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0CF3C-D0A5-4EFA-BFEF-F568BE644CA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62F79-214E-4115-BB72-8DF6CA2EC95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EE8AD-65E4-4C9D-986B-3436754B1EB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03893-38F1-4316-AF98-B1CEAE9FEB3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A3116-D505-4F37-BE0B-A40D0DDFE79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F6F7D-A9AF-425E-82DA-B2990845E96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08E8E-9EAA-40C1-942D-145C5310DB3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3B48E-919D-4768-97BB-8637AF0F26C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49CE7-A89E-420E-B19F-7090D0FE8FA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AE07B-A2DA-4804-AB11-45EC7A8D3DC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95F4C-A388-4FB6-A530-A47813C5270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6C21B-64F0-49D3-BC6D-31B24573063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9F8C7-0D25-445A-8551-6C6D1282F6E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E117B-B6BA-490E-B528-C5218E8E28A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DDBBE-12D0-4F74-87A2-092E4E185CC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E406F-4FCD-4F68-A4FF-DDAA94D2B8F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9F48A-EAE3-4917-AF12-16E93E85F81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208B2-9FC2-4423-A42F-E739E612FB0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B17759-0332-4161-BC25-A5669422136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CCB7C-536D-4077-A43B-93F8091469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9EFA7-0EE1-45BC-8903-59CEA1FBA01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1C7FE-8C2F-4043-A15F-7736A9BDC23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9E4D3-00C8-4FDB-86FD-7ABD3965048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62D58-A1EA-42ED-BBBB-8AE274CBE22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13591-C2F2-458B-8971-0B6B7E007B7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1DC82-8CA6-4058-A7DC-81513BCB3E2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73ED0-4536-4909-BD67-8F522679EDD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E4C2A-998A-405F-B17E-56F0FDE7012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998E7-4684-4743-981A-E1EFC6FAB19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84EB8-2615-4322-8E5E-34E4DD38396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13CE2-E233-45BD-8475-7171C5AED6B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A93BE-82FC-43F8-8DC7-3FAD54DBF3C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ADEAA-A99C-44ED-A6DC-4E166D9D272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1700D-CFF0-48D6-874B-0F3A73FD9A7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9EF9B-90F1-41E0-AC95-84718EC874A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84F1D-C94F-49A8-B880-550ADDF8617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CCFC4-102F-4AB3-8C17-CE678739D08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9F24B-FE42-4942-ABD2-F78F40529FF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CECE6-8588-4AA7-9A94-1B3B6F8FC3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ABD40-1913-43F2-B510-9C6296C1316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F7D9B9-F805-4009-8A0C-2751E115EEF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13CB3-D01A-445E-9406-7787259F4FB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B2B85-26E6-40E4-A5B3-93895FE5B93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7B7E9-2F97-4813-BF74-F28DDB2CE06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C96D9-266A-49CE-A20B-C7D40B0A9A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82149-EAF4-4932-AB44-DA1D59DF783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7C461-0690-429C-8B01-40DDF80552F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6DAC5-AB57-4BA8-9329-BF506D4717D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7E675-4F05-4C2D-B74A-D8BF67C1333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FC056-E102-4992-94AB-EC5D73E8245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2BA3F-8E89-4D9E-B543-719C2944B22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8FBB7-7EC2-4638-A3BF-50A8F110A31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07441-A4B6-4170-A49E-7D1D3A0132C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D9AB5-3C0C-427D-9D76-FD86A867B81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DA501-BA5D-4DC7-9A4B-E3D3108FD66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C064C-E451-4059-9F8E-D363AEF8C99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A6330-3E01-4A94-BF2F-302E9EBBBA4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CC8E6-290D-4BDF-A1C0-3C84AB075B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B7314-D58B-4E88-ACAA-35844FFD0D6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7D8B6-100D-4CA2-B132-5C3FC87F77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E50B9-A724-4406-A335-D7C44B1DA6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465FF-19D6-41A2-8091-ADD68646365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7134F-9360-48A5-BA7A-6BD7CD7CBEB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11459-290D-4536-9C34-21763C515B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92ACF-EA74-4449-BBEC-3CAC3FF5F11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E0E7F-3F12-4D0C-A7D7-F9C876E619E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1E0D9-A188-47C1-879A-AA72C342023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5570C-8838-4F55-B2BF-1694D5C5EA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FB2F4-4CAF-4B88-91D5-AD5E0E38D56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65201-6773-461A-8B09-87B4C4FCFB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D0D56-5B8A-42FC-BE09-3A047307B93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B46E5-7AE1-42E7-87E8-DFD40844D6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87085-B496-450D-8DF1-CF7B1D6DEA6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AED4C-7A19-4FFA-89A5-B5108ACFB11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F3180-3D55-4F70-8910-10B46BBFE4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BF6F1-BA6A-4771-8B30-EE797D9DC3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6FEDA-DC63-4B56-A602-CB6EF28592B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18DC7-0045-4380-9A1F-F754140EA90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C39A9-8781-45AA-B8C6-1BA0AACCC1E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0958FD-911C-4E91-A2E6-4CB79A6B736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D5F24-7884-4D97-9ECF-DED0E88223B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732DB-7651-4795-B868-91CF042D7E4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4E359-2AB1-4543-B0F9-A06284A65D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F17F7-BE27-4241-BF19-47C1516839F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51CF9-CF6A-48A0-9260-D8A50984D2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8EEB8-05FA-4ED1-B094-E8586CE2064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CA6A48-1670-4638-8A2E-C0AD2287BC1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10836-D903-4A49-88CB-70B42AAC758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3D51A-BFEE-4706-9B2C-541D6A1CC8F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7534D-6FC4-4261-B93C-5D75F97009A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A0F19-C5EB-4D42-8D70-2A24A5610FE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D6ADC-6DA5-4B07-8771-E1811984521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D83EE-3C71-4AFD-8D29-4462E27DA0F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5C3F37-D327-4B27-B5A3-0B4D3DCA349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71550-1CE9-4F6D-8F72-8F5ED8A9E5F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10A9D-32CC-4F6A-AA36-D03246EBF14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F4671-6DD5-453D-8063-CBFA640889A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1C500-7A70-4FCB-80CD-776F6198EE0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BC9F2-B847-45F7-B749-496C84E29FA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73D20-6FE2-4C0C-A7DA-8484EB386DA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6AFAC-5234-4B7B-B2AD-B4946321B46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178B1-3654-46BA-90C0-182AAE006E8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7A1B4-5838-4931-961E-D331C780B64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30EDD-22DF-4BC4-8082-2A43F435A7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86ECA-1A22-4DBE-8DF2-951D5CF93FE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4BBBB-35E0-4F85-BF4E-202D1F710DB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DE2BF-8958-402E-BBE2-E4D75F8C210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DB757-E8D5-46EE-8686-07086CF0F08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9240A-3DE9-474B-8A44-8E8B01845AE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14A01-E078-4786-B794-03905BC6A91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98B5B-4CDC-46BB-B867-C14FB70643E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EE645-D2D8-43B2-BF37-8AD1120D2C7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18A78-EC96-41CD-8A79-9C2B762DA4E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91869-D4EB-4223-838E-CD34C788D73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BE740-87E5-42EA-8CC6-514B4A79551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26743-AE4D-484E-939B-89F2F43E0C1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1EE695-5000-42EF-B3D9-4FBA4498E82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0EFE2-65B6-4918-968A-4D8575C1EDB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0CC67-E517-4CBE-80C6-5F823CA600A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6DB1B-DF4B-4F7A-8C73-9659E1B2511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105328-9305-4AC4-BE2A-481B323FE88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05056-94C3-48F2-AB5B-34DF0321A4D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A7D64-438A-4DAD-B931-9F0D107D20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362F9-3C35-44FE-B797-801C858514E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9E389-B06E-4ED8-AD12-BCFEDBB57FB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69794-B441-4783-97A2-666FE6C68A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35948-7957-4C08-B101-1CD9F7F48FF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DD8D1-0B7A-48CA-8EA3-043E0D0D7A9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7712C-B82E-4BDE-B6D5-05430FBEEF7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F7837-8A12-465C-8CF8-B464E9F93D8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364429-A7D0-450A-A0CB-B15657A74B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2DE975-608D-4F3C-B59F-961149AEA1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B1895-115B-404D-B9B4-56B96EA713F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43CA6-D4FB-4763-B6ED-884D0302DD9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3B646-FBF5-4596-84C3-789BF39C88C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67693-D904-4AA1-9433-660A194ABCE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0C17D-1FF3-4912-B5DB-7C3216F0A8D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181F3-B554-4AA9-AA6E-2C8ECE4E639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A0F3B-EDF0-459D-B6D1-B89222B77E4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C7622-5B3D-4F56-97D0-0737F8E9259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D77FD-BE7D-4D94-90E8-76F663ECC46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526A4-C6D4-4D99-A685-1524525A0D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A8D5F-2C8D-4338-BA3C-F58A9C418D7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25038-D87C-4ABE-B00A-1ABDAE20F0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AE06C-0DC0-4EDD-82D5-31D2C915085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233F4-C6C3-42A2-B07E-49210C991CE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CD471-521A-4251-BC73-6A259CB159D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11ED6-13F5-4592-B2CC-F6A01A02727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E0EA4-2279-4286-B46A-CCD994D27FA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4DA76-4D30-4242-8ADF-87DB9B48842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A71CC-BD5F-4463-8993-1E6246A42F7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D82EF-7264-4ACD-95D7-CD1F336AE4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5832C-0F48-4690-A550-F7F8E1EE994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BCF0E-777C-4013-99B2-DD7B795C3D7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810DD-3A27-46C7-A59B-2774ED9B9A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F38DF-1890-4FC8-8354-2C150B4FB5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736C2-82A0-4B39-997D-9C6730C144A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0B31A-424A-42A5-9EC0-0BF5068607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59C15-C3D8-4246-B346-512530881C3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A8652-77D1-48D6-BF10-DE9F67F1E46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1160B-19B2-46AC-80C4-65E22E1AC8C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960F0-F0CD-41DC-8359-76B761AF4EB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FBEE6-C656-4142-A42C-E86449557E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4CB04-D204-4D9F-880F-4BF9AC33906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3EC22-0DCA-4FF1-8CEA-12AC7A46889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C36A0-4191-4597-AF8A-72798D6A0C2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10A43-6352-4781-AD5B-E81FCEA0849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81EB6-327B-42C5-BD47-291413DB34E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B230F-8489-456D-9A44-5E99F82740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1D336-84BF-4A96-B51E-6A38A80A37E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0545B-7A6F-479E-B792-5DFC848543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47EFF-DB7B-42A7-B883-F8BF877602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D5A34-698A-4AB3-86DE-2CE58B74F7B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86D4E-7D57-4AA7-B00D-95351DC31C0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DA1FD-60E9-47F9-AC1D-0C28CBFA0CB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F839F-05D6-436B-A9D5-1A67F0CEDD9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CFD77-7F49-40D8-89CE-81CFD8C1C62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C610B-16DA-4C97-96FC-40FC5746B21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4BACD-2E46-4CC8-8623-5B92F8376BF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CA963-120F-43BF-BCEE-FE3F4F8C3E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BDC7A-857D-437D-AF88-934FD443633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AC0E5-28EC-4CC6-9783-593258BB3A7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54634-BDFF-4DC1-8D77-C67DAE6B4D5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47D76-3226-472F-8C14-0CA8909A9D9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CF9E9-E3C7-40DD-9334-8A56A530C84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8A272-F53E-48D5-9C36-7C4ED202838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42715B-51BD-4712-9843-AB79D91E2A6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9B820-612A-437D-9FE0-EB947144DB9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FF9C6-BD11-446E-925A-40AFE8E939B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DE1F2-2B1D-496F-B032-120E0FA589B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AA1B7-1734-4AF0-B395-31E76EAFE06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92EEC-2AC7-47AD-AF9E-6DB51EB5AD1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5F5F7-EEEC-4D61-A88A-DEAE1BD3C1D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B8A35-B59D-420A-A4B8-3BA50262124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704D1-270C-4896-AD9A-AB980D0C195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D60E7-A362-454B-B430-8ADF284931F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BFDB7-4FBE-4A5C-B5D5-53D4808E23B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8AD19-03F9-41D2-9330-C0724F01D06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CB04D-46B7-4FBA-85A5-C61ABD25E08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A4CA4-FDF9-4D9D-B157-1603917A2F1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D1A22-B438-4DC9-BA81-AA2080BBDC6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92FD8-D250-4BAA-AC34-99B501EDB0C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FDA82-16CF-4BFE-83CC-A25903E474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DB6B7-89CF-46F2-94E3-8368E4625FD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CCA2A-03B2-4DE9-A445-46A679342BD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02BD7-A1F2-470B-B225-F838B31FA0E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BDF6A-4E65-4FEA-962E-5916652D376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E5F83-9D9D-4744-B5E0-2BFB434723A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DE8AF-5373-4304-A10B-6B211D328E0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A7F57-A04B-4A51-A579-FBF4D7123FE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F7421-E87A-469E-B7EE-01A6D33C777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3DD75-174F-4097-868A-4B0C964EB06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D2AF1-386E-4DC2-B84C-3DDFB77A763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F6FBEF-B8D2-4523-89B3-9178522A0E3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26EBC-B521-4053-A094-58B8C2480FA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C0337-1A01-4B02-BD14-14639F7EC19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FA8BF-5C78-4A4D-B104-5D7FDA1BAAC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52FAA-AC1A-4C80-900E-A1076A58A9B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3A671-A226-4CE4-9BFB-35C5E6100E1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1E06C-3C1B-4EE2-AB91-CD53E4435BA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7C5EF-6699-4DC3-BC15-3ED17362ADC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71C9E-563A-48FA-8004-71DB99FE82B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9F914-85C7-43FE-99A7-2B8DFDF832E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C0716-D38B-4DB1-92A6-B0488E3269B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300CBD-648C-4AF5-94E1-CF496DEB652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7FC8F-A241-4F31-B831-E2519A7176A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A6877-72FE-4962-B40D-1B740CE2D78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F2C8B-426B-491E-8E65-B5E11C47116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3C5EE-81CB-4CC8-B1BD-14AEBD26AC9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A5E6E-853F-443E-B84C-AD7C7A3ED87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95D5B-995F-4350-89B2-0057FCA5795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1523F-F19A-4D41-AEE1-E55934D5205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63DDF-EA0F-4165-823C-4EF162F6FEA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01371-95BA-4989-B310-159F9FB5CFC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718FF-7752-4B9C-98A5-AD63A171C25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3F850-EE6B-4061-A26C-702E1F0A1A3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D2A79-5326-4A7B-BB5B-C2F4DE8F05F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2CD97-4ACC-48BE-A7CC-C2547CB6F8F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761D6-4043-49A1-8DBA-EF6CBB7B803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2D804-AFF9-437F-B1EA-7CBF15BF23A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CBB1A-7573-4E68-BB51-0D4D79C895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4D290-184E-416B-AB09-65388BB5BF6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7EB5A-51BC-4AE3-A8EE-D3B8A47788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DD936-5EB4-4E16-B90E-8DA48CE8342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0362B-1BF7-488B-91F0-717324A3D5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7E9DF-50CE-4CE6-B7C7-8934F5DF3AB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9FDBF-1CFD-4E56-8F16-0FAB8156FE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D0876-A4EF-431C-9B65-7B9C968C78E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3B1A7-5DB9-4327-9616-D8C1BD5454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2CF88-D7D0-43AF-8AE1-10814BD037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6AA05-05C1-43BE-AD23-14E30171882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FB0AB-142B-45A3-BB10-7BC28BFFF55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2B590-A120-4B2E-8E5E-E0B710D501D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A2635-1455-4609-84DE-A75E743660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08880-7E5B-4E77-AEF2-E898F36BE5D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9BF19-8BA1-4277-A839-91E61405ED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A3DAB-5BBF-4206-B71B-F403BDEA469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5761F-5E4C-40D1-9758-5C843F2445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89899-79C0-4C4C-9FBF-B4D6710C354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DF836-C02D-4DE7-A6D0-315EDA9360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BBEF1D-D7A2-47E7-8DFE-318BEAE79B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B56D5-54B4-4B76-BF97-7A28A2D4891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F0E6E-8916-4F5F-BE3A-7614C8F374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EC86C-BE1F-4B9F-8D04-4F9744A245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4920A-519B-492F-BD78-D6E24137D50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02A01-109B-489F-8A2F-2F177A4BEB4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52E61-A545-467A-897F-F7C0988BE1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7EB1D-C670-4564-8D84-36300EBF18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FEC7C-4A13-4ABB-91E8-7F97EB6971A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702F2-BDAB-47CA-8C82-74640BFBE91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89BA8A-5504-40FD-A0BA-F819C85947C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F5C2C-2560-426F-90E4-CDC72D59C7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FAF6E-3393-4875-806A-52763B35D9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41C6A-0353-4387-9AE8-9A37F80006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5FC44-063D-4D89-BEDD-ED6C658B62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883F1-5E71-48C9-BBF8-8FA78375DE7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A8405-5A3E-4183-AE5D-20340D1094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1FE70-382A-4946-AB8D-BBE1F533E8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BBA51-F548-447F-A870-D03A2615058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D6EC4-CEFC-418B-8283-8C59FDCE9AC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38369-5604-4437-9219-3169A614906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0A75D-A665-4F75-9E20-BEFFF055D1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1962E-27AA-496B-A46B-58BB54B012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8793F-CF0A-4443-99BC-5A4467F493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1A6E6-1443-4F93-BA5E-C6A062F8E2B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F190A-EF7F-433B-8C86-5F507F061AD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A28CE-2396-4616-BCFA-E6898B8ABF0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65D3D-42F3-4B25-B55F-0E384A36679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B3EC1-324C-438B-8DAA-B0907F8CFE2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BBFBE-1E86-4678-BA4F-43821128E81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A3BAC-7DF3-472E-8F0D-840C7272758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D6334-B295-48EF-BCCA-6CAF29FD75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A7F53-F16C-4B54-A602-E1746165D6D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F4E3F-3831-4276-A99A-6A5EB84D0D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42A1B-FEB8-4EAB-90CD-EDA60AF301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DC98F-713B-4138-8DF1-0B3D1CFFC6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F7563-915F-4C61-BB95-BD6AD37404E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D240E-53E2-4456-84F9-24FAFE10FD3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B9A95-0809-4DA3-8142-9D5F664491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CDCE6-C197-46EC-998A-F0170276DF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5E788-C821-46BA-8F98-C64A655F05A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3C9E5-DF66-401D-9DE2-1129C35D56E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A75A9-4819-4E6F-AAF5-5F064E72C1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B2150-7ACD-41F1-B5AE-4ACE64BE90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6A439-958C-4920-AAC8-B369910AF1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D43FD-DFF6-48E6-8A66-6C12E7EBCA5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AA238-00C5-4F32-B911-F81E5978C0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902A9-8718-4ED0-96A4-576353ACF2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78029-3FA7-4005-88A6-1269CF18BEB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F5A41-002F-4314-952B-E8818639BF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108F1-1826-4621-921F-0BFDB8E12F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E81A7-A1B1-4E9E-A4D8-1FDDF9D56E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DD907-3A69-45CF-BBAF-DCD63E45D2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F3E1C-196B-426D-B56D-D8CDD87A2B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2ED1B-A24A-4E30-84C3-1DFBAD5707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D2A3D-49C3-4AF3-887B-6DD0C2F781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3F758-1769-4833-9C84-C85B94F12A4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13D2B-BD7D-41A0-B2DB-3E14ED6C1E6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B6923-EBEC-416E-ABAF-B6FFA78C19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F45FC-2889-4882-842F-9BD2E3BCFA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D6058-70F1-43DB-BE5B-E587419F04D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4B49D-79AB-4780-B94F-49E47BBE3C8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D8300-FE36-47A5-8ED2-A1E487CAF79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812AB-C611-472A-B73D-E020209D632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EF64F-A31A-40EB-BF34-DE55B3E4FB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27B2C-E762-4E0F-AA56-EAE6A89C05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8F0F1-6437-41A2-B01F-D8CD95C5E07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30CBB-0D53-42F8-8DEC-C47A5D06619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D9BF7-4764-4A46-B928-13954D8D96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B4584-94AD-4CD0-992A-A9FA93F3AB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8CABD-A2F6-47FD-9865-64DFC1B9C2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E28C1-68AD-4E50-9EF0-6249021201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076C8-1A20-43EA-BA96-0D1B64FA6CD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7A5FD-0403-4181-BC96-0DDA9CC6B44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28E00-14CE-4F74-977A-5819748E2C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6C293-CC31-4FD8-AD33-51698D996D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87834-DCA8-4AB7-A259-07AC063851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414E1-17F9-4BC2-B5AB-76B0F3F124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859C5-2ACF-46DA-A39A-0AF762ADB92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239B3-19A0-4D88-8689-599B94FE228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B6178-4C64-4675-B806-0C41A1C87B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FE7A2-DE6A-4B84-A155-C9E877D061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6F3BF-E79C-4F19-AFB0-864F1E75FC2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ACA2E-3071-4EE2-ABB1-629A29E1F6F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A8503-8192-4A19-8990-A2439FE813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FF743-7D5C-4CEF-BFF4-E35AC7756A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C4A42A-D7ED-4244-B23F-02DB8EB2DA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47173-09FF-48E3-865C-ABD31D3FC69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544FC-FBFF-4EAB-9053-70598C15A4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83C15-65BD-48BE-98F7-26D286478A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12F55-54A1-434C-B076-4D02E6C99C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DA73F-DB28-49D1-B7C3-67EAC3DEF3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65974-799F-4B98-8C94-4A18463A10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7C1D7-BCBC-4098-925C-90BFF11565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7FEAF-CC78-433B-BF02-5F0E715AE3F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C9B8B-C6D7-4884-BB23-E24656659C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52727-E250-47F4-8268-B28DD78A2B3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C1985-3C67-47E2-A83B-00A8CB549A0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DC5BD-A947-4A99-A7FE-583168F835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1720E-F1BF-4729-B495-42B4CE5C90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C0B8A-420C-4F09-B41D-BB57DF205F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08405-08BB-49FE-AA39-32CFF784E0E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422E9-0F6A-47B2-A08B-17FD526D3B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A0676-F266-4D6F-B708-D12306F81C3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E51BC-436A-4C29-8EFC-61AD8AD6CA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B5ECC-D66C-4932-AE4D-71290789DB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F8176-EB53-43F1-9E44-57AEC9606E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B2654-11BA-4C16-82B9-F003F0001F7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E3D77-4490-4B37-A6EA-C0F9A5E5DC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8C386-3237-4A16-ACC8-514413B102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90EEC-2FB4-40B5-9EF3-4DEBBAF8429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D8F34-1C68-4226-8450-C11953C360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F4CC8-71B9-4D7C-B256-A15C39837E8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F2E30-58FB-46BD-A222-606DD53357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0D3F5-80A6-48CE-B191-5ED2E0CD74A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061DF-7837-44AC-A86E-080AB1AD71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C8BC5-3179-4FD3-A3D2-DA90CAE424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CAEB3E-4D88-4CA0-920F-A56CCF3196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23A05-E61E-4C69-B1C0-A602803F342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47B40-5779-435E-924D-FB0BD4F2C2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6E8E6-DC4A-49E8-B321-AC614B5FED4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3A779-18FD-4F3C-9D48-9694260DB8C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3325A-B1BC-433E-BEAB-AED3893CA5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B106F-8F22-457E-AEF9-2198E7ED39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D8C75-D0E7-482F-B9C3-631E6C63C6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E318D-FF0D-4D29-BE2D-A6B5E3BC3EE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D67C0-A26D-483F-A431-0F9EC4BBF8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BDD60-80C0-4ED7-BDEA-20511D0DC5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98652-F0D0-4AED-BA34-62DC484D8F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CD713-B0CF-4204-8365-714ADAA18EC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F99DF-0F1F-4C98-81E2-43299E74EC1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0C74A-C0BA-4A65-9BA3-E0FCD8D0F6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E1B11-432C-4677-9603-01DE890BBB2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14FF0-CDA9-47EB-9DD9-42DDB1107D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0EED1-498D-40F3-9DBF-47604B5A32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F69BE-F996-4C46-93E3-09B93466E6D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5C4A9-22A8-4ADF-ADC5-8E2762E2416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456A7-F094-47EA-BE2B-EBE7FDA4C6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4199F-B9B7-4C90-A517-785FB0C3A8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909BA-4742-464B-900F-07E73407875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B426F-E0F5-42E4-BF37-EDDCCB37613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17035-97FF-402D-9536-3A4A5C0BD7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E850D-E032-47E8-BCCA-C2DC0876B82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F30ED-3DE7-434B-A529-3C49510B4F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748AD-017C-4CD1-ADA0-104DCF510C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90C6D-8CC1-45CE-A1CC-D8989F0193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9AB45-55DA-4D8C-BE29-9A0CB0DF50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8D92C-3413-4EB4-88AB-930EE876D5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CFBAE-FADC-4007-9FCB-3C835D2E4C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000D9-E65C-4540-8D45-8CD917FEC1F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B0257-2E1A-4B99-89D1-051D2B4EA6F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0A7BF-C42C-40B8-A714-7C718DFFD24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C9160-1A28-43E2-9676-AB071731D0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E3A4E-5AB9-48EE-B1BC-E59DA85422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74DDD-42EE-4677-A4E2-D7FE14406F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A7380-352A-47C6-BCC1-B2A55DD96CE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C9A96-6253-474B-9ACF-C59042EEDA7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485C9-7403-448C-A528-B4EAD8B29F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B7B2D-A469-4175-826E-1B2308472D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98D0F-C075-4725-990D-8816557AD8F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0E9B8-9437-4EDF-A483-5FEFA21057E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54432-11CC-4773-A7D8-AE6B69F019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6704C-EF25-4AE2-B3C8-D9E84A02E73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4A9F4-7BDD-466D-9B65-C28971A734A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FCA7A-BEAF-459E-873E-E309D2429B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5B079-3992-4082-93CE-61B1BD4AC68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E6ECE-A1C0-49BC-81A2-176694ADAC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B667A-D60F-406F-A398-E9E4AABC87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0C986-665A-4173-85BA-E7754B96ED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8867C-67B3-4617-817B-899BE00FB0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02D31-6FF8-4609-908B-706E54AFA0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06ACE-1D14-4D33-AC39-7863CDC324E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D8A5C-D01D-4989-A420-8FD46B982F3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FEB87-E0FD-4A10-B80E-F64EE307E1B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5FDA10-0464-48B3-9F92-D97612363C8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15315-B8F3-4842-9C79-798A2218D2C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30B98-6459-4745-AFE9-5B0495D727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6B7E6-4FD9-4B95-9468-32B5A4E3239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27EE4-0D67-48D2-A931-0C0F49E4D0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46E71-B213-4078-995E-6674D57B9C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4EFBA-BA3E-47D4-BFD2-812A198D5C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604EC-07FC-438A-87CA-0CB9296A7F0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E0E54-0B58-41D3-B8EA-E7E25655E89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2814D-76C6-407F-9180-539D3D13729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7DEC1-FDD5-49E1-BD62-0F393E98C9A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8EC12-F771-4753-A464-BF7A7941E8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35D24-9FE8-40C4-93CF-E9FB33A5DB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FA02F-1719-4B7C-8A3F-B2C4DDEDA0B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67B42-174A-4684-A6EE-8F61440212A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9E481-A248-4DC9-AA73-6B586C9F705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F2FBF-74B1-4D4A-9EFD-56315F0952B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4E2BF-FF8B-4663-A4EC-4D9329A9A15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3DD5A-CE05-49C7-B6EE-018E375F075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E7E95-7A83-454F-BCD9-6A4FBECB5B6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8C6DB-1F2E-4C9C-89E8-01B212C6D2A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47661-2E5D-4AE1-80F9-1EA8071230F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F438B-1E7F-4192-B46E-C87A165FB5A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9DBD9-E011-428C-B149-692BFC332B4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B1357B-A8FE-4D7B-98B0-B1B1B4CFC0B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CBA69-16F8-42ED-B287-A017ABCE825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5755A-FFC4-4203-B10C-3AA102E078C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A6F212-3D1B-4F6B-A15F-95A495E97CC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B260D8-E39C-4413-AB98-EFFDDB090D0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230BF-52E5-4EB7-B143-28780DE1996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B078C-9002-4744-BC84-2843F00F190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4D22D-DD1C-4E95-B383-B992978B48E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DBB52-BB59-431B-8347-EA58B467A61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A8EC2-0D1F-4AEA-BC0F-2A09643A717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779A1-4BC4-4D56-AC1F-FBAB85FC6EE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E2D63-16F6-46EE-A18B-1239E115398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8DE3C-5783-4891-AE1B-A78B8F54814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44DFD-D0A3-4001-AB04-5C6D9C1B279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E1959-FDC1-4936-8DBD-313AA077419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40505-30F5-4286-9148-EA2815FF194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619F5-5E76-4FE1-A183-0584482102E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A30A8-8D3E-4504-96C6-F845B0B2614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2D236-55EC-4887-A256-8FD557804F3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8EAE4-D409-4BDC-A02B-50A43D8EFA9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7555C-6CEB-460E-A4ED-E42313622B2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33E84-D634-4371-8B72-BC84712A944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A0FED-FC0F-402B-96B5-2117690EB06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3470A-02B6-4C20-931B-F38E8F03F5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1E628-9A3A-4318-AE00-09AF92601E0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F6253-C0D0-4BD3-9CED-B4BCDC87DB4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EE5C7-EA26-4432-A3C3-7C5CB5A94BD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07790-A459-4FB0-B46F-C0E3FA1F627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FBC02-F382-414E-B11B-1EB5EC22330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39EB9-6934-46D0-A6CD-21AA83697EC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692F1-A302-4352-AC49-D8635F2BEEE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FDE88-7761-4FA2-9780-1B351BA9286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66F0B-BE85-487C-BFA1-285084D09B0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C384F7-D22E-4320-B8B3-4117D9A760A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CFEA7-F682-473D-A7C3-1ED985F27A9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4E98B-058E-4BB6-85D3-848242B0437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6AD5F-7C77-4730-AECF-2B67725BCED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9488B-939C-4FCF-81B8-52B69AD1CE8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C713D-6B9F-40E3-BE63-A78F7D83265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1FAAA-25CC-4E53-9DCA-C5BA8706F6B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DB348-DE30-4D11-A509-95BDFA14C35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4B11E-05EB-451E-ACE0-EAF4DDE8A1A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1DBEA-C4E8-40F4-8416-D7BE274D82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C42B3-B9C5-43CE-86E7-A0A682ADC8F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C1CB4-5029-48DD-9B57-195C171855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5F5FE-50CC-4653-BCCF-70B2BD4DF10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3F9F3-4CD6-45FC-BB28-D00A98A4A7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BC675-768C-4F1A-87B9-598608A355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88179-67FF-4568-A593-8F8EABF6199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989C3-AD8B-4946-89FF-8CEBC4FDFB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E775D-BE48-4DE3-BA69-1F260DA5CD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7C119-B3B6-439D-ACB7-778821C628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7C686-E7D9-47FF-BFB4-D4231DF9B5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726B6-4705-4B96-B09C-7393889518F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8C87A-CBEC-4F0A-B184-02EA8D96BA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3A36E-13A0-4BB5-8030-F951CF8E0A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41EEB-8C28-41D0-B741-443D910410B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71E37-4405-441B-A996-6A39E44FC9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C83D1-19E0-4CAC-9DBA-B4B1921CF36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0B4C0-194F-4941-B997-2F895DEA4BC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63E86-1A71-4DF3-B2C8-511C4A77836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F1C92-10B4-4E72-A69A-E1A20C018C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8CC81-10B8-422D-85A5-286A407AC0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1AC12C-1B5B-4551-AE03-45B05EC253E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312E4-5AE6-4B0E-B854-4EF4CFAD58A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27E54-AFFC-4C9A-9EB4-89C73806792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35182-D0DE-4F17-8211-DD89B8B6E10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FA090-DE5E-4202-ADE4-378A22E68A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52C86-14CC-4C3A-8FA2-FC011647A0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B0DFB-0886-4056-9EE9-7A227612C26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BE704-4CAB-41BF-BEB9-50E8932D86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7798F-8903-46F2-A508-1E2668226F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3A30D-2D24-4195-9146-9457BD8B15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1289C-EBA0-40B4-9FB0-76A54D48CB9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A4D0E-92BC-4D79-A5C2-C98CB5E70A4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F2725-F5D1-45BE-9506-301819BABA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A963D-DB29-4A20-B18F-17412BFEB97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C3A87-64A3-43F3-81E5-0A0C03C7645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A7AE3-40A1-4440-9A19-559DDBFC69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8C945-0E4E-46C4-BAFD-5D35E13EF7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0AD26-A2CD-4E4E-8E79-CF889C9F1C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55916-20CC-478B-B64A-9F1FAB5EA8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536AA-1871-49AF-ACB7-E3C6602E51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E4DFA-0ADE-4896-9C62-76CFCB569B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E8561-6F48-4173-ADDA-9A216E32BF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2FF8F-B9BE-4743-AE1B-0581B654DF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3997F-9FD6-423B-971B-CA6D50C138C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1CC55-547E-47F2-AE9C-4842B2C089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04EF8-0162-46E7-9C6B-39C899B1BA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BB465-6DB8-46EE-9CD7-A2DFCB2AA5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8D746-A191-4835-83EA-85BAF98D61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C1BB5-0558-48DE-988C-DE05ECF502A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3834F-0AEA-43CE-A68A-6CA7F1D0D1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96DB3-B364-4F9B-90CB-A129350FAD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CD634-312F-4DCE-B736-ABAD42B847E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77355-8AE1-455C-A49D-E347A73243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8EE25-DFED-4FD8-88BC-7EBF395F7E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FE839-CFAC-4341-9551-59174719DA4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95CED-D1BF-46AB-9A41-F5F4FB1AEA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BE2AA-D384-4AD2-BDE6-036037F28B2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6296C-D73B-4486-863C-7D09E029163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939D0-696E-483D-98E5-29876D4EF5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A81F1-00FE-45DA-A2C2-1A4C864F73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F9AFB8-B1F5-421B-A91A-44304B9EA6C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8FD31-9A66-473D-B4CA-789EBA89A6D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DBE68D-6882-4388-8F2C-6DA85C52633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D8E46-E76B-4FE5-BCF2-CB0D3604235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D7AD02-D87B-47C2-AED5-808AD5069F3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4414D-F825-402C-94D7-B9FEBB34566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BCA06-2DB0-4C0C-BE98-143F909232D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F31A3-E70E-42C9-8A8A-8A22EAD9A7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9160F-E0EF-4737-B81C-1910C45CAF0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0B40B-C0BF-43EF-8F0C-ACE13747F4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7321E-BD4A-4FDB-8F89-2FB5CCDD5FB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756F5-5DE6-40DF-A43E-0CF26E091A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2989C-0550-42F5-8D02-682BC49D52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73544-B5EF-497C-AB5A-60FBE699B9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44830-B891-4673-A46E-C3BFCF2781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AAD59-E90E-4B80-9762-9884CB76EA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D10FC-98D4-48F7-9C1D-355341CEEC9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753D0-4EA1-4CA4-87A1-D52EF9FAAB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4E6E1-320E-4DC6-BCD8-65FEFF114A2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40CAC-7950-4351-A61C-021A8D10E74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C307B-1A00-4850-AC47-FAA7A914691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56BF5-6C98-4DB8-819C-F02CBCAF89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C965A-0F37-432D-88EA-051887AF33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D6145-7FFA-45FF-967D-A5200CC97E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FE564-A81A-4D83-8ADB-87FE90ECE3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24FE6-47F1-4108-ACE4-E9D130BD435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E85FF-4C6B-4735-ACB2-B3E978CE30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47339-A03D-4B30-96D2-D9B60C6871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A583B-0FCD-4194-A740-92493AFAC4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A157A-8EA9-48D5-B73A-A6C1635EA1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EABE3-5B57-4498-AC5F-8430317D5C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339A1-3923-461A-8F26-C2AF419110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FC95F-1700-4E11-899A-DE65D69F000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FAA11-94E2-48CF-A6F9-AE15A5EE34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EFC19-5EA3-4439-81E8-A55A269B595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1DD1E-3AAB-4B22-AC72-2805A5CE2F9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10274-A292-460D-A7BA-C537E86809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7EC47-3A8C-49C4-849B-BFFC34E0C9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5F082-C135-4893-ADF0-5B6C23BBEF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70BCA-4A6A-4CD5-8521-4213CCF57C5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E2A57-8C27-4F48-A5CA-9BB7CA0B056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B3437-B288-4E35-9F70-431E2AA3271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11C9D-4D14-4116-B54A-AAB44AE2ACB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017CC-FD68-4FD8-A54D-FCFF24AAE6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9C29B-8500-4C37-BE00-1DD947996E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87BC0-611E-4337-A956-35555602197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B2760-C041-4A10-9BFC-2824B5B274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176EF-AEB9-4DBD-B15B-337E0E9C0C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BB470-1C5D-47D4-AA76-246A004276B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79662-4433-4298-8F73-8175A414338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C6824-A89F-4F5D-80E3-82F3F5E1BF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425B5-EC88-4639-89A2-6CF96AC3BC8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23EA7-6FC0-4E17-AFA8-E42FBA7D0E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66C7E-37BC-47B9-A063-7000EA1AEEF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80F13-EB62-4F9D-B888-119D33D6E0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AFE39-DE46-43C9-A6CC-5E15B75510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DA480-F4E4-4E39-B248-F34DEE77E37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CAD8A-BF1A-4A74-AC63-E615D57FF0E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F16B2-1319-454D-B3F5-026492BE5C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25AF1-FF8C-4FAC-B4DF-6FAA323516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CF518A-5E05-4F14-BEA7-F46D0EB57BE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8EFFB-958E-4661-83A2-7FC1DB26CC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2C7DB-6172-47C7-BEBE-18E1AE0CB26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C2E2C-A34A-451B-A440-8A37A207DA2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4B9CF-D787-41B1-AC1E-F9CCED833D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6FAA8-A28B-4791-9CF4-71AC2E13BB5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54A50-D6D3-4D00-96EC-9589FE3D122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88888-4B6E-4CCE-AABA-29D8893779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993C6-BA18-4E97-B04F-B9AEB72DDD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30B48-5990-4F6A-A23C-28A0A921F22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B1A15-E28D-4F68-8A81-D4EF98F502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8FCBE-17A8-4DE4-84B4-588D66F6C55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A9B52-ACE9-4D4F-92A4-2CCEE907C5E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411B4-456C-409D-9C54-2310BA46391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33C98-1112-4543-B4C3-1E5CF60A22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B0925-014E-4CB0-A436-7CDF509DEE5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F2091-8D95-4520-95D0-CAB27752D8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A9CA4-8417-4C8F-B82A-954F6EEEBA6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B2897-032F-4BCA-9F6C-FD664F4B889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FE2FE-4ABA-447B-A35B-6C9F93CB2D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60984-758C-4CA0-86BE-A22D8B9B11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80163-1E6B-43E7-A59B-E927E84689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3E6CB-6D41-46EB-89FB-FA7BC770AD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7C82B-8023-442C-B9E5-1BE55D3C6C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D8CC0-DF19-4CD6-B1E6-A8F064DB535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3FAD8-1EBB-44E3-AF78-3630C98EE2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2D262-47A4-42A8-AACD-90C19A58515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3BE8C-7AC7-40AC-9134-2A603D927B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8EDD6-BBA2-43F5-AE98-9CF46E51CD7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0AD1D-9FF9-4033-AF9B-02EB56FC76B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831EC5-4E01-4762-8F66-2E3900C14A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8A117-BBBC-424E-A5C8-41DB6A84D75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5CEA0-31F3-44C3-945C-118552F2D1F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B6BE4-C7B8-4DF0-AABE-09AE7B7942E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76F83-095A-4B59-9C4C-4FF5CDC957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4B3CE-D9D9-40D8-9C65-A61EE745E9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99861-8C5E-4A8F-BDF5-B911921A5D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DD50D-229B-4DCA-8E7B-E985BBAA21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FE3D6-8602-41F5-A3E1-DBAEE862A7D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0F5DC-3C9C-43A4-B6A7-4675139A00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91E33-A648-4E42-858C-A530ECB7411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57050-8B18-4221-97E5-6676B49925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90792-8E0E-4237-A74C-ADFB534997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9830E-EF90-4011-B2F8-670242778D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03576-BD10-4AA6-B4EB-8B6A385052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47138-147B-49C4-A253-14E65268E5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F5DCA-E7F3-4AC6-83EF-80422622617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A60D7-02A9-4E35-B03F-1E0831BA6D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A15B4-095B-41DA-BD81-EE62231327B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5A1D3-0A96-4BED-B24F-7119302B708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73BAA-2F73-4ACA-AD61-5B1FD2FA681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F1F1D-89D9-4080-8DDB-49DD2D2D79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69EA6-F5DC-4A7C-BA50-A135D35CDA1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15E1E-D007-447D-AEFB-ADF367107F8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A20AC-D853-4AA3-BC7F-1978E246F5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931AB-3139-4498-BEB7-287CD850AAD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E75C0-6857-4051-B3ED-E6BAF0511EF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EB39A-85F0-43F7-B6B9-34669A1FD1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71791-951E-4F13-ABEA-1D2261BE6B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5D6DE-A5FE-4E3A-AEF5-5E961E2ADE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0EBAD-D2B6-4BE8-BE51-D59B9809D5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4DDB4-7C51-44FA-AB29-307E83BB31E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1D603-23B2-4FC8-BD6B-C457D1B919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85B3BC-611F-4881-BB9C-7343630CA0E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9AD2C-DE90-45B3-BD8A-98336959FA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A9082-A8C2-4444-895E-706A9393AE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ACCA9-D2D2-4947-92EB-5EA4E138FC5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A5497-BD85-4571-9839-D20625D48C2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32246-FDA6-4016-9675-6003296D038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60D9D-8D48-423D-BA2A-40ABC6522E5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D0B30-3770-43E0-B4CB-7E1904C059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731C7-15AA-401F-B2CB-33831AEE392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A0236-0042-466D-B88A-F83DE461ACD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6DD66-4857-4205-8266-DF9F8B8062F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B1AAA-3668-4397-8E82-9B11477EEF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80A33-9CA7-4B82-AD25-59E0685E62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3B92C-D60A-4CC2-A0E1-76AB5B80B5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5C695-8E25-47E0-8985-5EB52BBF0A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7240E-28C7-4AFA-88C0-44774A0E51F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4F216-4890-4182-A651-8F63F9C0903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6A2B2-C788-4695-AEA1-85AAD42E54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C7F73-E976-4D86-A818-E6CF5C6C2F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494F7-E87C-405F-8725-66C7C3A77B3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B5E8D-3E44-4D56-A91C-61EE4608D8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D67C7-8A2A-4B44-862F-0FD9B4378B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2D9A7-937D-4ADF-B6AA-E18AEC0AD0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0BFE4-856A-458B-B558-818A6BFFD5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4142E-D07F-4B6A-B278-E880F747BD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040A1-CCC0-410F-9A3A-E21E7F188B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9AC26-99E0-425F-9639-78E1DEB99F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17C83-6745-4D2D-A915-B87B3F746FA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438C8-DA55-41ED-B838-CDC05B5FB6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0291B-7233-4015-8DEC-3784C74388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AC433-E83C-41C7-AD01-B5EB1FB4F4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E2A91-291B-438F-BE49-19D16A93EB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6C39B-0178-42B6-8199-32CE7B6E07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485EA-F2E8-4430-AE72-B5CF83C0D9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6BC467-F7A7-46D7-8A51-81870DA846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241A7-DB61-4119-8CDB-B690A679380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488EF-809D-4758-B6C6-38A8B8D7AA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D2382-B786-4D3C-B75D-552F42834F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58D0D-C0DD-4DB9-845F-4BB84B1AF4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8F113-8D12-466C-8DA6-0BD2BA7B91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E7D85-AB32-46BF-875F-9BFB89625B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72843-A53E-4CC1-B3BB-7AF0965E99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C7882-0F3E-417D-A787-E5D75323E3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BA2AD-19E9-43A9-9330-8C0C856E353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52CB1-76BC-494C-ABD0-D8358DB831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7BB6D-FCB8-44D4-B7BB-7ACA49D889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D837C0-CF3A-4C61-87CF-BB2085497E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34DF6-EDDA-4621-9B4D-9960EB4251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1B2DF-56F3-4C52-8E10-43D3D5D1EC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62DB4-0005-4E00-91B2-E700D1925E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F810A-A9D5-465E-B45E-F19505576D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86B1E-BCD9-42F3-8CDC-8DFD4ECCCC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B127F-952E-465C-BBBE-0794E761DA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F6C1F-BAC1-48A3-901B-1F2CA14A53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F4320-4C21-4F39-BF6F-5E40239B61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8DD76-4A99-47F9-A237-947C7B3A82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B8E45-CC1C-4303-86B2-F122044AAC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BFFD5-2F30-41FD-8EA0-A7C42D10BB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21DF7-B310-40A8-B299-A76A25CE8F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259C29-9D36-4590-8C97-C6CBFFDF17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4C532-6975-49C0-9E8F-4699CCD1746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C6C6D-FD87-4F6A-AE5D-63CC164950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595B0-4366-4DDC-A1B2-F933E182DF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FF86E-E09B-482F-9F09-F7D051833C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56430-AD8F-45E5-9FBF-7D81C4EA64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18F64-5F94-403B-BA0B-FEB3E362DD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A4B62E-2929-480E-B31C-D4FC7AFACA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19DBF-43A1-4087-A5D2-7A90BE2074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260E7-78A2-48F1-8082-39C88D540F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A264C-8DBE-48A5-BA65-D818305FBA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9098E-CC94-48F4-B0B6-93237AF400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42B9F-3E45-4061-B0DE-885C7F42D1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85D44-5843-4623-A28A-CC98635B91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95DAE-06E1-4283-A19F-4EB65F12C2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F6CA0-4AB7-480E-88E9-B453D029AB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4E946-B44D-41D0-B807-28B04018EB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3B4C4-F371-4BA2-B8AA-EE9E4D9C96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3EA55-60CA-4C98-913A-E5382FB4FF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C013A-8370-446C-8EA6-EC6DDA15705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0B610-A586-4212-8119-A9308A6E820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2F197-F3D9-4367-9D79-37BBE7CAB5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11FD0-0CB9-4988-BEB2-C4D64A90E7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619AA-6D48-4655-A5B1-0776A83C60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9C7BB-BDB5-45E2-BA52-A3B4ED6820A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14706-7A40-4CBA-91CD-8967386E5D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E9036-FE59-4A37-B674-10A83A7345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1151E-FB36-4A23-AEC1-880135F6B8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7D4178-2315-4B98-B557-8E8A7C5CD3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E3457-6849-41EA-A315-57D14523D3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4AC91-64A2-411C-AC94-B2ABF41913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A1BD1-8BDA-450E-993F-7212662EE6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7380D-B801-4D5C-87D4-B79CED01BC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6E61E-AE79-4113-851E-1849FD9A1C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5D392-EA38-43CE-B94D-58C2F8A7E0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FEEB0-980A-4882-9947-4F8119C806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7A85A-EBB6-49F7-BF6A-523270CA0D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26057-4723-4562-841C-5BFC2DA321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BCDC6-A151-4E8F-A611-4ED8B66DA1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BE9CE-E813-47D2-A1AA-0CDB492B54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67821-CED0-4F0E-A51D-D4B08F46CF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FF5EB-ACA7-4F5A-9D95-FDE4B11139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BF8E9-B164-4704-B57E-BA9DC62D478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2C921F-C6F4-42CD-881D-5E418C82FD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2CFB4-D563-4CC0-A13B-C6BD5291C5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A2ABC-ADEF-47CA-A7CC-109B986191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26AF5-AB6E-4F02-A3F1-F5AA46EF39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D85C8-9886-48B2-91C3-524D04409B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E83AD-F7CB-4DDF-BA7C-8B19320A8B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39D98-E7D7-40C0-B283-78AA210BB2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7C65A-C18C-488D-BE07-CD561BD397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B89CC-CC1A-448B-A55F-14F5E8B50B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76E4F-A049-4768-96E2-8D6CF127BF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1D399-1271-4892-A142-9AA33E045D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1A5EE-B181-461D-A6E0-0FF84087E4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C17AB-B026-4CAB-BA26-C8D26110A3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5F792-722E-4C7A-A310-16B4ED35D8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B7BA9-D5B3-4937-9EF5-EEEE052E91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8591B-5CD4-4363-997F-2B2D91FF0D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7EBE1-0B60-4879-92CC-B298C4B2C4F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3F3CA9-0D01-41B5-BB12-335CCCC431E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982B3-BB19-4065-9849-22B19BE63C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A8415-65CF-4315-A5BD-0708CECFB4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8E325-B2DD-4CD5-8D10-227D915258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6E89A-2ED9-4D19-9418-D643953A2F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5D5AC-258E-4B7C-BC2D-FDF9114B66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45F9E-EF04-4F6D-B3B1-1714279948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70FC4-8F59-4422-B2A3-1015CEB893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B9BBA-BB51-4D6E-9D03-0C2A2544AF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0C70F-8BCD-4443-9D46-20B0AB6B06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D9587-8734-4AA7-9409-B6786C3F83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33B28-7866-457E-A3F5-20516E5718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F767C-DF46-4909-9669-94D52656D8F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B1035-1CBD-41D1-AED2-4D6A8E4DA7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7B7D6E-96C1-4E8E-BFA9-B32465733C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108E6-B253-4FB6-BECE-E86A4F8F5B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C9BBB-94B8-4F95-9427-5585B73FE4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9E5D2-B778-4900-A065-28027DFA6F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E4F04-2EE0-4FBF-AA29-80E831FA0D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C417F-7E0B-4471-A1F8-1DDBEE356C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5FD80-C8BA-454B-B05E-FF6932109C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34E1B-B267-44C5-9E2C-04C6EF40D6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8FAAC-B1F4-4E36-93B3-987B236BA2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41DFB-ED95-40DA-8376-E0B0AD35FE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15BA4-EC21-4EF8-ABCF-E5C1612DB5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321AD-0E63-4AB6-8579-695679F542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18042-03CC-4EC1-BF06-B809F76AFA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1D850-0BA7-4959-AA73-98CE12F7DD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ED2FD-317C-4849-9A9D-3B2F0626C7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20967-F84E-4DA3-8A39-E52A038D34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D9B86-7F18-480F-8155-6D5A567616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7890E-E896-4CA9-B817-E5A91EDDD7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6B896-531B-47B8-A404-B12A0C2E5C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E060C-C928-49E6-BACB-283655BE5F0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78395-95E5-467E-9F71-27B37BAAA1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E565C-64F0-4A3E-8959-79F31F8CA1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2D97B-6ED2-4EEC-962D-76E1A7B467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E2EE0-188A-4505-A39B-4288A23C72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2D397-7C6B-4BDC-A297-10A3F00488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C75EE-40C4-4AD3-9965-03AEECF29A3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8E304-AA26-412D-881E-71AA9675AE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847D8-BF6E-4E57-88EB-8EE781ECA7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F81FF-3799-464A-B53C-5B87D982B4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E93FB-1E70-4978-9FD8-11EE5671EA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C6E60-81F3-42B1-9D16-D60E9BFECD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3302B-CF50-4C31-A240-F7BE84B9177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0A280-644C-49EF-A024-B2B492A579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6C43B8-B0C9-4F18-BAC0-843177BFF3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8EF18-FAEA-499B-A2B2-C95FC0D748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564BC-641B-4726-A8CD-D85EF646F1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1FCEB-81EB-420D-86ED-73E80E7FF9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ACB41-FE80-4D4D-AC76-8CC7CEDAEA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90BCA-748A-4CAA-B386-31FCE73CDC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3AD94-941B-441A-98FF-365AA646FA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45843-4669-4C58-ABA4-54CBF378F14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B4976-127E-45F1-82E8-5AFAD8EC6D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5C320-BD20-46BD-93D1-793D0F20E8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5AD76-AA93-44CC-8CB7-B97042C0D3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B8970-55E9-49E4-BEE3-E23F3E792E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41AD8-37B9-427A-A8E3-5E17EDDE82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3C2C4-0C5E-47CF-9823-DA07C83E9A5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8A727-D74C-4E11-97EF-DB86846CC9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447B8-702A-44EC-B5C1-4B0414592F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E4D9D7-14EA-4BA5-A489-5F89C263F3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8E81E-0CD0-4BE8-87EC-9003716315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A3B27-3E65-4996-82A4-E9A93FF5C8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A44A2-8F36-4915-8C24-4B4CA1D67F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40939-916F-46A8-8D75-33F1EC847B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B30DA-3E1E-4EB8-964A-8BD9D8F501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4F4A5-6395-43D6-9AC6-1B3B23AFE3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D7434-7C94-4215-BD0C-2798EDE70A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B2109-F53A-4703-BE07-8BBB557B01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BD606-D201-46D5-BC26-CFAE872A54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54BA0-9BE3-40E4-8777-76A38103041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D553E-A160-408E-8640-434EF5D66E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F9752-6F53-4EDD-B8C1-3FDDE46E12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BDABC-A05C-42ED-B6B3-8BCCA928A8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B615B-DCC4-48F6-83AA-45AAFDC66F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41C8B-73CB-41A6-8D64-57CD97E0FF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86961-738D-49D3-A064-CD3C7E0ABA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9F1ED-195F-43CA-892A-CA07AB648F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CB277-7A9B-4D0A-ACCC-39E65D5421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B80D48-3BE0-400F-87BC-D63B2E6D5D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9F412-8964-4F30-A3D9-59E25F4E3F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E7797-8E2B-4367-A8CA-6F3567F970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46217-5E6F-417A-A545-F43C38A4FD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DDD18-9AC4-4B63-9E43-AB668CECF0E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10CAC-8EDC-4BAD-92BC-FBF0882A60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81DF2-6DB4-4069-9BD4-EE07E7B3D2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53805-129E-47E2-BE56-D6516BF41C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5A01F-D131-4B98-99C2-A4DE62E583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E72BF-00B8-46F2-98E4-E24EB0475B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190A7-69BA-48C1-A01D-7824911600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B48FC-2BF7-4C58-A695-526DAACE4F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1BF8C8-1E34-4A37-BE84-262FA92F40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CFD7F-446C-4AF0-B052-5C622401E8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B77C8-103A-48E4-8AE5-113FD6483E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37CD7-CA18-4F8A-8DDE-838EC8185A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B7415-CED9-4E06-B77B-2BC9F47D35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EF49F-DB51-4A1B-A113-3B643E5B1B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18119-586E-4425-9FFF-1941CDFAF8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2D3CD-BFDD-4C41-86B1-F09C554439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7016EF-BC10-4B0E-BA92-B69E0BF719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30B70-64D6-4EAD-86DC-BE2889D3FB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975BB-97B1-4AB6-9617-949EEE693D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1877A-FD58-4D4E-83CB-18846B090A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E41F6-CC08-4E93-ABA6-78A40C72F4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7C3D6-DD8C-4E47-88AA-558F43B7C2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D6678-D19D-46F7-A5EC-C7CF0978BA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1855C-7327-47E5-95F8-DF0F2A2A27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AA408-8B0C-4FA9-948E-748B682B98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54B6A-9229-4340-A143-39073F4CCF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C5D8E7-AAB7-4B72-A12A-5648F0772D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10F2D-5C05-48A6-A6BF-01AD1F6D3CE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D77B6-CF65-48E7-8B19-982CDA1CBF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7D431-F7B2-4CA2-BCFE-5B58620BC05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8EF03-2694-4CAB-BEF5-6A8F9A6145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43630-6867-4216-85A9-BB05773F0F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E9E12-7A10-437A-A264-577716B298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FD51C-F8A1-4C47-BA60-D340C679AC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8DF1E-D7F7-4D8A-97E8-7373C39668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524A4-5A32-4AC9-931C-F19A2FDBFD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34102-2E67-486D-A5FF-027F14A8F89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0782C-3458-4231-9802-DD74C3E90D8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5699B-88EA-4845-AE72-7BDD421777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75A76-1DCF-4F8C-B551-921DE34025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77EAE-FF89-463C-A0F0-A7030DCF24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7B7ED-D734-4AB1-B85A-5F03A1EC6DE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0A8B9-ED90-4D51-BAF2-0AB92F75B8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A8A65-73E9-41B5-9B9D-F41899D160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A891C-4DD4-4F2E-A458-B604D8AB49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40997-B54E-470B-91D9-E8EB79CB69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A79A9-8C93-4D3C-A7D7-955BBB359D5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5C806-7D37-4C6C-9184-A9D7BB3DD1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ED716-88B8-405C-99DB-8F36E75A12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C9058-736F-46C5-99A6-DA154E7326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F6F01-117C-4EB5-A7A0-AEBE014CCE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0C194A-682E-4812-94DD-F7372DEAD1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B8C15-0026-4AF4-84FA-1B307FFD4D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94E88-41B3-4714-873F-D8326AFB0F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36DEE-A0B3-49AA-9835-6A4F6522C40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0E6C3-5DA8-4690-BB9D-E59487B341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E4583-5D9D-46C8-BD6A-22CC17F077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E437E-0447-4E2A-B1D5-75795543C4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2E550-8CD6-4537-A75C-BB30E43C2B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C7CF0-FC99-40CA-8C25-96CFF77938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54000-A3A9-4CA1-AE1F-04C6B696992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C0962-F8D0-4361-B67E-32875CDE5F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FF5CF-70B2-4FE2-B3C6-766D219B34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06CB7-2C34-436A-88C4-A962921CDC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F9DBE-928E-4243-A0DD-860F6123F8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46D39-909D-439C-8AD3-D57A88ABB5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78B43-C0A5-4987-8551-1CE6AF531F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4D713-9846-4BC9-ACCE-009F93D088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6509B-0558-4FB3-ADF3-C5B52CF19D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D13C7-04FE-4FAF-974A-442D1F26BB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62D0C-4405-413A-BE12-B79D2794BF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026E6-F7A1-4128-A79F-CA7706F94E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F325A-7DD7-4E8B-A8A1-863BA86AB9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A955D-E2D9-43C5-8041-7AFFA9CB0D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FF269-5C33-4349-9332-3028EE321D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80A3E-ED13-447A-88A5-7B3F67ADBE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2D083-381F-4040-A5E2-E503FD3B0C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D07A6-6A56-45EF-BC22-29CE99675B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E54BB-8A89-48F0-AED4-98EBEC618C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DF49E-BE18-4E1C-A0C9-CECC64E618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0A5F02-75A7-4204-B063-9C8B6EFF15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D9797-DEF5-4C4D-9910-F8E9CD1CDA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84FD3-43CF-48F8-AD0C-FB50527C97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01367-F695-4733-8925-8DA98419BA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591EF-D1A7-4CC8-ABF7-24314C2560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07FFE-440B-498E-A3C2-179B75E091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6CA67-1BD1-4E29-894C-C54BBF52C0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315C4-CAE7-41C6-8342-5F89FA3C63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467C5-44B1-42AF-AA24-36F71CDE7A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CE5AB-C4F4-411C-9DC5-B60240FE35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52FBF-8B00-4D2A-ACA2-FC054EC7AB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87A57-7E4D-42EE-8F27-BA7E0AB78E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5B4C6-3EB3-4AF4-A46D-6E8193A4A9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0C012-3D11-4876-9233-135B68DEFF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04D07-801A-4B62-9912-4E2B06247D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5DF17-D56D-4D8B-B93C-957055C828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9791F-5DF7-4B6C-9F43-E7C3B049C2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BDAC8-39C2-4629-B880-80985D3A84C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5EBF9-340F-4D8F-ACAF-13C4A50358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F6535-678C-4F6F-B129-AB31903EDE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3B7F2-3A5C-49B6-9716-84682C9AA2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CAD43-B727-4E78-9927-E5F29C5508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4C567-A6A6-4670-9263-A21CED96E0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337D5-E86D-43B1-89CC-7793F37E20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5D98B-B487-4DF0-816C-19B0A60501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0A475-A8EF-46A2-8B24-A24E307D22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495DB-7092-4E84-BD00-96BB1CE9E1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034E6-B6C0-44D2-A36E-FEBFD02A96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72B9E8-C15D-4B33-AAED-E0F1DBF711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3D8F5-A184-4704-8FD8-311658706C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1B8D8-66BA-4A1B-82B0-DA0E1387E1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52C58-BEE0-45D0-A7D5-AA7A49BA507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48C6C-D8CC-47B9-AF0B-495C2603E0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2C7BD-09F1-4B09-8CEC-7BDEB8586B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E1C9E-5C6E-4808-8956-1BD7D036A3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01783-026C-4271-91A3-0FE262E005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3AAC6-BAB4-4EA0-9848-637BD0E3B9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D8025-5B68-48AE-B099-38F8F428DE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AAFF6-CF84-47A4-BAF9-6CB7AA45D9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2CA72-CA6C-4236-A63B-D28DE4EA2A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71901-4E26-41B2-96EC-A9E2D228EE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59234-3DDF-4DA3-9886-23ED17CFCF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D1B28-7179-49E9-B268-2BF7FBFECB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E7C56-A03B-4205-AFAA-3F48F3BBCD6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60A7A-B7BD-41CA-A9B3-12188BF2CF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CC462-B770-4566-A91A-325CE45DDB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0D4B5-37AD-429F-8C35-54D82DDA99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DEE45-37C9-4740-9B7E-93B80C12335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69903-5ADB-43E6-8542-E3447175CB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29ADE-72CC-4712-9ACC-C5BF1F82D4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A42497-33FD-4ADE-8EFA-0E9B4E5D83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C90F7-10D9-4A5C-8F7F-00468A0ADD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A2C66-F2F3-406D-B832-7BAFB3CD0B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A4E15-F7D8-4B5A-A172-9EF7A4680E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DEEF8-5696-47AA-958E-2489E9CDE2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E4629-BB26-4219-89EB-A2797E3310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8A9EC-20C2-4571-85AE-3E0BE7C5E7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C0D2F-2DEB-44C2-B673-D9BDC3B648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CBA32-9296-4FFA-A8D1-97CFA75C06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00652-42B5-42A0-8FDB-F815D6B135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3F559-C4A9-45FA-9646-66E23AF26C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D2734-7947-4B79-8D8F-DC3A6D7BBA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A515A-4002-4DC0-8113-DE1AE6EE3E9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6DEF1-9AC7-466F-9D3D-613142D18B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09156-9C50-4720-B8B2-EB6610467F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A9324-D336-4889-861E-166CF42EAA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FC020-2B53-4748-91CD-F7F12FF84B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BD796-1678-4154-B893-C2A4355EE1E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70AD6-4E65-4ED2-A4DC-4B234C0C7A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61FB9-DCE0-4017-93B6-9D27CE437E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84850-B029-485B-AC01-BF1E4CBFE2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6730E-2BCA-4A67-BC91-60DB46CF92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3A587-77D1-4BE5-9B26-431A6F4C9A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07FE1-85DE-4209-84DF-67FA53964C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D6056-8C19-45C1-A3B3-0283C7B0B0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B8969-19E8-4379-A1E9-3BDDC15FF3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F1B5E-FBDC-456A-B60A-D5F8F1FA46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D9D3A-20F0-4B13-B0BB-DD60D20E81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DAAE9-6010-4AA6-BE03-4FDB396EC2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35BC2-1B0B-404B-9748-D9D86433DC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AFC8A-1E3D-49E1-B57E-AE5564C41C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1CA35-17EE-4B02-8EC7-2D2372A68D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8A93A-7030-41BF-B33F-87F59F61BA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71501-E1ED-43AF-9AE3-AE723384E7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FEFB3-1C9C-45FE-AEA8-5C8723D859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A12A2-ADE9-4549-9910-840E183621C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FE004-FFEA-47F4-8830-18E6A42919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BC483-3483-4FCA-8015-ED19B7523B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ABFB6-5383-499A-B490-261E694E59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A6BF1-5F38-42BA-A76C-ABEC28D6BD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9F72A-5A50-471D-BD7C-01882D1F02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1BC66-FB0F-4623-BFC3-033F208E0B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77B5C-B72A-45FC-A624-B55B5F98AA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8292F-3EB4-459E-A3B9-33620ED4AE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FDDB7-C56A-4D65-8DF7-E3612FD3E1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C1EF9-762B-41C8-A8EF-01EEE3DA19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63DFA-08C2-460A-8F72-E5F576E1F7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2C0BB-0A62-4B9D-9452-552977A852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D93A8-6562-4C37-8268-4D1B96BE3D5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35F0E-52CD-400A-9076-EE4A10484A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2C843-1F18-4759-9DAB-18073E13D2A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9519B-2187-42C2-AABE-A47DF1F4FF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CA7F2-19E9-4AB7-8441-E7CC0F7A69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37AAA-3B7C-45F1-9C88-2C4E86F3B34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018C0-6471-4114-A991-3C869C81F4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F7BA2C-9A16-4A51-BD87-61B91406EF5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2D58E-B503-4286-ABEE-0BC4D8FA9F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7A2AF-2F21-4221-84C5-BB5A90F094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38CDA-BA71-4C55-BEB7-85D28FCFE3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BCD3C-9358-4A52-9637-C8B5ECC82C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D6042-A10A-4F98-8ED4-160FC17018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FA550-8CEE-4BB2-976B-0259EDF323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7A894-9DCF-4FE3-88F6-9A8B5512BC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1065F-7DC9-4954-9AE5-62F1D416C5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6B2D5-8A50-4024-87D3-935A0A5DA2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B909F-B3C2-42D0-A5D1-08EF3DB316E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57D9E-D6D1-4B51-BE47-2A094D1EBE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B7253-EE0E-406E-84F0-8023004361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371EC-F3B5-42D8-A313-35E4D89014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D8082-3A66-4F02-8AE4-EBB54444BB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2FFEE-64A9-47F2-B9D0-12E1D68E3D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18365-A6A0-428F-82E2-2929AFA1F8A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F958E-086E-4983-9992-1FB7B9E385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4B82D-4D0A-47FB-80FA-20F23D732F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D9797-C91A-4A0B-9A32-BF7E018CE5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6085D-BC9A-4BF4-913B-63FACC526C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95A22-1B86-406C-8B8A-AB409C22D05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6EA8E-6A29-4CA9-A6EC-9DB515D118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19D91-3C8E-4F79-B792-5972FC5E36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A14C4-D24B-46B0-A27D-E3BFE5E8B6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F8016-3DE4-4EDB-BB01-E46EEBDFE3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8B71B-0BDB-420E-8926-7C836654A5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72A8A-7D3D-432B-BD81-B945311E11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5F5B5-641B-435C-8AAA-B9B3621112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9030F-F952-4BDD-A9E1-5630B36065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85911-E4DD-47B8-BB92-F68AD6A48F8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43705-01A0-4067-9180-BABCBEE2FE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C1F6B-C18A-4718-83CA-8079839F2B6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05E76-955B-470C-958F-AE022F1C9E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60623-ADB2-4D0B-A6B4-659958AE9C0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FAD74-812B-4A1D-BB70-C611EA49A72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D7716-3FD1-48BD-B7DC-FD74BA41277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AC082-B29B-44B1-A105-47F5D7DF06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47BF9-FEF5-49CE-9E4D-5488F97624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F059B-BBA3-4328-90AB-B0D9B3EACD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B94BC-CA56-401C-B4FB-C4B7CFCFC80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9833D-B7A9-4899-84E7-49A8E03CA0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9D516-1787-49B1-AC67-6A3786A70C7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8A918-CBFD-439B-BEBB-CA4365BB081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D50F0-B70E-429E-93C0-47378DD838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EE1CA-0FDB-4761-B896-7A86792257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BD0D4-3BB3-430C-A656-496647E04E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98547-8879-437E-B94C-73C30EDF55D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16A1F-5AAE-4150-AB8C-4E3ED0CBEB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B0C7F-CCEA-41C5-90C2-FDAFEDB6CEF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403EC-22E4-4983-BFCA-EFEFA8D84A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FEAC0-E527-4DE5-81C1-3E6BAE7156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91B239-CF88-4F27-BB02-C2AE3CEFD5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7E02B-5B3F-4603-AD1A-B618FF4A042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48B38-E6F8-4705-9980-1506931560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D7116-2C4F-4009-9465-FC967354CF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18CC5-BF8E-4116-963B-1A412C4279C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71E4D-66C8-4209-B54E-EB4AA0F4FD9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62AEE-143D-4062-9466-8D71E824A52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E36E0-276D-424F-926A-7EF38FB1C88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29C00-CBC9-4CFC-A182-361BDFB02AB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BAA8F-419F-4A0F-B7B1-C93A3D17BD5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5102D-F988-42FC-990A-554277917F2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6458C-BDAC-4A62-8E49-7ECE1AF3ECF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20D01-D8F0-43E6-A85E-50FEECA3BD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6605E-B06F-4CC8-B5DE-019E180E82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19C98-90B6-48A4-9503-E4FED8BDAD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34BBC-FDB7-4F27-8D60-85FD5F51B4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6FBC6-CFD1-420F-8011-4EB06A5C97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36494-828F-41B7-8BB8-896B7E7823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9769D-1779-43A3-8F72-94EB02868D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36E84-A3D5-433C-8001-C55354D5917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FCC7E-A283-40AC-8A01-A656485BCA1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509C4-DCBF-4632-B9CB-CA588C24D3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D5CC8-4B2C-499A-BA4E-FE3A7D0776B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783DD-A563-4505-BBC7-EEE3D0110D6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FEFAB-BAC8-4423-8DE1-E90CF2DE254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9B584-4DD8-4BFB-993B-A060071F6B2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070D1-DE8D-4E38-ABBB-287E1D61C7C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E1A20-52E6-4E81-81DD-E40967FBBE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5FE36-0A01-4DE2-BE13-84FEF3C9FE0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EDA8A-FBA7-4399-BA13-7640BA2138B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94327-FEED-4EFC-BADA-EBEB512F81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7D637-4727-4BF5-AE85-68B807F25CE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7ABD7-6C97-46FB-B41E-7872688BF8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01F03-3C25-45C3-81A8-BFB2007E19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83794-0D0F-4453-A15A-378C3ECE82B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CDA99-9112-45FC-A1C6-9413500469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3A1BA-4C3A-4F05-9597-DED342469F0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4C510-F9A2-47E8-A98C-71A84156130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A342F-7B91-490D-B1EA-DDDA9092606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55304-710C-4C03-9CB2-76C66E78A2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F848F-9DEE-456A-B4F6-57B620410E1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F81CB-1989-470A-9B60-5630670EF9A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8B3D1-BC64-4D6A-A55F-8FC0E540B9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062D6-1CC1-4478-832D-2D10470122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27674-E089-4BC2-8B24-5907585F29D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31645D-AFC9-4C6C-BBBA-1D56F5DFE2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2E425-71AF-4DA7-9018-C89EC4CDB8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6096F-E236-4D2F-8C2E-C0D2FC3146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9C2BD-DEFB-455E-AE58-C982272911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9A17E-18A0-46F6-874B-3454069640A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C4BE4-FEFB-4894-8D86-6150189D17C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C5245-CE12-464D-89D0-BDEA02091D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1B58C-BC70-4DF4-8E9E-9D5A75B99EA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E6655-DAB8-484A-95D9-FCCF1DC9501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8E780-6E80-4387-9DB5-AB85E755EC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07D6C-B62F-4591-9EFF-B3039A4C74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2EA83-1F1D-49C8-87FB-0E1618BD7C6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28A5D-C95B-4647-99E8-A0D9856470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997CF-87C8-4F6E-9270-70E19984B9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5AC43-399C-4EA6-A3D9-A82F74B582D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32431-2406-4FA2-92F0-BF92CE1D0B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A226C-92AB-4DE4-B2E4-CB0816EAD8D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19AF3-05CF-41A3-952D-E3641815C3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F68C6-F1B6-401D-9EAD-C4CF45F1BD7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85A4C-7E03-4650-914A-8A63FF7718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5C04B9-DCDC-4A71-82A7-BF1D6BCABFD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981A7-B6DD-46EB-AA60-12F26AD672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5010D-4A43-49B3-9856-9DF244B531B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F9BDD-42F8-4F33-8E3D-87184237F4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EFD05-9FC6-42C1-91DB-C95AF5A5C95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EDF06-250F-4385-8943-FD15C737F77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43308-6220-4520-B68F-D5577239BF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F59EA-858C-4866-92A0-82A5C14D630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F50B7-F3ED-4AB6-89DD-FA3EAE70946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7E3CD-5509-472F-91C8-C231964ECF5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ED0CE-740D-4745-8DC4-232C43E39A1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E80F2-32ED-45C5-9EC1-0A68054EDAA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10048-CF10-46DF-8756-ACBED54D9AC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AFF05-ECED-4FF7-B390-C122A2737F6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6FAAA-82BA-470A-B05B-492DF16BCF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ED11C-590A-43B5-AF02-0BAB8977C7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5B55C-43BB-41B6-BC36-9EDE4F0B76D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878445-DFC1-4542-A497-15F6980ED01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85D44-53DA-473A-AA78-8B5AE28C6F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5267A-388C-4C69-9CF1-82E84AB2E3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A9B6E-8E60-4ABC-A8A9-AD5FBFE6D7E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9D588-2DCD-40A3-A628-274453A129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8E7336-0DAE-430B-B08A-01F8758E408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71102-F671-4018-B567-E464E1FFB79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98C4C-B60C-45DD-850A-87F738165C5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3B990-5D26-48B8-B7F6-59B5AD9EDF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1822E-159E-4714-84C8-2DB642A6A9F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21739-D37D-4089-88FE-76F917F895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FB607-CC1B-4343-87B0-4B90C7087C8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D5727-595E-45FB-8287-5AAFB69578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B0194-E624-4866-A1E3-8EFF51549DD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790DF-8D2B-415E-8648-3DA81A147ED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CF34B-67B5-4548-9FA8-AC62810004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0CA40-78D6-445C-9633-5A1A742756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C7820-6B33-4446-8007-53D3F7DB6DA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E7D50-EE19-4789-B0B4-850A71798ED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A4198-F681-46F2-80FF-475E5F5873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7D74B-3B19-414A-8D3B-0F2B1A34528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81EC0-2C20-42DD-AC2B-EAFD63DB8F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76715-FA98-462B-8F1C-B77309F042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7D78D-0063-4345-B390-A9C191300AE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93CFF-CAD8-4C43-AE1C-7FCAF507DAC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527B3-9CF1-40F6-9D2E-8C3ABD2F9D2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9D8CB-CFD5-4FF1-8E7B-5F7F6D691FF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60E8F-E092-42EF-875F-785FC649EE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FF53A-7BC7-4F9F-A92B-8751BDB4F5D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3A4F4-1FD8-4108-B343-8DF160339F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96146-AB6D-4FE3-8E48-294236B6C4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DB630-6287-4786-AA91-D5DEE27EAA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B5D81-9022-4978-A0A6-EF18B4DFFA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9AF13-0843-413A-8D49-2FEC0F90C6B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749EF-35BB-424E-AB41-2E38A3A1CC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2F7ED-653B-473E-A0C4-05C4D642784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676D9-6B27-44BD-B532-C4133285FBA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6D8609-507B-47CB-A524-82D69CBC43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A3AE5-F99E-4796-B31C-43582AFF07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BCFB0-5696-48A3-A2B3-593B9D025F0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4E9B7-2D9E-43B0-B084-30B339E4703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7388C-337C-487A-B0C3-AE4EFED5E2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8BBA4-7366-4DB9-85D4-831445432C0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BCD58-004F-49C2-A8FC-A7A2370D010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D66CA-C73B-411D-9273-52A8EEBE32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0E971-A6D0-4CDE-80D9-993B76E44B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0C0DC-5548-4E51-94E9-FBE4B20B23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91F34-FE72-48AB-A78F-8C90A9BDFA0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ACDA6-4DC2-46F2-9A1A-98F34867AA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C76A0-CC2C-4E92-BE11-F8DED509175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86944-DAC1-44B2-96F3-EE1132D868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49AF3-F712-4BDD-BC3D-D087A0B833E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30F96-F7D7-4719-B010-069F5AEEB9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B9F4C-7C36-4DF5-8801-54CAC47A9BE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C5DAF-FAD2-4B6E-BB0A-76081652D98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EA572-9665-4C9E-9444-B6AF5ED759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5DFD0-976C-46D8-B9BB-979CC46F9BA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DF1FC-B620-496C-A5ED-E8E11E80A59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14153-E821-4E00-ACD1-832541F06F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73D1F-D180-4B35-8D42-E8C14EF9FE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59609-23E7-406A-908F-9BFBA955F12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D7235-DEB9-40FE-9FA1-F3B0AEA28C6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65938-AD62-417B-94AF-B5D60CEF3D4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3713F-A200-4D09-BB15-3EC846EC018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F9DAC-4F43-4F23-9B3D-D4FEFDC2D4C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6AC73-D01B-46A3-BBEF-9697F2AE4AD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463FB-BC8A-41A8-8B40-2EE2263772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C2A1B-F2BF-4C7E-A2A1-DF7C374343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D4559-3C73-4C4F-BD51-C9674D0077F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78B7B-450D-4310-AABB-B1D26D9BE39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CBDC0-10D1-49F3-94D1-E7D0FAEE50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539AE-0E96-4FA6-B0E5-FEBA55ED136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C2271-5A24-49A7-9320-AB7CC8C164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BAC4C-3DB7-4E23-8EB8-083EE0CFFA1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3F7A3-48F0-48E4-9C43-90A131EBF4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8C463-B71A-45EA-A979-1A44E46C06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1A01E-C333-4921-9FC9-083D921AF1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6BE6A-597A-4AC6-BDB8-2B432BC9EFC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72936-D5FC-4EA1-9BDD-0543D14AAE1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36136-9C38-4E07-A0E5-45D650F215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7EE09-0961-418B-BE3F-EB9AE710F78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702F8-31D4-4C76-9F5C-2E22372AE1E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682C4-17A2-493C-B0CD-23B705CB12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A7B8E-C285-4F57-B9D2-5B08263D3D5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7CC12-DAAF-48CC-B252-4D6686CD6A5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D3D39-2178-44CF-A66F-8164FFDAABC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AA227-E2A5-46A2-ABCB-07A122C657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6C44F-C3F2-4C7E-BEE3-1CB8A1D7DE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D4756-42DF-46AE-83AC-5733D48EEC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4C0FA-5FC3-47A6-9754-76164548E8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C9858-1EA2-4BBF-B406-30B250B9856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CE525-577E-4DB7-8154-2E5E878FB1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4B985-0812-49BE-819C-37E3D1A1688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175B1-FB4C-45DA-AF87-C4BEF1E4740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C9558-4B11-427E-AFFE-4DDA17C777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6F1E9-2D68-493B-8E0F-68D02D35BD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2C638-865E-45D4-B683-545ABB9933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F23F7-91DC-4288-AC9D-37284D0E93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F91AB-A602-4B01-A172-D4B39FCC50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0005C-DCCF-4579-8E07-290B085EBF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52F13-AAFC-4624-9729-6C4A9BBE7B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BC6E8-9E53-4B17-BFC0-4619E452AC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94CC09-A264-448E-B3F9-5D0D196DFB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53222-5917-4653-8FDF-0FF7F44F8D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46350-C23B-401F-A905-884A4F2D04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7BC22-5B7C-40E1-ABFC-877E24B5D1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86367-57D0-4F08-97BC-771659DD5C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101A4-B844-47F4-B5A2-C304A4967B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F1B3C-C7E8-4E43-A3DA-568FB1F3BF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4DC04-4110-457B-99E7-7216A70553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B7030-8B5A-4612-83BE-A296434016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9E4D9-61E5-4BB3-B053-3BCD4F4CD1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72A83-02F6-40C0-A141-4707D6F876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7D389-CD58-49B2-916D-4FD684D93C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C8068-3696-411A-B13E-991B57532F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8353E-19CA-4619-A07D-1E2781339C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962B9-48D6-44E6-9405-E41B272B0F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8D361-7C3D-4BBE-91D9-A41B088C1AD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6F390-EB07-4DF1-ABF0-E4C06024CF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42F20-3BF6-4FBE-A6F6-C02B8938769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4AF06-4963-42F0-B5F7-A8AAEC7F0E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328A9-AC93-4B12-B6EE-E08154E2D6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7A31E-411D-412D-A637-84F2F3ED61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94F58-E586-4DD6-8EA4-A084DDADC6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1FFFB-06FB-451A-8351-283B8144E1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DFD44-5EA5-4071-9373-5A2CA626F4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9A9FB-32B3-448E-8610-B23507BE84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B02C2-6325-4FA5-8719-9C31CBA93B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AB551-D599-4FAC-AEF5-80EA9B54D7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774DA-94CC-4AB6-AF09-BC95D466DC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B09A1-9D33-4FBF-9B11-2E39EA372D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F027E-9476-48AD-8CD4-8750DECBFD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E43D8-BF97-4C53-A83D-56203C75C4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4380C-DEF4-4338-8888-F07AA8F94D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5D616-2C00-4E20-AE17-FBD3F9CDCC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61558-CBE0-4A15-8432-48AD436224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93F10-3394-436E-A378-BB1D52037B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4DF31-ACCA-4188-8725-558D3B1691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50436-D701-4F6B-9F60-39D7F89886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F32F8-C241-4526-A016-1C41275E94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DDDFC-A226-4AD9-909D-2FAED95BF2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E8B44-557A-4479-8E19-1626EA98B2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2A4C6-4BB4-494F-B584-D7BD910FD5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DBFC6-BCD2-4173-8E63-96E870E8EE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C1C9C-60F0-48D9-9DC9-862234141AE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ED686-6888-4CE9-8A1C-B8FC801AC7B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C79D8-2B25-437A-8A77-C19A0E3D16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78D1F-595A-4687-8CBB-B02D097380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90534-3893-4F0D-8830-54BAF975CD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4E08E-864F-42D9-9A12-EAF7F146CB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AFC05-D519-4F8C-96DB-5FB3C46D50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2B4AC-839E-4704-AC61-7A87BB59C2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1284E-1ACB-4B39-A69F-8FFF496DB1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CF34B-DA1F-425F-9B5F-FF27A8C825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55BA8-8EFC-4B39-B5B2-6BFC036215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CBE2F-85B7-4A35-A1A0-174A80A919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5EA12-BA0C-4EB0-9690-D461CE31FF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4BC3F5-DB6F-41C6-B2E0-09892B70CA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9D0DDE-7FB9-48A1-AF09-D1CAF68D2F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2BF79-941B-44FB-BEDE-C4F43F748B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1D0DA-97C5-4547-9978-EDF3902333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BEB54-7B7F-4883-BAC8-940B58D2D7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9491E-5BD3-4D5C-A449-843D48EF4B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7B8C2-8694-4ECA-AA56-3E6BC91F6D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6C615-9772-4BE3-903F-103461B37F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348EF-9E49-4F91-8368-5EEEFD30AC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B37C0-B144-4616-8E52-004040732A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6147B-D27A-40EB-AB48-37A3BC3250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E5FBA-B0EF-4DFD-89A8-BB59A536AE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6115C-DA7C-404A-B6E5-9D0B2A4B16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817B7-DA13-4068-9131-314F6125B9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BBE2A-9EC4-489D-A19A-B2E64FA2D4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61D63-52D3-4D59-A0ED-B72813F631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D630D-A309-4377-8019-A56726F2E4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8F9E2-5B08-4244-82F0-F10B93CC9D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DD13C-5DFD-4968-9AD7-7B7B39FB35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A1C6D-FC4F-4644-BD22-9EBCBD16D9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787EB-C0E3-4BF5-B49E-C97A210CB4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199E3-E39F-4B83-9C50-739D0CE173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6569F-E28B-454D-BAF2-5C67B2EF79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30FE0-4852-48E1-ACD2-2ABDB9C640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EE928-078B-4F7B-85CC-6D14E65172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9C299-0037-4D7D-B574-C78B7ABDF7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8EFFE-22AD-4F82-A00D-98A43E0A07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95F12-DBDD-4179-9C44-E2A352186B5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E60C8-59EF-4CDB-BBFB-DFBA4EF7AB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9DF66-1979-464A-B0ED-55E83DBCF0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E1C3B-CFB3-44DE-B00D-41F42863DB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03281-B29D-4E4F-98FC-8CC19CE89D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6E827-FEDB-470C-8D09-B0FD71C9D4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083A6-3C4E-4E42-8DA4-FCF5AF19FC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2DD7D-5354-4997-8936-B1EA0A4DC4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1B032-5236-4F38-BB2E-7CB343933B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BF4C6-DD67-46AA-8DC2-0596ED75EB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29F32-0396-4EFA-B955-E459783440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CFFFB-D43A-417A-B1AE-4FB78388F9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D8661-AD36-46F4-A448-B4BA42FF87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F9D47-8608-47E0-B8D8-A9E997F749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7BA6F-A122-46DF-95E4-466C3B5A34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AE9C1-6914-427A-8BA3-2F18DAE82D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DBD0B-76A6-4FF2-87CA-F4833A8F80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9DF945-75A5-4151-9495-C70A34720F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69DEB-0074-46BD-A3FD-2E7F7165EF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228DE-3C07-4873-8E20-1525EFA785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E4AB3-D609-4F9B-955E-4C0236F2329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6AF42-8E45-4A34-991C-49E247DC93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93FD5D-49CC-4805-851E-52473D430A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A0E83-4896-44D1-BB4E-E48928F886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27F48-573B-4E9A-AC2A-98E79574B6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276AB-1F2E-41C1-A258-DDCCCC17CB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B25BA-C4A6-4F3D-A789-46E972E089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E4576-10D6-4594-B41E-8D2917A87E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491D3-6810-482D-AA33-A4EB7F73B5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91F9C-C307-4E71-9DC0-6EE601BE91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C4D37-F88F-47FA-B10D-9E3312AEB2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C834EF-0C66-40FC-9608-C579E7C88C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C58CC-9630-4FFC-B129-AB24414698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D15C0-6F5D-40DC-928D-1F05D82D26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417AA-0460-4D21-8BF5-CE0A8ADB6A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3F131-BAE8-42B3-9E5D-45B2B57B39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5B395-1048-4790-8364-3209D79196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66032-A165-4DA9-BFE1-C99C954592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EEC38-E782-468F-8655-35468E3839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32C9B-9169-45E7-97FE-DAB7B4B6F0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BD755-355E-4A1A-A708-59870EE57E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92D8E-21C8-42A6-9FA2-706779A78D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F3E42-8175-4EC7-BE6B-925CED9B4F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C4475-9E59-4FEC-A58D-783AAC0B38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B217C-6852-4AA1-B39C-54428A01A4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E787E-119A-4F7D-B7E4-38ACD2B454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BA5DC-85C8-4267-89C1-C5B984E733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AC2F4-110D-46D3-9721-FCBBF0AFEE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F8B63-D93F-451B-8560-272E5D6864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E5053-359B-4074-B324-EC72BEED49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1A89B-2544-496A-9068-C65B6DFCE2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C5B86-3AFA-42B9-A6EA-8F129E4F14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77C4D-2C7D-47CA-AD04-6DE9AB2BD8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B7957-D394-46B2-8421-2086C504BF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09071-15F9-4803-846B-61BB746664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84A06-927B-4B5A-AD85-1EAF14FD52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86A44-FCE3-44D6-AAF2-F886C179DD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62903-5D8C-42A5-B4C8-E751C1795E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284596-33E2-4D60-9DF0-250B35C83B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D761C-FFA3-4337-9746-DE564CB7C2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C0F5B-F571-44DE-86FD-B2ADC4BAC5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13349-352F-46C4-BFA1-F6FFF79E2E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BCAD1-E488-4806-95B1-10BFE0CD9F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8F58A-FFCC-4C58-9A41-CE3A4A1B25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73EE8-864F-4C6A-8366-2495DFDD64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7DDDE-13AC-4260-B811-48ADC9DBD5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9232B5-B6CD-48BA-ABD5-1D4711E7EF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B6ED4-7B26-4906-B698-EA84BE3A37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CCF95-B576-4FC4-81B7-D06DFA0FCE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6704E-3FFD-4F36-A68C-403EAC3BC5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D9A9C-B0EA-4FB1-9B5E-9EBF539A27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E2FDD-C58D-4CFC-99DF-AC24B709C7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11BAD-3ED8-402C-AF00-B725F6BE8C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E626A-F32A-4749-B232-6473A736D7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CCC38-9B2D-4E04-B067-2AB82683B9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C36B5-CA64-4F74-90F9-53835AC4FF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34214-51B3-4228-8AD9-34E7E0401D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EB83B-34DD-4224-A451-61DD243C43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B8B97-D5D2-4E8F-8E26-18488304E4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05200-CD29-4B64-87F5-EE5BF6D589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09BF0-5F3B-431D-904C-A11EED10E0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D920C-A904-43D3-B576-CD76260E06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6686CF-F64F-486F-9E3E-F921FFBBCC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90A2F-E6C8-4585-A81E-4F77A8C989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EBB51-F538-408C-95F7-B507AC4CCA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DBFE8-4530-4CC6-B9D9-995CBE3583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C363F-7B19-48D6-901A-2470A54320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1B101-3793-46C6-8E45-0ACEFEC33E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E5555-1B88-4E61-BE3E-A5B66F6990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1AF36-DE30-4E80-ADAF-6DEF9CB296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3C81C-0D28-47E5-9535-DE556D9251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6BBF2-AA86-494C-9096-C0AF9A36DC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0E306-53DE-4215-9C2D-A6D98A85F5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091CB-33C8-421B-A44C-A07A67E4CB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308E4-729C-48D2-95C4-3DB00DDEFC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452E2-FAE4-4164-9D23-C952C061C3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1B70F-1C6D-46CD-9D6A-AE7324F967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053F3-2961-4E31-BE62-2E2A800AC0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BFA03-432A-4A9E-BD72-C8310E0655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E3EF9-94C3-4932-9866-04126AEBBD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23734-6518-4B3A-A2B8-CF0668BE61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0683C-ECCB-4D1F-9732-F40D957ED2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863A3-64CA-46D2-A4DE-2C3A739499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19ADF-239C-4BE3-8A3E-A8C5F40C66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3FFCB-FC45-46D9-8F16-1F5BBD3DC3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E9023-3752-418E-9354-D0467DF40F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E91D9-E20B-4FE7-ADB6-F232B33D5D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9A3EAB-780F-432C-96BB-C08B4BB1E3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F306A-672C-4D47-ACC4-0CC3BC7FBA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B4F4E-254E-43E2-B75A-E1B6C6F6A3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CE7D2-DBCC-4188-83CF-F48D0E9A149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A2B86-077B-4329-894C-722F9D13211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9E4F1-A889-4CDC-BC3E-0DC4D06EF40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5871E-FF9F-4D32-BD13-452D68AE5A7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E2695-3F46-4BF3-A601-C1C9C3D3F27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4022CD-51EB-452A-B730-C8F2CA7ACE5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50A1A-2275-4B8F-85D8-AEDEE01B555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2CA8D-60A1-4BF3-BBD7-C1581C5B5CA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53378-FE9F-42D4-A303-6B660B5CC9A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D79EB-A1BE-4B4F-8695-476FFB74A60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8A7AC-09F2-4B1F-A797-E82D0B32D16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58091-1331-4B56-9F18-F19E8966AC6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100B1-3577-4E96-A981-11224AEA74A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5E921-F419-4B0E-BF82-72AC8CB2CED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855A9-698C-4B68-A5CC-BC86EF62619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B14DC-19BE-4CFD-B174-DFAA0B02364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5B727-5501-49E3-A95F-80DF18B937A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FDD75-14B5-422F-99CE-17CDD94BE70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CA92F-4702-42DC-B5B7-E469AB05539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B8892-8B6D-48CB-B699-BDBD451DC65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DCE90-154B-4E69-859E-5005EAA4655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74688-54F0-4266-A75B-E41A1F130B0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06B93-4EE5-423B-9AB7-FC0FB55567F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DC202-5B94-4903-A473-DAD679546B1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5B316-C6E9-4ED5-9AF3-8343F16A50F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A1AC5-45DE-4F71-996C-4BCE4E5E032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44B7F-5C09-4EEA-A724-398CB8FD41E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A3085-3968-41F7-B487-A65891CA1C5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07A3E-DB59-4BB2-9F3D-D437281815A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2D3AC-57EA-46FC-ADE3-6DAC9869E58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F1FEA-ECF7-4F85-9F89-B5211DBDBEE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15A4A-D280-4E17-B418-3C8626904C6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3F5FB-5ECA-4C6E-8B8A-4991C69C78D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2CD77-A4DB-4B03-8D52-DAEB0205A4F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2A3BC-ED12-4BA1-939A-AB16E0C913E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973FF-3012-46C4-9AB4-663288E98ED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84DCA-669D-4B1E-88FD-E59128BC1E4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5963A-3FF2-4506-B9C0-20A26DB7C29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1F43F-E4F4-4F4E-B137-C564772310A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96EC5-92A9-4C08-BF26-D23F7F043D3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DEE8C-1D89-4870-97C3-421165A18AF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1A45C-C7D7-401A-83AC-05EC73DDC21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3ADF8-873B-4A4E-B902-D141BD81085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F30B2-FBCF-4A22-B8C3-50659E03DD4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3706B-A711-4005-9F56-392E3EFE76D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B5813-C75C-4B8D-896C-2AFC7090850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BBADC-B246-4A7A-811E-A780BA29E2A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738C9-17DD-4A23-B7D9-277B9FD3FCC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B9BEA-CFCB-4769-BF5C-56D55E8AB90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7895A-DF6F-4817-B72D-452B802E0EA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6F3C3-3C2F-4D7D-BB21-77BE271A192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6425E-BE2F-4F73-92E9-56FDFAA6EBC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F28A8-5E3F-422E-B66C-3FFB5084B6B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231E6-6CD0-486F-9FED-1D53B797AAA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80993-B2E8-41F4-A880-9B93F87E42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E116C-71B2-4B0E-901F-2E23B44E4E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FA322-A658-4F34-A8F2-488A9AEADF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030BD-E1F2-4770-A649-31C950031E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42A3A-49E6-4921-9D79-C39804020A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1260B-907F-4863-98BE-78B24972EE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3BC4A-C263-4F24-9495-83994CA9C4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4993E-3953-436D-9679-5EFE922A2C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2E869-11DC-405D-A71A-D824F1C815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9DBE6-8E03-4A0E-8473-93264ED0BD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CA008-783E-4C2B-871F-4E216AE3F5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FAECB-7E48-4791-95B1-FEADA11D5A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AE2D4-3B5C-4A0D-9B3B-431B0B96BF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A2954-01E9-4580-B8F5-AD0600D9D3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55DEB-388C-417B-88D1-094C2FBD87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EE137-09A3-45C8-8CB3-B6DE5E34BC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7FD01-0486-436E-BEFD-1F938BACE2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2207E-1F3C-4E1D-B355-D8F798A480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68651-F55C-465E-AC6E-5B76348B57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96B07-0331-4755-8E1A-7DAB90E932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D1E66-39CD-4E7D-AE0E-B7385028DE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6F0EE-7215-430E-8631-57998D80FE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530C9-58AA-4CEB-A012-0FD9DE8D11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3F96A-C4D2-42E9-B922-8DEA5BA7A5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20A90-C7F1-4938-9991-99644EAEF3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4F5BC-7BB6-428D-B142-84CBC56D7B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93404-ABF8-4E19-B187-D6423899B0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2BA6A-B04F-48EA-A4F8-0F2D6074E6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16D3D-8112-4B5D-BF63-DE8096B766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78C5C-3C7B-4872-9B80-1B71791C31C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760A5-1F2A-4112-8499-C4FA6A0369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117FA-17C7-4C79-AC2C-E691DB7E228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ACD9D-0304-40F8-A464-9C25A83657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30947-ED19-4A25-A853-261D3A8CFB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B12ED-985F-4252-876E-DA49EB0A66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A9514-FF50-43D8-AA97-132CFC71C1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126F3-BD0A-41A7-9EF2-9558FEB9E4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EB62D-11B5-4CD2-8D83-4699B5F2E2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203AE-11D3-4C28-A410-B3CA68309DA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853D7-F2DF-4B1B-88D5-BF7E62748A4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27A21-6C62-428E-9813-3D962C4D6B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AA51D-169D-4CE6-B020-AB15D519A3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5958B-08D6-4EDE-960A-232476E2B3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CEC61-621A-4B60-BD45-660B2136E7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B6FB5-5ABF-46DF-ACE9-DEFC8B879F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C2D2D-79AF-45A0-9858-8D1B924342B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2C95C-D42B-4F17-AB5D-FD09976443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CD5C2-2F22-4BE1-8878-4B74857A08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76DA3-4AD6-4738-BF4E-C60807DA17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C75DE-5A5C-4228-811A-C913D82A57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8F5A5-5EB4-47E0-A3AD-F748767799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8134D9-059D-49F3-A621-D444C4D514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354C6-8BE9-495E-896D-0FACA7AAD4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C272A-393C-46A0-9629-21BE03F131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BF0E7-FDC8-4505-832F-C9A78718D34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195DB-0F34-4FA4-8378-151E07071C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E487A-A373-448B-8182-FA15260A62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0635C-8D29-45E0-990F-856D567518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C99BF-0E4B-4959-B00A-3C1409F081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8B61C-D341-4D49-8805-4C12CF24F9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7E500-4734-482D-B6C3-EFC021D1D05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1FAEA-2825-4F57-AAAE-014B109E42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E9C3D-CD92-4827-A581-CD8FE5AB2D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921A1-B95A-43BF-9FFC-9765521E0E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6BA31-1A26-4E2E-BC28-ABD9F843C6B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C7B3C-3189-473E-B527-CA67977735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A4902-EF45-4CA2-8D67-6E00E30856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75D75-3BD0-446A-AB79-1C1899D1D7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FE8E2-10E4-49F8-8FD6-60825F8629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72051-A647-4753-A538-C7FACAF4C9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DBFF31-42E8-49B6-8F75-8B72FDF3B9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4DDFA-0D5A-4F4B-B67D-3030A67ACA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1753B-E64B-4F17-98D6-62DA1AFDAE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DF1FA-162C-42D5-9C2A-5C29D19962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7C882-45EA-4173-8B06-642A022297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C76E6-8DB6-4F8D-9FA6-F13AC98C27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55F3B-2B55-436E-80D4-790E2D5DE4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AC5B2-EE89-4603-A1D2-C0760451C6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1B203-9C7A-4293-B090-22F192C75D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94580-8236-4DC4-9B5F-17F7A82B7B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84BA4-387C-476B-8F8B-63AD7AFDBC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3DEAF-997A-4B1D-9B62-F107FB63F9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634F7-8645-466E-A573-55C8095EB0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F81DB-68F6-4C19-AFCC-1F212CD3D0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2561D-F00A-46F5-8054-F67FB404BE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B8255-8FA4-40AD-87B0-8344187FBE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BD927-FDCF-49FA-A03B-4728B8476D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79974-E6B0-45C8-9013-B650193AB2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DF9B9-3CC5-4DF8-A0E1-CAF99CC0F7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BF2BD-FCD6-4223-BB75-951565E7BD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9BB81-AD62-40C5-A2AA-181FF69E60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37B93-8289-48E2-BBE0-28DEA6F36C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2BC14-F383-4D52-97B2-48F270625D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145F0-3BD4-4A5A-A478-7E0C02FDA0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96D53-BC76-4D6A-ACFC-7B0205608E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AB23C-2918-414E-A11B-58089DADBE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B79CE-E456-4D78-BD62-4BD52DF908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E5ADC-55B8-41BE-BD1B-6720C7B75A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5D3B3-EE4D-4BB1-B62F-C37CB4779E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C7152-B078-4A2A-B759-0771979BC8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02CAE-397D-4ABB-93BE-CF766D5DA7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EF8B8-8AAB-4E09-8DA5-AA4CFC0FFB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6AB01-40F4-4368-AB18-80CB9D7B83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1F60C-FE7B-4360-AAC3-280DCC050A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DAB85-198A-44D7-9856-665C4C11D0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BE2DE-0F7E-4076-A9E5-6523955B02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0C32E-7429-427A-99A9-43B1D23605B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15D6A-549D-4EEA-BBE1-69C815145B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01660-E659-43C3-963C-BE3EFE3B5D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9BF60-7D7D-4F52-9002-E8AE2A2037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8EF3C-D4E7-4079-B836-18736725F9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C6612-0E96-44B5-BD63-B5F771968A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C5243-E3A8-496B-97CF-E1827FC8EF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4433B-99E3-41AE-9916-26F27CB08B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42B6C-3E0B-4BFD-9CC4-0EAA0A7ACF7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68BF0-3104-4FE5-BB64-8DCE0175AF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9E1B8-0546-4451-9788-5FFB3150BD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5F2A3-F8E3-4CEF-ADF3-A580AB1849D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619E5-FB7E-4FD7-BE24-AF8866E467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31124-11C9-4D06-A786-752C890B97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C9DBE-61EF-477B-A945-9600AD30A1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DCA39-5FE6-41FC-AE3D-92228D2E2A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31CEC-4AAA-4BB9-85EA-F4DBC5769F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8DEA2-EAA4-4B0A-BBF3-DE22361533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88B3BD-ECF5-465D-BAD3-60947969E0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69083-0608-4835-B09C-82F031C907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38EDE-898C-414B-BB47-D189A1C3F6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92577-7A65-49DB-ABB6-FFF65DCF0C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30F6E-2628-417F-BC48-14C75BA5E9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31521-7B61-4F26-BD2D-E9D87CDB0A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86B9C-7EA9-4CC0-9ACC-A2146D5000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EC67D-E0DC-4011-A421-9F3EB76289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F6A99-F259-44A6-A857-EF115E2B8D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FAEF1-D620-4957-BD57-308946FCCF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BD66B-21E0-4024-85F5-0A3375C160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DAA29-F9E0-48C5-9CE0-F1F3214A45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1445B-F4EC-41AB-B8AD-F8C6E2CFDC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AF466-B51B-4DC7-AA77-31A7362CEC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09BD0-5F00-495B-8E93-0E1CEFDAB9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EB36D-BC43-4501-A322-8F854E9B6B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A825D-8845-4AEC-AA04-BADBE08603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39F83-3457-47DF-8696-BDB20F54E9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CF16A-39CE-4415-BF19-A9CFF49D9ED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795A7-3159-41D4-B402-CA8B13315A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52858-11D5-4AB4-A7AB-33554C2F2A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D0AA0-D36E-4021-A969-AA0C748884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BC897-8D53-4A03-A8B2-94A59A9C01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A8993-9C8A-4416-A75B-004CFC0CA7B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0C8CA-C797-4758-A013-5F04594479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D4223-EAD9-404C-946E-D42BDF8BF7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C22E8-295B-4ADA-88F4-D57CEA3051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E08EC-F903-4B2E-ADD4-DF9CE53F95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9D893-98AC-4B97-8545-0695A1FB59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2E95D-C893-4D55-B1DA-2209265B50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7854F-D3A6-42AB-B8AD-F1A68BDE45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307CB-196E-4603-9D75-981011ECE1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C87FA-2192-4F9A-8FFA-13073359E0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504CB-6E74-4CA8-8961-D3168FFF5C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09E0F-575A-42C6-B751-251A1F0507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A8A0D-8ECF-43AC-9823-6E72B57743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E4777-5B16-4C1A-9147-A6C7B1D060B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48114-37EA-4F96-890B-B15E745507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35FD1-0C5A-4FDF-9384-9C3B42EA17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704BE-B28E-4CEC-A35B-8F9320CEAF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C5AE0-F1C6-4482-97CD-275BF626CB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2269F-059C-4692-8111-03B966B852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312DC-B771-4075-A5B8-48B3905F2B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0F6B91-4E5B-4CD4-BB9B-D4522F5DD4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FBD40-0815-4259-9B16-8ED547D5B6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B1701-7915-46BA-BD65-9F8FF2C070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3C28F-9E11-4983-B47C-06B5EDCB07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AE1C9-6F0D-4E85-8ECF-6BAB014D7C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07F36-EA1C-4B7D-976C-0A1D68B965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43B4C-6BF1-4018-9B95-F476C97ADA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B3085-0697-4DF6-9641-A5D34DE2FD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2AA35-EB5B-4995-8F5A-37C66EF11D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F518F-3928-41A6-97DB-BD91984DC8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90B74-6B8F-4AB9-A5AA-0351599E74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EF6FA-C184-4BC9-AA0C-F9B479EDCBC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B5CA8-23FE-4826-BD75-253B472D36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537D2-EB82-42AB-A607-96D5CD9C39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AA6DE-757D-4F01-B9B7-CF360D5123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445FC-7BFB-4451-9F5C-6542B76611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A42CB-3FB2-4087-86FF-25FED277AFB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9FCEF-FB19-4E84-8328-645BD2BC8C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875B1-1ED4-4FEB-A95E-C647764A12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C3158-3915-4123-A5EB-380FFD50DE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D0DE6-9366-4897-99CA-AA8812BA3D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49CD2-EA37-4625-A499-6A63537BF6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5622D-B772-4B04-930F-E17CA1EC2A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BAD96-7036-4FC1-A5BB-A0771C61C5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9B011-D2EA-43F3-88C8-DDD169778D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E5095-AD66-43C1-B7EA-81837BB388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1AF7B-E016-46F0-AFDC-5B4DDCFB10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B73BC-3801-4F94-B89A-DEB7AB28AA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67624-CA7F-4959-8818-E535C29438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1D0CB-DC59-49C5-87A9-C7573D789B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9FD56-830C-4224-A678-FA25D37E9C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73273-1E5E-49EA-B314-8ED56726FE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90FA5-F979-4294-A1F2-8B91E8D5DA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6FA06-8342-48A2-9AF8-63421DBD73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CE07C-EB7D-418C-AA65-5CFCF8B1AD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C57C5-08F3-453B-94A6-EE145E8E3B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83D26-7A65-4C11-8ACC-AF5D09257F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467FE-F3FB-4ECD-BEA9-6FD32E95D5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59340-4518-475D-9327-8C12BBF3C9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BC0D3-D0F7-4602-882F-E341AD8FE6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9F9F9-67D8-499E-8C74-4203FA485F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28167-D23D-4D0F-8D9D-DEFAB558AE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DB8F9-F3C2-46AF-BA51-36999905DD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6167C-3D53-406C-84DA-3D4BF21A70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9DA7F-7A73-411A-AE3B-421419D76F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AB000-F38E-453F-B9EA-B98BDBF6FE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45499-888E-4719-A33F-EC3F763D20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FE7CC-B6CF-4045-8F1D-B3C0A41490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AB06C-0297-473E-93AC-0AFF7FD474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49100-BBE3-4185-A96E-CCBF1A5791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97E36-1392-431D-817F-5735A3110C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F9B77-52AE-4689-968B-0B661C2AE6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537A7-0B6D-48FD-83FE-5864CA6520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DB379-A7A7-49C0-843F-31264C25EA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8985C-A40D-4090-B0E8-A404635553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B2773-18F8-4E26-9853-C4D34DE380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E997B-4F37-4B0A-913E-71BFA056E6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94DCA-305E-42D4-B5B8-0B86880767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BF94C-C3E1-4E76-BCB2-1B912B05AA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10B25-7521-4D15-BA0E-CF88FEF5C0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4BACA-68B0-4F92-BFF1-05B1998FED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8278C-1C90-45B6-8355-DCB2181ABB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6660F-16E0-4191-84DF-ECCDA1BDCA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E9E78-A0FD-4D4E-87D0-84F59F5979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95658-94B7-463A-8428-C20A8893C6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D4344-1052-447C-A07A-3FA2117AEE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458B1-3F10-42F3-BAB8-7ECA7B617D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E4AB4-DF21-442C-AFA7-74D30BCBF4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26DED-6E1B-4800-9BDA-1CC873D530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739E0-2EC2-4704-92DF-AFA0D4A1AE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B5382-5763-4A20-9A9E-B7419CB04A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4D7D0-284D-4827-A1E9-1CE6E10143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22806-F2C0-4790-A8F9-7FA38B70D5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AC29C-ECD9-437D-8CEB-58ACB5C67F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5A7A2-08BA-488C-ADFD-44A570293F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B8D0F-C635-4BA5-9CF0-F2297A63AC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14489-B636-4383-A45D-E3A7D35492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74E08-E9BA-4436-A8CD-07B49D900E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D7F1E-6ED0-4452-BBE9-F502DEDFA15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B0B7E-D170-4E2D-8686-104D64E6CF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438F4-1C52-42B0-BE51-49EA8A4A54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1E113-0F0B-4F39-B304-2D30E74FEF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58D80-BB23-4F22-95E1-16A154B44A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2DA01-6A38-4821-B76F-2F9882A7ED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E1369-F3A9-4F7F-A2C2-23B2B921BC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D7A23-90D9-41D7-B127-EF2CA7096F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25841-A325-43DE-B0C3-C316D0356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75CD8-5F93-40A6-AD7F-DC7BADB922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999EF-8368-476C-BA85-C345C128D5E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A62D8-0312-42D9-8D7B-FE5B3370F5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B7A3F-2F28-46F7-9B86-26FA71DA8C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0D6B6-7CFC-485F-A608-B4FA23606B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DF502-1208-41DD-8FD9-67606CBAFB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809AE-646B-45C4-AACA-FFD1C55816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9E1DB-6403-4162-BFCA-E73AB50945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D82BE-D1B8-4958-AE73-CCCAD47537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8822D-39BC-46E3-B5A1-490E49CE89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FBDC5-F70B-4910-819A-F42F45EE6F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DAED2-D5FF-456D-A87B-93322E8F0E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82711-E037-4796-B35B-966FCB015A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F2A2B-43AF-453E-97D1-B0E662DF1B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907D7-7721-4471-A66F-F29F567F27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F80AA-75A2-4623-82E3-6B29468C98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4AA3A-E98F-4D72-BFF7-2BBAF07C82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AE8D6-3667-47D2-9496-9F83DDB3C3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75D32-7F72-4884-988C-1B2BF76813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11C40-B277-4C15-8AAD-CDCE68CADA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26C9A-FB81-472A-937A-9A0FE14C41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24CAE-EA9D-440D-B919-B745877AB4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AED47-D16D-4F6D-ADD0-9EF7984C56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E1476-CFE4-4C1F-A108-9C74BC9180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380F3-23E5-4262-B26A-66F8676FFE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D7F87-4E8F-4EF6-BB6D-EC81B6C8B5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C2A40-27AA-441E-A97C-6348F9A6CC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DBC0C-2B51-4563-A49D-51CB7039B4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EF160-3C78-49B0-8FFA-907A451C5D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1E70F-E198-43DA-BF42-14ABC06D13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F9B69-4880-406E-B699-3D21EAEF8B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B13221-2992-4712-87F5-94D6F7863A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462D2-1B20-4434-B341-1EE1957E2D5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69ABE-107B-4484-9652-CB8A437F60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0B94B-50EA-44C3-AD23-4594003060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D32C4-DF97-414D-B2FD-2D77156727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F0D11-0DC4-49B4-9BF2-BEF6D32FF4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E8B1C-F515-4B80-AA2C-20405D7EA9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34C7A-1AC6-449E-A55D-0EBF97AF6A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B3CEF-4BAA-4522-9136-D318842C79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B6F7E2-F864-4C0E-B477-BE8D5E69C4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0BF2F-55A2-4B73-B1B2-A9A082ECF8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D3385-1C4A-4AC6-A5BD-A0BC14BF22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B9A9A-3471-4AF6-BCF1-E15A856D2C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FC5E5-D748-481F-B857-6D490AE9DF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C9A4F-024A-4E1A-B1D3-6E25214D48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3E920-52F1-40AA-975B-A1F73D582D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1862D-62FB-49F7-8597-ED1EC4B425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7C32D-1D6C-446A-8062-969946B29E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13D35-4E57-4939-A918-B1ECFF523C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38D56-8426-471D-848B-FB2EF08FAB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A88AF-699B-4A5F-9790-6D05D99000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EDFF5-1780-4EA0-A2BF-009E37DDA6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AAE35-6820-475E-A6D9-EAC423FC04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84D95-FC45-4067-9320-8466E4A96C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252A2-4E26-4B6E-A44C-08EE4E602A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4A1E5-5135-4ECB-883E-BBB68A6136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899B6-2012-4E72-AC84-7FAB38CE43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CBAA8-A693-4455-AB93-475AB14C90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B5F62-601F-4621-B6B5-E9CF26B23B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8229B-6220-4404-AD58-FC4E2C7E82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4AFE9-961A-4495-9C56-09BBFD199E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959E9-C52C-4DB2-BEBF-5465309483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1C087-B4E3-422B-9164-F385D88A59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E19BE-C873-44FC-83FE-74DCEEECF4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DDA1F-3AD1-444C-BF9C-1DFE2F7784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C308E9-4E42-4574-99F4-2311166556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90400-C0DC-4F7B-96A5-283B9A194B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14B27-9357-4009-8D5F-2B93DE180B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43D2B-2812-44CD-A644-4884D8BADA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42737-BAC7-4C76-B1EA-6CF37ECE53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5A6A5-6739-40E2-8108-DB93A3C57A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FEA4F-8613-4C69-9B3A-C3B224ECDE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6DA2D-DE32-45B9-8B9C-CDF75837A0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82B66-5DE9-41AC-9573-82A44D6886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D8501-365A-4237-87D9-614AB5B240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CC1A5-FFEC-4D11-88BE-9F45C662B3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923CA-1C8F-43E1-A765-A3C9D140DB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77D40-C606-44EC-8881-A7F6AD92C2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D3BCC-80C4-4D50-9B74-5CC55A873FC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221EB-7764-4BD2-8F67-4FAF1F7912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9A912-844F-4830-A30B-4E32FB832B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2153C-B508-4D7D-BF42-CA03496BA2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588EF-3D8C-4C0D-9731-06050EF1D8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965AA-FB47-4DB7-941F-1E563F236F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CE3EB-6A6E-446D-9602-0DA0E2E4BB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9D1F1-6211-463C-9603-2EE36E8E83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DE4C8-EEF3-4F6A-9CDD-86D6A1EDAA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51A25-1102-4F99-BE72-332B9AAC4C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871DE-0791-4C82-A326-F527A0BB61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8F9F6-FF63-4911-A840-5D27CD57FC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4C59D-5395-4FE4-B394-CE0B9A31A8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D5F55-9342-4491-A29B-33E0CBF0F5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0C144-4622-4FE4-BE58-52286CB500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72E83-DAF1-4ED3-9E8A-CD0E61501F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80A4C-BDCF-468D-8CA9-3A00C3170B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B820D-AEF7-4F0B-A740-316CCBADB4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C62D0-D273-4D6D-A999-ED4DF5073E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823D8-142C-42CF-A339-856AD14972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AC2AF-2C24-42B5-BDA2-420A6364D1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0EE95-CB74-4C60-B70C-7AE3BB542E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D2F38-6B3B-4230-A5C9-453E5D3C41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3AF6A-72A6-416E-AA8C-42025B0358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71A11-7866-4890-B317-2002D44512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9E230-E376-463E-8182-CAD92E9FB4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EC318-CF67-4EFE-8F99-48DC7957B1F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B723F-A091-411D-A8F8-DAD6DF5F83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B8288-06C9-4DA4-993E-6A90BFFBD2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A7F6D-7663-43E3-8C4B-76B39D2F6C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1EBF6-BB87-442F-91F1-3486E6CE27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4E0B0-993A-402D-B029-1A92223E25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0A600-E031-4A5F-969C-BCFFF54F51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26B2B-BA8F-4AD0-9736-FC012C2645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A7FE7-3BC6-47FC-96ED-3CA076D107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A354E-986A-4542-A826-E64A9BC313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FFC55-90DC-4C0C-A884-CF17F4D004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A2B12-163A-4ED9-932C-A7F93D804E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E95A9-A328-4008-B8A8-8FE6B1659A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0223E-E9A4-4926-BE20-1E1D219C48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A8E3C-D49D-483A-904D-61195128EA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0B1BB-4611-4082-9C6D-17A60A7E31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2DA8F-3A62-4F5C-BDA6-BF797B2C87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E3CDA-F2DB-4C4B-A866-33F6708ED7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7FEB6-0AC5-4492-8EC6-FC36BA5274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C5C0F-1D1C-4F23-9678-55F844E54F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3F64E-EBEE-4112-A3B2-E0147D25D2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C303F-2464-4736-9745-420A068864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5FA68-EB4A-4A8A-B4D3-870853E904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3BA96-5F08-4AE0-B660-862B997077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6E63F-0BB4-4F62-AFFA-8FE7AC5FE8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B7C46-A0B6-41A8-BC6D-B11F826584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39FCD-508E-4459-ADE1-04F3A3580E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8F9D2-6EF4-4543-9675-D94E6D877F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C5816-876A-4381-B5AB-441C69055A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BB772-9999-495E-B5D2-2266B45C4A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E8FC4-1D9A-41DE-A95D-9ED8E3ACEC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FA7C9-A0A3-44E7-B0A0-6384A439CA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A75D0-82AF-4134-9544-9EFB5433E3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E74CA-D650-4179-8705-FD3164813E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F70AD-5A50-4E3D-8EC7-4D995D9E1C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E0E49-9EA1-4FEB-8493-7E395E05D6E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98A42-BE2A-41D6-9E5D-2D56127695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A5892-EF7E-404B-9DAD-77E2480E28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A9646-9726-4A94-9A06-54CAB8A1F9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97B07-7122-44EF-BA1E-9DA763E3B7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DCEF1-0976-43D5-BDD0-3E24E38503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F962A-31C8-49D3-8BF9-7A5C928AD3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2C0F6-6AB0-43BB-8E4A-24AAB52CB2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40E8B-0F38-4490-ABE1-8CC1AA8EE9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27643-2FC3-4FFB-B8E5-B6AA198764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C6848-59D4-4089-8BF3-33C568E67E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44699-3CDB-4C20-BB14-F5F0922617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DC140-C607-4752-B209-7BD542DB30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1BCEB-9C81-43D0-B410-25D1F44E98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0BEAE-CB7E-449E-956C-C6F40E31617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9447C-F827-4F44-A19B-0EF2EF99CE7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55ED8-9B68-4D6A-9737-2584F603027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C677D-867A-4DBC-A037-33C25993D11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235D6-73A8-414F-95FA-82A41534384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01417-7AF8-4FB4-A716-2827EB51238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2342D-D8EC-439B-92A4-36952D45087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E294E-F418-4206-85CB-DA04BB38F11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97BF0-70A0-47A4-8528-D576B6DDA14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F3A97-0ECD-48B2-993A-44D6FBA95E0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DD9B0-F4F6-4E5A-B05F-7BF1F4D3D4A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5E82D-1AA8-463D-86D8-0B3C7C12DD0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868F9-866F-4A21-8B32-E9B5F2CE449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20053-84DD-4A19-915E-37B69BD988C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BADF3-F2CA-4040-815D-E55B2E0CDE5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3B113-3484-443F-A3C9-4088BCA1CC0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65C5F-7264-4A33-A4B2-69FC6B905A3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AAF0E-0100-4893-B602-0E63F2F0D55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CBF58-DD48-43FB-821E-CA9003EE881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8A2E5-2EC8-4C07-A928-7D58965EFD2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66BA7-3D9A-4C2B-B094-ADED14262D6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22194-D2B4-4075-B285-E0E26EAE6A9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30D44-4A48-4FA0-938F-5A43BF7A391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77E0E8-99CF-401B-B953-C286EADA17A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B65D9-E683-4924-AAB1-3925B6CD2F9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A2D49-5D3C-4D96-9E67-371F651A6CC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45D99-3164-4CB7-936F-CB39EE1216D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360BA-F08D-4A50-B43E-80B146A9F9C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9D5A0-9407-4B44-84BA-FD25D14D0C7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B4303-04AF-456B-A8DC-01D479573F3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ABFAF-0FE6-444D-8D6F-C34808E9591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7196B7-8A46-439F-8D66-27FC8A4DB89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0FEF9-9C9C-4332-B559-AFAEDAF7AF8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6A190-81EE-41ED-9D60-CFB10654BCC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25723-7E3E-4B21-86A1-DDFA70B2B3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DD810-6A36-4D9E-8A1A-0206B36CAE0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ED0AE-E39C-4C4E-B9B6-179A9DC272F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452F8-64A1-4164-A3CA-0406F28AE01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A80BF-E86B-44F3-A691-EFB34219FC0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D0B2A-587B-4BA8-8C6C-F8206BC62D1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711299-9B84-4B6A-AED8-BDB1E3DA208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07A0E-0AF2-4C4F-874D-43F53FB17D8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24EBA-3EB1-406E-A178-F75BAE7733A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8FB8A-55D8-4102-8689-DA5F03B723B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225D2-CE44-42EB-9A1D-3F08BD58CA0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949096-0E37-44AF-90AF-D9BDA47479C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E2D06-E4BA-4F4E-B62D-335D85B0D4D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3C5BE-D89D-49AE-A75E-783E5F9C1D3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BCACB-655A-4CE9-91C7-BF6C5648776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78426-CDC1-4102-BD45-6B067E0E2F2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7B9C4-6419-4F25-9228-3524FE558FA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A3A73-2ED6-441B-B9F0-0A6DF6ACE22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E3D39-1622-4F10-AB41-DCCC9B8F209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19BAC-80BB-49C1-9C56-865844F4C14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550E5-1430-47A5-AD68-9A590360BA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824FF-A75C-4C81-8FF5-0B259467F7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1574C2-62F9-4E8B-A86F-CCF6B4DC25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4E59F-3472-413D-BE0D-AF1F1471F7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2386C-CD1B-4B2B-9317-EE64C110CFC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8CD3F-00C5-4F18-A5C7-0B6C12D352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52B7C-DAE7-4E7E-881F-8FF0B57FFB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B31CA-B7CE-444C-A442-1EBF9B1840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8246E-DAC7-4F9D-AC32-13AF73698B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1413D-C60B-4244-B36D-0EF9490203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803B4-1D79-4708-82C0-7E9D283104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8D9CC-6037-4FEF-9327-B21F4E6155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651A6-4E14-4A78-85AE-DD45202CC7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77D0D-C874-40EA-B3B8-EC0BC251E7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E8C2D-7C8D-4DB5-A1AF-ABD81E8ED1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09A14-8346-4745-AB21-54EDCBA446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B047B-23F6-4CC7-846E-92DB292F61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0EBBB-6742-402F-9CFE-9C27B7CB39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BFAE4-0FE0-410C-B760-AF0157085E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74867-6E63-4351-AF44-F93746D1E6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DBDAB-BF35-436D-A0A8-F7E0B6E7E2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ED164-B7FE-4B27-89B0-08209745AB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B5588-2277-4522-8CBB-48046A577B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F1D29-1743-4F1D-800A-CD044C75BC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C4233-3CEE-4034-BF7B-33DCFE1D7F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933F7-EAE5-463A-B8A3-A38648AEFF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191EE-571B-42CB-8D76-6AD0428FA3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751A1-AD9C-4BDB-858C-0EE00B9A86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90C07-16BC-41D8-9935-2781C17634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29A74-A104-4F54-AA47-9DE5D4B76F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0CFD8-1C2B-4E21-9918-9A985A4C84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B604E-79AB-4DA7-A039-6331BA482D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24D8F-2E03-4133-AFF9-042208D07F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266CF-5B69-4DF7-9493-0419F50F31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EAB44-62A6-4A79-97F3-DC6735C41F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D5B70-7226-4CD3-8E21-95C816E4AC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C81D8-A3B6-4F39-8CA4-ECB0E1E236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22FF8-14E7-463F-9765-912380762A2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666D4-A637-4496-B6AE-21AC7B6872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D4163-FECB-42DD-855F-E6A7DBAF22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DDB68-0761-43DB-9909-761CB5DA46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B6ECA-6C8F-48BC-BBF1-BE6CD696DE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30D88-BFAB-452B-9FA4-B7CC3D9D9A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8FEFC-7A60-4EF7-A383-DE07CF68A2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DC1BE-D0DD-42F3-A3DC-9C9E27B8E8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642E5-31BE-4E12-86B5-C80C6C4ABE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8AAD0-9A5C-4C5C-9106-C339C91058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07345-2B3A-4E08-9CA2-572706FCC7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5407F-E4FB-4F11-9E34-DAC0A519F9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FDD88-F9DA-48D6-93CA-2B82FB95E8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BD4C9-1D72-44AA-AE66-49E91D1660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FC5E0-9C4F-4924-A8B9-93E59A8DDF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8AD58-9784-403D-8249-070CB6B0F6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47F31-5035-4820-9BC0-7B633A9B43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745CC-1E62-49A3-BC94-9F292A8DB9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700D4-7668-446B-89AB-6C2BA06F19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9F5DDC-7ED1-4248-809C-18285830BA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34780-6670-45B8-8CDC-0F1F0FCA49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316A3-A471-468B-BF10-04B90B4919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93D93-D6B2-468B-AAA0-1322130B68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F32CF-A8BE-4E67-9136-B0B0E949955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E1A82-FC0E-40D5-A636-1E4B0EEE37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DF36C-38CF-4803-92B2-00F2A79295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DD744-567B-4767-B5E3-BE9DDC7306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68BDC-FAC7-4B2D-A1D7-B9077A396F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6CA02-F34B-457E-A8AE-06F40240ABB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AD225-3E92-4368-A168-E3F45C3777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91D37-A384-48E8-ACF2-021B90C4545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07065-E736-40AC-A43B-A53434C723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08090-E426-4630-B31B-5BF0093FB9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9598F-90A9-4D84-93E1-20E7A47B4CE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549C5-4065-4CE4-9E66-9821201B6D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87054-6DE5-4ABC-B376-43CFCF9594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C9E59-1976-48CC-94ED-442DAB9606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044FC-205C-4620-B027-8828503668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16071-1471-4D80-A94A-FEF181CDF5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F4B88-0001-4ABC-8000-41BACC898C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29F1A-7716-4C51-B70D-7E75487187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327B2-29A8-4085-A9A6-DDD02E4A68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F7CEF-1E8D-47EA-9CE4-5B555E9049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ADBAC-8AD9-4A66-BC42-9482CB7403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9C93C-55E1-4750-AB35-F5938AF594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2A2DF-C804-44A0-941E-5368C77154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BB3AD-5BDB-4B11-A6D8-F967304B2A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437C1-380D-431B-BC60-B1B4DA57C7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0961F-669A-4B0C-86D5-37B7FF6B0E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2E48E-B84F-46E6-99B5-9F64EABB7A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26019-34E1-4291-AF59-863823B8DC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F1FCC-0F88-4921-B1F7-670BC7B5D6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81114-89B2-4955-822D-D874628E4A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0F00E-0847-4C89-B4C0-604290966C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564CF-1929-4AC8-B1EA-11746839D7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59198-0F45-4A4C-8EDC-4A0CC090C3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F16FA-EA31-4CA2-8BEF-7B5F834CB3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93695-668E-41EF-9C6F-9C364938B7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4F1D1-6387-4C7C-A795-436D540C84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E320F-9021-4FC9-A6D9-518F48D991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13302-6155-48A7-9A83-E408CBEC0A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C2476-FB33-4CD3-8C8F-A587586222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74044-6157-4CE0-86D1-355B12A409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EE90B-4007-4488-946B-6FBD394545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91FE1-42DB-405A-88E3-B49BA4D189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5084D-A0FD-4AE3-9464-A2A6FCCA12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CD599-2BC3-4DF4-8A5F-10BBF3856C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19DE7-8EFB-47D6-90CE-0076AD4D93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3CA02-34B9-4770-B3D0-0A445ACBFA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BBFBE-919B-44D6-B201-3693426632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5A5872-AF48-4649-8CC3-44A7E01BF14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99D84-3CEF-448E-A62F-EA1A7B93E5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40D98-095C-4071-B234-BEB70FC16D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704FF3-17B3-4B9C-86BB-78065DAD07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8727F-6E34-47A0-AB50-59E1961F85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25DE3-BABB-4D62-B793-0D9B88F08B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F3D31-D7F8-47FA-AA08-505E65292B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D083B-C0E5-4CF6-8677-E135B4E0E0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B7313-E3A8-420D-8FB7-D82FFCE0EE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6C79F-524D-44BC-819C-58A2203532A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854F6-B0A8-4F66-8352-F26049AC00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48CAC0-E7B2-44BC-8754-254B4762F56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104DC-B9D3-4FF7-8C57-836CFD6F2C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3B5C6-3D43-475D-9619-ED5702DA48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FE415-B3D2-442C-B5CA-92D0CDA7CF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EFF39-F102-4805-95E8-915E89CE12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CB8CA-6863-490D-87CB-61DDEB50D9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6C954-70F3-468A-98D1-E8DFD1EB9B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6E3A31-682C-4F3F-AE37-2FF2746910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8A34A-BBFC-45C3-B36D-909A46BF66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FC589-3335-4EF5-B34C-D6DE3C0492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C1F70-9EDF-4C09-88C8-5CBA43ED43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A49F5-E0CA-42F5-9F9D-EC55FBF0CE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9C8A1-0B2B-4B50-A37C-156199475E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64B9B-F34B-45FA-8C93-6690D463DB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75F3C-D801-4874-84E4-FEEFF6FB1D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DE37A-9B29-462F-A405-FF5F575C54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7BD2E-DEF9-491D-B977-EB351F866E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57584-CDDA-42FF-8A6D-19B1053822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BBC3D-B8CE-46C4-821E-38A0CE1ACB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F88B7-F9A6-4DAA-8774-757EE8359A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9AE06-2580-492A-8302-795F193C85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365B7-1C0D-4F00-A0D0-3EA7A4FDEA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2871C2-99F5-4449-BC5F-435A4E7D32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30EFF-CE79-45B3-885F-1776ACB4E6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7BE21-8E6D-4DF5-924A-DFD0C9F2CA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479D1-AB85-4A99-BDB1-43C31BEE5D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32FD8-7298-4133-83AE-8F0CD503CC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C391F-73E7-4EE5-9B46-9715CA4874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C2A5F-E721-41DB-959F-7C39A1FD23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23731-0309-4D1F-A160-EC99875E02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5A51B-F047-4559-94F2-725B22C22F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912A0-BEEC-4FA2-82DB-BE6851E393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A04EF-6B0B-449D-92DF-B50AD00B67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09896-253C-4EF8-BCBF-8FA5371E02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10342-03EF-460C-9971-DA34108FE7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64535-64A0-418B-A653-3DDC13CAB7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48787-D230-4BA2-A230-35C51B4BDC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DE675-3D8B-45FA-B4E3-F230981C53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37384-7869-4C33-8A33-CB8A404B2F6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1996A-83D3-4A67-8207-89CEAA1CAC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D46FA-8CF7-40D4-9C36-1AEB63B61F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6D624-42F7-42DE-B1BC-F3412D8BEE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0DA2D-C726-499D-B79C-4AFB867638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C879A-C547-4979-8D1F-2B5C124E6D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E9912-572F-4099-8F82-3CABFB0A24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488CA-A33C-43BB-A65A-AD1C1045B9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EB50A-C31B-491C-ADA1-9532BB445E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68DEA-D161-4BDB-99BD-D730D0FBEA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4902B-9B55-4748-B7DA-9EA29B96DA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15158-218A-49C4-871E-025DD67FF2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86B62-74B5-4A2E-938C-5AB92C4784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59F69-B8B8-4A6B-AA30-EEA7BC9DD1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4D0C8-C4F3-4564-8713-2943D9DF71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9A682-0253-47B7-A293-6B18283C6F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B64AC-8588-41F4-ADD9-9DB08E9F8A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72334-A2CC-4D0E-8EF9-F1D3B5F802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D3CF6-B5C0-4243-9106-9CEDB20D01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FB5D2-67B9-4CD6-A31F-B716C624A9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18D69-678D-4A7D-8B79-50718528D1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34F66-2414-4A85-AACD-FD81B13D70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FC0C4A-3B48-4156-8218-730856466E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F59FA7-6191-4C1F-8BE8-B99394716C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B3E13-445F-4F1B-972A-558C8D61BB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B8EFA-8490-4735-9B84-E46C8E2240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BD8BC-763D-4413-A7F4-C9223AFB4C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0AE54-326D-4675-80BA-02AB12BEE3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6E1FB-7CBF-49A5-B6D2-C8A08B415C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BA0D9-70E4-4B69-AC14-90EB93B502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FC814-FF4F-4501-819D-7057E241F9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D17CA-6020-44A5-9F96-E1C5D401EA9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7E86B-1D14-4178-9FD0-B4FCC8C573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C596F-EF3D-4AA1-B6AA-534C9C7E06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38872-0389-4677-B0DB-C4C63671E9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8F6C0-6E69-42F9-8B29-3ABD4B3C5B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2CBC51-1870-454F-8B42-1B23585DF2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99C1A-DF61-4A07-8531-AB3CA88669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BBFA4-D5F7-4BDC-85B7-CCD8C2B847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D68A7-D814-4074-940A-F7B329C2B1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0A7E4-2979-4B74-8B61-B1CA52134E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A268A-019E-4A1A-A99D-3B3AFD9F4E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A76BE-0067-4C83-8DA3-1E9104E5B1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30186-CB21-4C74-87C7-02AB6F0B63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EE001-0AB7-40D1-B3C9-98D75CC7DE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720C2-6E10-4181-BEA3-4869009F55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3A91E-7590-4239-9B5B-DEB63308B1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2E839-DAA0-40D4-A4BC-68071BBD41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DB1D7-9709-43F1-80E2-D3901D0756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FC0D8-1876-415F-BDA2-BCA135E438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ABCD9-DA84-4162-8991-7264C39EB5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850E7-8055-4D33-BAC0-F4364BAEDD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13D25-7709-498D-8976-F3781E8C7B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7EEE9-5A55-4E77-A234-1E055EA9FD4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0AFC8-C5A8-4656-B047-469380BD85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01E3B-F7E5-42D4-975D-978E494FB96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34872-3351-4C1C-9B35-764F35D8CBD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0D7CA-38EB-4E2A-BAAC-C5F8AA5E29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C4650-D97C-4C1F-98A4-A8636ECF6E5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A57AB-74E9-4005-9941-BB29C88568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930F7-A650-47BB-9838-A4AE593B13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09A58-B4DE-4681-B2AE-14831EA7B7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71F3A-DCF8-4256-848A-505A26E54C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5DFF1-2F0C-460A-BCD8-9DAD0A3DB3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F385E-7B9F-4762-BC70-D0D65E4C54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0D408-74B2-4F2F-BF24-AB64FC9E84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33D94-890E-4935-96F6-681B1DF20A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DB3F1-245C-4667-8F79-445553C5F79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15BD8-C62F-4220-B354-6A134AFDB7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2A4EBE-6934-4A22-8FD8-4E9F631A5EA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A2E3F-70E2-4279-AC96-0F1A123A70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9F037-6F32-46DC-84DD-984E9CDE76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7E8D8-0CBD-464D-B293-913A65F0F57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11D95-ADBD-4755-91C9-3A3E05E166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20FC2-BE7E-4EEE-A1D7-C3D53E668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78727-8694-431D-A140-265C7F46F6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2631E-9600-4851-A755-AC72723E59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65CB8-3F79-4B3F-833B-2AFCF18DC8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E7836-E8F9-466C-84E6-12D986B6A0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6760A-7DE5-44D2-B70F-45EA500126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A768F-A342-454B-99BE-2C413BAF19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1F23A-7377-44C0-9D2D-75C6247C4AE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A4646-9965-46EB-90CB-B52EA6A03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8DA79-D787-4FD1-A37E-F7D7A40E452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BE5F7-BBF5-4397-9019-E163E7C43B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51A1A-D9A9-4402-AFB5-DF2098EA56E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2440C-ACBC-4908-A8CA-266BC77106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16C7E-1A1C-4AF7-AE49-D42D263DA4B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68096-4EA0-4FE0-8A9F-9C7B10527E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FAC97-BB75-4A36-8F70-D898E11E405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E2117-ADE6-47AD-B362-519C69B4F4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3EA4D-0228-4201-9624-C051DD823C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BF655-7A9C-438A-B596-195F122DB98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B6188-9322-4772-9D72-C2313227764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26788-8F1F-42CD-B892-E641968B58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90260-9162-4CC5-9F9A-23187BFDB3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132B3-01E0-4AF8-821E-99F543BCFD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F1C7D-6D01-4FCA-8362-C37BDD9581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9092F-D679-43EC-9770-E4766E1D66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0C71D-23CF-4957-8D7D-3BAB45ABD2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ED7FE-10BB-49D9-9453-1D09DC27A6C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A87E7-77E3-460E-8609-2C85F498EE9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BAE1C-A69C-4227-83B2-81382F71D4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8A947-ECDD-493B-A298-EBD8AA1F0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647A1-7833-4A8C-A07E-FF941EDD47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2A53D-629B-47A1-AADA-517A1E1C1C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2238D-D06B-4428-ADF6-9745F2ECF0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57288-DE4D-4F93-83DE-DA7720A559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6D435-6556-4E55-9D06-0DE302F91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53EFE-41C9-4263-90A7-598893050C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50B84-F51B-4841-9D44-FDFD9995A2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0F341-0F07-4DD0-B6F2-F1D728C6436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D215F-B69A-4F0A-8044-F4FCD387F7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A1B0F-F369-49F5-B029-2AFFA85E12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E90AF-09F1-49B6-8816-424CA33BF2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5562A-E235-4E14-BB61-5EE3C4CD65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51BA7-8D5C-4982-93D8-9A3632B687A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966B8-15A2-42FF-81D7-5AA974ABD2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5DEA0-9E53-4FBC-9287-2E2AB3E9769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9C390-ABCE-4499-983E-C2713035E04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801A0-4A27-4DBA-A326-0E38DDE7EF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F1BAC-EF2C-4C3A-975D-46B07DAF74D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6B774-8BDE-4869-B294-31E5A02D40F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50155-0072-4880-B57A-5408ED8F0D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3EB07-5A7A-422E-8B5C-3DF9DD65D57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6D9B1-DCF1-40D9-86C7-1C553B7D414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9968F-1B73-4E48-B36A-BABD47B59B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3D670-3C6F-4042-9D58-B53A8F8861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8F0FE-137C-4861-8230-EE16DB82B1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CD731-B56D-4063-AA4B-CF860693C8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10D75-31A5-4609-B3DD-8B8C7F9447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38913-76FA-48CD-A725-F3AAD629447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75FAA-8333-4700-AD05-D94046DB85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4EE27-426C-47D0-AEDC-A2D9C9A3F1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D1C06-5270-483F-AF82-45CFD0FBCC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DD8A9-F605-4FA4-B7B1-38E7FD0A289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83D5B-3B6E-4055-8927-DAAD2915BB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7A864-746E-4DE5-92E8-E0A591C952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1FFAF-3003-4414-94B8-88CB0272FB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13B9F-53A0-46AF-958D-3D3EB89331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339A1-7DAC-4B05-AC2F-6958CDD5A70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59727-CCA1-4325-9D5C-581F398155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DBBB0-E53B-4605-9E3C-8C164A0633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9E877-47B1-45E6-9FE2-27D4D1BBC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47F4D-E3C2-4F18-A0DB-E8A1B3FE89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C6538-3B2E-48E6-A663-7F355554D8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687EB-4E73-42DD-B6FD-B8039BA702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70F4E-8669-4209-B364-1FCFA3AB4E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4ACD8-DD11-4032-830A-3FED0EA2809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A40A7-4912-4483-8170-4ACB2604B9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95701-DAB0-413A-AA0D-AB353DAAB5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447F2-C001-4D25-AEFC-3C9E2032A7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26196-377D-4BD2-8608-D2F09267E4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3E38C-F32E-47F4-8EE1-CB5D280A53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DC7D5-A9BE-42F1-A4F0-FA7D488AAD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C0506-819D-4F90-9804-2B055C60CA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C2624-760F-4032-A328-BB1DF9184B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D3259-0E21-4B94-929B-DFF3BADC3B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95E0E-9F60-4AB6-BD72-F340F59E55D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7D5C3-0F31-416C-9659-6D0F7A5F0F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21DA5-0704-4D5A-A49C-88E7A6C628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B2754-6324-4655-B6F5-F2F8D7D542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4E3EC-8B2A-4B59-8CFB-FBE0EB7F9C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515AC-B109-4D03-9ECF-E5913E3C29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39A9F-C9AF-4211-A9A4-91FD660E698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DD8B6-8CE8-4893-A0DF-A142DE6114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A586A-4CBD-45EF-8938-835B3D2708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343706-272A-47EB-88BC-2DCE4B573D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DCF05-67EF-4797-967C-5FD96899BD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A1FC7-F6A0-4817-A392-DD1BDF392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DE171-A75F-47B8-89E7-CFC6A92EA91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C45D5-1B3F-461E-B038-A6E7B87AF1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F5BBF-8A56-41E1-9120-2C8555B012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CEB50-0F21-43B5-B869-EE8EB22D17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10518-E76C-4E3D-9ECB-A732CB8249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12E0C-3BDE-430B-8E88-11F2FF088B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3238C-A724-458A-8B9C-0D71F67381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9C813-44C0-4607-AC7F-53DEBD0A9B2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71B0F-2147-4A5A-B831-734513A441E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923F6-AEFA-4773-91A9-1AD8BBC9DF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F4789-931C-49A1-A343-860B4C7043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C6D6F-03EA-4CC5-BF29-982EC17A2F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83D00-CDAC-4DF8-AFE7-141B9FF701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1FFFE-B324-4ED0-BC6D-99B7886667C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B9CC1-F88D-485E-A762-C26B11F91F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093FB-C69D-4A33-B95A-B040E8B852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968FC-0B1C-4AFD-B195-2ADF4FCF4E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C2189-3746-4DCA-8C6B-3CB2D922F4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9F2DD-EDA5-4FC0-9932-E2F4FE94859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00C19-16BA-490E-B0F2-37BECCB9FD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9DAAD0-1212-4743-B4C2-D0BBE52DD8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D2CF8-BA01-4886-AE31-A3BEB47E30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EF4E7-AC2D-46E1-B033-3BA288B9B41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95CB2-212E-41E0-B195-C91B6260AC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022A7-9A2A-45D0-BC30-FC84F221A26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99AE3-CAC0-4345-A891-D60ED3F8CFD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73C1E-B222-47B5-90C6-56B1CB8CF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AF5EC-7F7A-4DC9-827F-4C14FD5EF8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D4D38-E677-4446-B289-6947290973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FB7A3-EA14-490E-8919-97EEAD437AE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AC095-B0FB-4030-B637-DD63ABB5FD2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51D6D-5A57-4CA2-B828-9D965625A4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2950D-5031-41BE-B373-282F0C5AC25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CE685-E026-49FA-82A7-C0D62A85A2E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F10FD-EAA4-4B43-9A3E-7B94479B3FC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AFA48-6A50-4D36-8B3B-0042E6AF97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29063-524D-4875-8CD6-D1CF44875B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D2FF5-EB56-478A-8EBC-E37D1D79C65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2563A-885D-4563-BFEE-D5B62640871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CB80C-B5DC-49B5-BBBD-2F8536E9A6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A0409-5288-47D6-90F8-B48816C77C6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761BC-1591-46B0-B56D-A54D62310D3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3F5D5-2420-439F-A13E-E737178003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6E2FF-2991-4E6D-919E-787A367B93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B185B-4F72-40A1-9760-69AAA8BC8F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7B4C4-42ED-4600-9185-E75AB4D2BA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8BDB8-0AF1-4CB5-9D8C-71095E6CDB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D3824-3824-4A3C-8568-5E3F376C1D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B7CE4-9647-4F21-A31F-BFCC3EFBC7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F06B9-33BE-47E0-ADF5-CBDCC15B54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BF537-36C8-40C9-B641-A1CD506950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F0EE2-452C-43A5-9DAC-233354D47C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F2A69-BB19-488E-89FB-2621494C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71E366-8FAA-4D5D-B776-840D60B0B5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6D606-1177-468C-88E5-67FB1A29870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BE59D-A745-4DE0-BA36-00D31A1E0BB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A0A0F-3326-4A3C-B82B-34F1E2118F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C4A40-2172-4AA4-8977-6375316623E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DAF24-1488-44F9-8561-0A5FD0A2EE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6ECA3-5442-4C47-BD64-B0725E4BFB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CA129-FB1C-4553-8B3B-3A5DCDCAEF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74A4E-E107-44C5-B975-4D8B53802C9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E4C29-87BF-40F2-912A-D909DF2E9F1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9C563-D3D8-4B1D-9159-A2BA2B64A5F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1849F-1336-4C03-9F31-D63011018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17ADD-5E66-43C0-BD7F-CE0BF9BAA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5C237-7967-468E-9138-01D079D16A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EB493-F38A-4589-9A1D-387AB95248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0875E-C094-497D-B5D8-4B1718D3742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1B304-EB6B-4DF8-B388-5283E1E878F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0B575-6388-4EB6-8AE4-9EBD97C9B3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43E9F-8DA6-4EEA-A3E6-14869E0850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E6319-4D51-4A1C-AA1D-EB5DA1A01A3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1BE8D-04CD-4165-9169-DF4CAEBB9F1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B810E-0799-45E8-9906-58644EB936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DEB15-6874-40BD-96C9-1B3E63079B9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3A974-D9DD-4AE9-A307-F14AFBAE8B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588DA-3242-4A7E-8459-63EAAA4E8E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E0BF9-2BB1-4F6F-AA46-D6D3913AFC8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D876A-59F3-4E32-9A2A-A74EC6D96E7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45BA0-D0A0-430F-8F91-C365C51BEB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3DCB2-D543-4AF1-A34E-2BC04930D7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4EFD5-2664-4B09-B9C0-E2F67234F2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EC5E6-BD34-4192-B2EA-C1CD13E3466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882DC-EDC8-47D3-82B0-768C1E7325B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4A5EE-75CB-492A-8F1D-452466BA16B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306D3-B606-493C-8B73-A5BD3AA63F7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D5B05-C53B-4956-BCDE-425CB2EE34E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ABE2F-8E3C-487C-9847-496F4AFBC3B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B2CEB-C9A1-4560-BA61-80CB90A63C9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1EAA4-E55C-4269-9248-4FA4D71A5D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8A60A-CF3B-4965-8048-81B2E30FE40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BC94E-94F0-4131-B1DC-CCAFF25E621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41E8B-B925-48C0-A66F-7DEEEE28AA7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0C90F-DC68-4498-933D-44175C7D5A9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21F7F-C058-43D2-9E87-20DF1CEB97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1A0BB-EC8A-4B1E-A666-9394E1DA627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CF953-FCD8-4378-B18E-987B9FA049B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55C54-5A56-4AFD-803F-2FB01250291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41C96-B0F9-4E36-923C-83C06F0C499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5E304-479C-4EFE-A2F8-F092FFCC61A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F1475-72D9-4385-9C07-10AE3211435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ED6AC-6F9E-41BF-9C90-FFEEDDDB39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DF9DA-85D8-4F2B-A014-EF6BA089AF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A5EA8-8C54-464E-B3C0-D97E76190E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3BC1F-4C75-4183-8864-D276034A28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EB66A-81A2-485E-924F-A018651A4D1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23EEB-9309-419E-87DF-8B1B5926AED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76710-BBE6-4D05-A37A-8BC08B3AFB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B66B2-CB3E-4B20-9AF3-BA929E79E81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AB089-59F8-400C-913D-4E8A6A6468A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72C9B-9012-462A-A405-11882AE99B4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CAE7B-DA56-454B-B005-518F787024C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8B9EA-7E21-455E-B750-70F10A56C6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6FE00-72D6-4A01-8354-7C9B8C2C43B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14118-C320-47C0-B0EF-9B5E87ED212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8FFA0-C9BE-45C5-936F-709456A4304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5D991-CAD3-4732-A60C-153E73245E4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329BE-2E6D-4A1E-94E6-E3FB9A13378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110B8-5011-432A-953C-FE1C44F2801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09ACB-74CC-4060-B0C1-47765A4322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CA977-429A-4995-BC14-72DC3CB2C5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14911-FB87-4FFD-8F04-0FECE75799B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D57B2-8049-4795-9B91-3C81639A449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35ED3-2E9C-49A5-89FF-68AC5E5D89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057E9-50A2-4EC3-AE0F-21C91B6E462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D48A1-68FB-4B24-8757-0ACE32F3F3A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FB89AB-5742-4E4D-AA77-348D3DC7768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3B22C-7402-42D6-BF86-FECCC7D2D21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EF9E8-0D2E-4907-8AD5-1B544F92685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1EC5B-41FB-4385-B091-4E366CAFD2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1832A-5390-4D2D-B0DB-F11B982C0B6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1D770-83D8-458A-84B4-D70A785F1D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FC49D-B44E-4D4C-B1C5-08887DBCBB6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C52ED-C1FE-4636-B237-E7D1C6C33A1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B6F83-B4C4-484B-A9E5-E7E5F60033B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C27D9-CAFD-4040-980E-10820C48B58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591C3-5BFF-4CEE-908B-1FDDEA9760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DD3B5-16D6-4079-80B5-ABBB2572386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ED465-B528-4C27-AD8A-D0FD78155C1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27130-BAEC-4DC9-BB15-2C628B2CFE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4E20B-33C6-4724-84D9-30741899C2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629ED7-30E6-4DB2-9B31-C49022B29E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0D73F-42AF-45D9-AF87-D1B205A9815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380F9-0F11-49A0-A6E7-2206AD2C536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F0D16-46F1-41BD-A154-1B046ADA2EB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0C27C-7E72-4270-B14C-F000218A0ED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4D553-4641-4DCF-8A30-5BC5C76E5EB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235F2-F3D1-403B-B97C-416972EFD6D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54F61-DA7C-4FFC-94E1-99EDC482C31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572C3-6CC3-41FB-8741-6B9A50007EA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09E3C-89BA-4132-9634-F933737929A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016FB-2B78-41E4-9FD3-85663D1BFC6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56BCA-E4FE-41FA-B2F4-8AF3E0E7088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D380F-C76D-4517-AAF2-933F34A07B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158D4-FEE2-4A24-8FC4-558E3C02B51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75649-1A09-4510-AA65-F563C762E8C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DF506-BBA8-4BB6-B2EA-B3E66B9AC0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F252A-5F12-4AEA-BEA7-11DF9831907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89528-C192-41DF-B9ED-A90BBD4A131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74F8A-F46F-4887-9948-ADC2A912848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643A2-109F-4EE7-A31A-ACBE6607EA4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83630-2052-44AE-A07A-C8D131FD5B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B5DA9-CAD4-4C95-A3E1-76A1D7D036C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5941F-A711-4E43-92F5-709D2A2E8C9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965F7-7EB6-4E01-B51A-C76BDC72A7A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3BCC8-37D1-4F37-93C0-DDB0F5F3FBE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2059B-C343-46EF-94E8-4E76C3E3C4D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8CC4C-4B77-44A0-AC8D-E0E4B3BE96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ECEAD-5A96-4A29-AB07-65B9A0A3C8A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30701-0EAD-4B68-A841-4430E38D70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C20D5-3C92-4937-90E6-6997A2CC174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F83E2-2F1D-40EA-84A0-A7EB9A94569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D83DD-98A3-4A11-8F1E-108952A1DCF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B75EA-EAFB-46F4-97F6-A587481A50D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4A945-2EBA-4C4C-9D2C-BCFD1AF7310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AA023-CAE7-4950-8778-50F52BA4A0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53FF3-1CA7-425E-B2EA-2A220C5A71B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4D0FD-C5BF-403E-AF6A-397780D7C40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F431A-E635-4FBE-9EEF-5A1A8D4050E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E6918-5480-4968-85F2-33CFC41F960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60FAF-4A35-42BD-B5B0-C9BA5E7C86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33170-B00F-4BD4-91C4-3592545DA3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3E084-84AF-4330-9890-4703ECB2AF1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A17E9-31ED-4E7A-812D-FD86FD044DC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D16EA-EDEB-4B61-B011-373782B9A39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47D4F-1D81-4E24-9B74-70490BA757D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3F6B8-D681-424F-87D6-8687B7F105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29F5A-0D2B-4064-AEA2-6161BBB2235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64083-2BB5-4DB9-A790-E484443CD1F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455AC-1A1E-493D-AEBD-F6FED5894EE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B7089-761F-401B-9A40-6FC020C5CB7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4259A-E16E-4B5E-8998-90F281CAFC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E10BE-E09F-4E8A-8B56-22913606B69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5F894-4F02-4E84-B940-ADDD9E7CF4A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3EF22-5D9C-4383-B161-A37BFB6C2C4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FA238-3ED7-4BED-8DAE-70098484E3D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F0337-D064-492D-84DB-F6744E11DA5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E7EFA-D3DB-44EC-869C-32EE8D9CDD9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1C724-E550-4B68-8F95-ABAD0866C4D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5FAA6-AF3C-4AC7-9DD1-2B7043A902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CC655-BD6E-4538-91E4-3B2E4B5C74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80EF0-9200-482D-91E7-F3BDC74D981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3C5B9-4FF0-4B30-8C0C-8B7DE8522D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88E9C-47AE-4636-BE64-2460CF4A703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F59F3-289D-4739-8E1B-5DA4ED4211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1D089-5ADE-44A2-8D1B-8E0841CF72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00894-D21F-41BA-A5C8-2C1F94A899D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5A416-DB0B-464D-AB76-713AC478165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293DD-4593-4326-9F11-C5DCA4160AA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56303-E1DD-4539-AC7F-65FA0F5E168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A8E41-03F7-4278-8AE4-20F04494716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A2B07-7F6D-4401-AD42-1A25B777A7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BE51C-8235-4900-B1F0-3C58468313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F070F-826A-4622-AAEB-79D43ECFAC0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E8BE9-DE9D-4D80-AD57-812187A811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9FD9F-0D3B-406D-A1B5-49631FCC8BC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0D0A2-0D75-4FA3-AE55-6CFEEB9391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BFE05-6FBC-491C-9AE3-3AF27C023F8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6074F-589F-4453-A7D5-B0F89169456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620D0-905E-47B2-A3D1-23FD3CBA0EC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E69B4-316E-45A4-AF71-C11849676B6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A711E-3617-4F0E-8EA6-43F308A8170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0ABAB-397D-45BC-B595-A6213A344DB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1A4B0-AFCF-4057-8B35-9A1CC72E914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12D62-5923-484D-8E94-39B0B0C79C7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506DC-19CE-474F-AFDE-1788AC001CF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7655F1-724E-4AC5-9FD7-15EAF1C8B0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74290-FE0C-4650-B39D-0184C789EEF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067ED-22E1-40BD-B81B-3BD19130A61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409DD-DC24-47BD-B1B3-7A989CA9CA6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1C4E1-9900-4B23-9FE5-8D204EE1BCD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164B4-036D-44E7-BFA3-6BB33BE2C97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61308-56A3-4DDA-8DFC-C726C1E0182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16175-245B-44BF-8AF3-8CB4748E497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34078-940D-494E-8C6C-4F4C4FDBA4C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90EB9-367E-443A-8B04-975819A9CCA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2A109-BAE4-49E8-A557-FAED58571B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7F3B5-F2AE-4766-AACF-5119845AED7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D87D4-7EED-49E7-BBDB-88AFF39B052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C51D6-C8A7-43A8-84EC-6D176375724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7B54A-C964-401F-A180-00A282D8ED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F3385-AB4E-477C-9DA5-8544297DB4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3BE8B-1309-4B67-B7E3-B68719BC8A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91021-AA69-4595-BE1A-99F0367530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C860E-4A55-4D1E-BBD7-D4A7BB5DB65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1E7F72-ADD2-4B1A-A7F3-832C206F323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53901-4AD4-424D-847A-DC47D65DAF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AACEF-DD27-496D-A100-097C4D93BF6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48036-1927-45BD-913F-57EE54C1E28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48B36-C6C6-4B36-B596-57DBD7831CB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B4A36-BBF1-49B8-803B-B231628CC52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218BF-0722-4E73-81D9-84272B412B8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86F2E-08BB-43B3-895C-E83808BEF35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7A0F2-B5E9-4927-8C86-37B6C30DF30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F03A1-893B-4004-8684-FA823573E62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26353-6EA8-4C2B-98CF-AC379C50E35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70FD7-3730-4138-A2E8-4D2874731CA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C5D78-9031-4A71-A930-D2DDEADC2AB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725FF-36D3-4EEF-9D30-C3B5E26698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03376-1567-4DED-AC48-22741D897C6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55780-9528-446A-968B-3611E91FDC9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F342C-CBD9-44C8-AF1C-A8C39D96217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7D991-4DBC-4862-9558-A8B22F0B8D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1BCD4-9D2E-4B15-94E1-50BED0FFB7F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F18AF-6C60-467F-9936-D9824E59232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151B8-CA83-4C8C-82D1-0B168E6EA6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62B11-8644-4530-A93F-BD6D2CA7E45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C3AB4-899A-4E53-BE13-AA645711AF8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3A800-B8AB-4D19-8893-8BA645A1289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F118E-249A-4570-9F12-BBE061D44AA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74BD8-9D10-412C-93A4-983F5398B4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37ED0-0619-4C00-B65F-0D87D356031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92023-5CAE-46E3-A98B-E6293EA8E2A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7104F-B379-44EF-AD5A-8BAC498A3FF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DA7F0-4D31-49A4-A491-C8DCBF8C0E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97826-352F-4C13-AE00-58FDA1FD4F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8033B-C6CD-4597-8E62-C157265DF30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3468B-8317-4730-BA58-BEA43874C4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ACFE4-6B6F-4CC9-956C-C67C04E71CD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B7C5A-4D4F-4667-9798-435C0465DC2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4263-644D-4ED5-B854-F8F7B25C0D70}">
  <dimension ref="A1:AE125"/>
  <sheetViews>
    <sheetView tabSelected="1" zoomScale="110" zoomScaleNormal="110" workbookViewId="0">
      <pane xSplit="1" topLeftCell="J1" activePane="topRight" state="frozen"/>
      <selection pane="topRight" activeCell="A125" sqref="A125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0.7109375" customWidth="1"/>
    <col min="26" max="26" width="4.7109375" bestFit="1" customWidth="1"/>
    <col min="27" max="27" width="4.140625" bestFit="1" customWidth="1"/>
    <col min="28" max="28" width="11.7109375" bestFit="1" customWidth="1"/>
    <col min="29" max="29" width="10.42578125" bestFit="1" customWidth="1"/>
    <col min="30" max="30" width="6.140625" customWidth="1"/>
    <col min="31" max="31" width="16.28515625" customWidth="1"/>
  </cols>
  <sheetData>
    <row r="1" spans="1:31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</row>
    <row r="2" spans="1:31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</row>
    <row r="3" spans="1:31" x14ac:dyDescent="0.2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</row>
    <row r="4" spans="1:31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</row>
    <row r="5" spans="1:31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</row>
    <row r="6" spans="1:31" ht="22.5" customHeight="1" x14ac:dyDescent="0.25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</row>
    <row r="7" spans="1:31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</row>
    <row r="8" spans="1:31" x14ac:dyDescent="0.25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</row>
    <row r="9" spans="1:31" ht="15.75" x14ac:dyDescent="0.25">
      <c r="A9" s="124" t="s">
        <v>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</row>
    <row r="10" spans="1:31" x14ac:dyDescent="0.25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</row>
    <row r="11" spans="1:31" x14ac:dyDescent="0.25">
      <c r="A11" s="1" t="s">
        <v>2</v>
      </c>
      <c r="B11" s="126" t="s">
        <v>3</v>
      </c>
      <c r="C11" s="126"/>
      <c r="D11" s="126"/>
      <c r="E11" s="126" t="s">
        <v>4</v>
      </c>
      <c r="F11" s="126"/>
      <c r="G11" s="126"/>
      <c r="H11" s="130" t="s">
        <v>5</v>
      </c>
      <c r="I11" s="131"/>
      <c r="J11" s="132"/>
      <c r="K11" s="130" t="s">
        <v>6</v>
      </c>
      <c r="L11" s="131"/>
      <c r="M11" s="132"/>
      <c r="N11" s="130" t="s">
        <v>7</v>
      </c>
      <c r="O11" s="131"/>
      <c r="P11" s="132"/>
      <c r="Q11" s="130" t="s">
        <v>8</v>
      </c>
      <c r="R11" s="131"/>
      <c r="S11" s="132"/>
      <c r="T11" s="130" t="s">
        <v>9</v>
      </c>
      <c r="U11" s="131"/>
      <c r="V11" s="132"/>
      <c r="W11" s="130" t="s">
        <v>10</v>
      </c>
      <c r="X11" s="131"/>
      <c r="Y11" s="132"/>
      <c r="Z11" s="126" t="s">
        <v>11</v>
      </c>
      <c r="AA11" s="126"/>
      <c r="AB11" s="126"/>
      <c r="AC11" s="133" t="s">
        <v>12</v>
      </c>
      <c r="AD11" s="133"/>
      <c r="AE11" s="133"/>
    </row>
    <row r="12" spans="1:31" x14ac:dyDescent="0.25">
      <c r="A12" s="2" t="s">
        <v>13</v>
      </c>
      <c r="B12" s="188">
        <f>B13+B14+B15</f>
        <v>9586.0300000000007</v>
      </c>
      <c r="C12" s="189"/>
      <c r="D12" s="190"/>
      <c r="E12" s="191"/>
      <c r="F12" s="192"/>
      <c r="G12" s="193"/>
      <c r="H12" s="3"/>
      <c r="I12" s="4"/>
      <c r="J12" s="5"/>
      <c r="K12" s="4"/>
      <c r="L12" s="4"/>
      <c r="M12" s="4"/>
      <c r="N12" s="110"/>
      <c r="O12" s="111"/>
      <c r="P12" s="112"/>
      <c r="Q12" s="110"/>
      <c r="R12" s="111"/>
      <c r="S12" s="112"/>
      <c r="T12" s="110"/>
      <c r="U12" s="111"/>
      <c r="V12" s="112"/>
      <c r="W12" s="184"/>
      <c r="X12" s="185"/>
      <c r="Y12" s="186"/>
      <c r="Z12" s="188">
        <f>9586.03</f>
        <v>9586.0300000000007</v>
      </c>
      <c r="AA12" s="189"/>
      <c r="AB12" s="190"/>
      <c r="AC12" s="194">
        <f>9586.03</f>
        <v>9586.0300000000007</v>
      </c>
      <c r="AD12" s="194"/>
      <c r="AE12" s="194"/>
    </row>
    <row r="13" spans="1:31" x14ac:dyDescent="0.25">
      <c r="A13" s="6" t="s">
        <v>14</v>
      </c>
      <c r="B13" s="107">
        <f>13836</f>
        <v>13836</v>
      </c>
      <c r="C13" s="108"/>
      <c r="D13" s="109"/>
      <c r="E13" s="178"/>
      <c r="F13" s="179"/>
      <c r="G13" s="180"/>
      <c r="H13" s="7"/>
      <c r="I13" s="8"/>
      <c r="J13" s="9"/>
      <c r="K13" s="8"/>
      <c r="L13" s="8"/>
      <c r="M13" s="8"/>
      <c r="N13" s="110"/>
      <c r="O13" s="111"/>
      <c r="P13" s="112"/>
      <c r="Q13" s="110"/>
      <c r="R13" s="111"/>
      <c r="S13" s="112"/>
      <c r="T13" s="110"/>
      <c r="U13" s="111"/>
      <c r="V13" s="112"/>
      <c r="W13" s="184"/>
      <c r="X13" s="185"/>
      <c r="Y13" s="186"/>
      <c r="Z13" s="107"/>
      <c r="AA13" s="108"/>
      <c r="AB13" s="109"/>
      <c r="AC13" s="83"/>
      <c r="AD13" s="83"/>
      <c r="AE13" s="83"/>
    </row>
    <row r="14" spans="1:31" x14ac:dyDescent="0.25">
      <c r="A14" s="6" t="s">
        <v>15</v>
      </c>
      <c r="B14" s="107">
        <f>642.76</f>
        <v>642.76</v>
      </c>
      <c r="C14" s="108"/>
      <c r="D14" s="109"/>
      <c r="E14" s="178"/>
      <c r="F14" s="179"/>
      <c r="G14" s="180"/>
      <c r="H14" s="7"/>
      <c r="I14" s="8"/>
      <c r="J14" s="9"/>
      <c r="K14" s="8"/>
      <c r="L14" s="8"/>
      <c r="M14" s="8"/>
      <c r="N14" s="110"/>
      <c r="O14" s="111"/>
      <c r="P14" s="112"/>
      <c r="Q14" s="110"/>
      <c r="R14" s="111"/>
      <c r="S14" s="112"/>
      <c r="T14" s="110"/>
      <c r="U14" s="111"/>
      <c r="V14" s="112"/>
      <c r="W14" s="184"/>
      <c r="X14" s="185"/>
      <c r="Y14" s="186"/>
      <c r="Z14" s="107"/>
      <c r="AA14" s="108"/>
      <c r="AB14" s="109"/>
      <c r="AC14" s="187"/>
      <c r="AD14" s="187"/>
      <c r="AE14" s="187"/>
    </row>
    <row r="15" spans="1:31" x14ac:dyDescent="0.25">
      <c r="A15" s="6" t="s">
        <v>16</v>
      </c>
      <c r="B15" s="107">
        <f>-4892.73</f>
        <v>-4892.7299999999996</v>
      </c>
      <c r="C15" s="108"/>
      <c r="D15" s="109"/>
      <c r="E15" s="178"/>
      <c r="F15" s="179"/>
      <c r="G15" s="180"/>
      <c r="H15" s="7"/>
      <c r="I15" s="8"/>
      <c r="J15" s="9"/>
      <c r="K15" s="181"/>
      <c r="L15" s="182"/>
      <c r="M15" s="183"/>
      <c r="N15" s="110"/>
      <c r="O15" s="111"/>
      <c r="P15" s="112"/>
      <c r="Q15" s="110" t="s">
        <v>17</v>
      </c>
      <c r="R15" s="111"/>
      <c r="S15" s="112"/>
      <c r="T15" s="110"/>
      <c r="U15" s="111"/>
      <c r="V15" s="112"/>
      <c r="W15" s="184"/>
      <c r="X15" s="185"/>
      <c r="Y15" s="186"/>
      <c r="Z15" s="107"/>
      <c r="AA15" s="108"/>
      <c r="AB15" s="109"/>
      <c r="AC15" s="187"/>
      <c r="AD15" s="187"/>
      <c r="AE15" s="187"/>
    </row>
    <row r="16" spans="1:31" x14ac:dyDescent="0.25">
      <c r="A16" s="10" t="s">
        <v>18</v>
      </c>
      <c r="B16" s="169">
        <f>4186449.06</f>
        <v>4186449.06</v>
      </c>
      <c r="C16" s="170"/>
      <c r="D16" s="171"/>
      <c r="E16" s="172"/>
      <c r="F16" s="173"/>
      <c r="G16" s="174"/>
      <c r="H16" s="11"/>
      <c r="I16" s="12"/>
      <c r="J16" s="13"/>
      <c r="K16" s="12"/>
      <c r="L16" s="12"/>
      <c r="M16" s="12"/>
      <c r="N16" s="175"/>
      <c r="O16" s="176"/>
      <c r="P16" s="177"/>
      <c r="Q16" s="172"/>
      <c r="R16" s="173"/>
      <c r="S16" s="174"/>
      <c r="T16" s="172"/>
      <c r="U16" s="173"/>
      <c r="V16" s="174"/>
      <c r="W16" s="175"/>
      <c r="X16" s="176"/>
      <c r="Y16" s="177"/>
      <c r="Z16" s="169">
        <f>AB27</f>
        <v>509739.79000000004</v>
      </c>
      <c r="AA16" s="170"/>
      <c r="AB16" s="171"/>
      <c r="AC16" s="158">
        <f>AE27</f>
        <v>4696188.8499999996</v>
      </c>
      <c r="AD16" s="158"/>
      <c r="AE16" s="158"/>
    </row>
    <row r="17" spans="1:31" x14ac:dyDescent="0.25">
      <c r="A17" s="14" t="s">
        <v>19</v>
      </c>
      <c r="B17" s="159">
        <f>2036201.14</f>
        <v>2036201.14</v>
      </c>
      <c r="C17" s="160"/>
      <c r="D17" s="161"/>
      <c r="E17" s="162"/>
      <c r="F17" s="163"/>
      <c r="G17" s="164"/>
      <c r="H17" s="15"/>
      <c r="I17" s="16"/>
      <c r="J17" s="17"/>
      <c r="K17" s="16"/>
      <c r="L17" s="16"/>
      <c r="M17" s="16"/>
      <c r="N17" s="165"/>
      <c r="O17" s="166"/>
      <c r="P17" s="167"/>
      <c r="Q17" s="162"/>
      <c r="R17" s="163"/>
      <c r="S17" s="164"/>
      <c r="T17" s="162"/>
      <c r="U17" s="163"/>
      <c r="V17" s="164"/>
      <c r="W17" s="165"/>
      <c r="X17" s="166"/>
      <c r="Y17" s="167"/>
      <c r="Z17" s="159">
        <f>Z103</f>
        <v>399489.90999999992</v>
      </c>
      <c r="AA17" s="160"/>
      <c r="AB17" s="161"/>
      <c r="AC17" s="168">
        <f>AD103</f>
        <v>2435691.0499999998</v>
      </c>
      <c r="AD17" s="168"/>
      <c r="AE17" s="168"/>
    </row>
    <row r="18" spans="1:31" x14ac:dyDescent="0.25">
      <c r="A18" s="10" t="s">
        <v>20</v>
      </c>
      <c r="B18" s="144">
        <f>B16-B17+B12</f>
        <v>2159833.9499999997</v>
      </c>
      <c r="C18" s="145"/>
      <c r="D18" s="146"/>
      <c r="E18" s="152"/>
      <c r="F18" s="153"/>
      <c r="G18" s="154"/>
      <c r="H18" s="18"/>
      <c r="I18" s="19"/>
      <c r="J18" s="20"/>
      <c r="K18" s="19"/>
      <c r="L18" s="19"/>
      <c r="M18" s="19"/>
      <c r="N18" s="155"/>
      <c r="O18" s="156"/>
      <c r="P18" s="157"/>
      <c r="Q18" s="152"/>
      <c r="R18" s="153"/>
      <c r="S18" s="154"/>
      <c r="T18" s="152"/>
      <c r="U18" s="153"/>
      <c r="V18" s="154"/>
      <c r="W18" s="155"/>
      <c r="X18" s="156"/>
      <c r="Y18" s="157"/>
      <c r="Z18" s="144">
        <f>Z16-Z17</f>
        <v>110249.88000000012</v>
      </c>
      <c r="AA18" s="145"/>
      <c r="AB18" s="146"/>
      <c r="AC18" s="147">
        <f>AC16-AC17+AC12</f>
        <v>2270083.8299999996</v>
      </c>
      <c r="AD18" s="147"/>
      <c r="AE18" s="147"/>
    </row>
    <row r="19" spans="1:31" x14ac:dyDescent="0.25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</row>
    <row r="20" spans="1:31" x14ac:dyDescent="0.25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</row>
    <row r="21" spans="1:31" x14ac:dyDescent="0.25">
      <c r="A21" s="150" t="s">
        <v>21</v>
      </c>
      <c r="B21" s="126" t="s">
        <v>3</v>
      </c>
      <c r="C21" s="126"/>
      <c r="D21" s="126"/>
      <c r="E21" s="130" t="s">
        <v>4</v>
      </c>
      <c r="F21" s="131"/>
      <c r="G21" s="132"/>
      <c r="H21" s="130" t="s">
        <v>5</v>
      </c>
      <c r="I21" s="131"/>
      <c r="J21" s="132"/>
      <c r="K21" s="130" t="s">
        <v>6</v>
      </c>
      <c r="L21" s="131"/>
      <c r="M21" s="132"/>
      <c r="N21" s="130" t="s">
        <v>7</v>
      </c>
      <c r="O21" s="131"/>
      <c r="P21" s="132"/>
      <c r="Q21" s="130" t="s">
        <v>8</v>
      </c>
      <c r="R21" s="131"/>
      <c r="S21" s="132"/>
      <c r="T21" s="130" t="s">
        <v>9</v>
      </c>
      <c r="U21" s="131"/>
      <c r="V21" s="132"/>
      <c r="W21" s="130" t="s">
        <v>10</v>
      </c>
      <c r="X21" s="131"/>
      <c r="Y21" s="132"/>
      <c r="Z21" s="126" t="s">
        <v>11</v>
      </c>
      <c r="AA21" s="126"/>
      <c r="AB21" s="126"/>
      <c r="AC21" s="141" t="s">
        <v>22</v>
      </c>
      <c r="AD21" s="133" t="s">
        <v>12</v>
      </c>
      <c r="AE21" s="133"/>
    </row>
    <row r="22" spans="1:31" x14ac:dyDescent="0.25">
      <c r="A22" s="151"/>
      <c r="B22" s="142" t="s">
        <v>23</v>
      </c>
      <c r="C22" s="143"/>
      <c r="D22" s="21" t="s">
        <v>24</v>
      </c>
      <c r="E22" s="21" t="s">
        <v>25</v>
      </c>
      <c r="F22" s="21" t="s">
        <v>26</v>
      </c>
      <c r="G22" s="21" t="s">
        <v>24</v>
      </c>
      <c r="H22" s="21" t="s">
        <v>25</v>
      </c>
      <c r="I22" s="21" t="s">
        <v>26</v>
      </c>
      <c r="J22" s="21"/>
      <c r="K22" s="21" t="s">
        <v>25</v>
      </c>
      <c r="L22" s="21" t="s">
        <v>26</v>
      </c>
      <c r="M22" s="21"/>
      <c r="N22" s="21" t="s">
        <v>25</v>
      </c>
      <c r="O22" s="21" t="s">
        <v>26</v>
      </c>
      <c r="P22" s="21"/>
      <c r="Q22" s="21" t="s">
        <v>25</v>
      </c>
      <c r="R22" s="21" t="s">
        <v>26</v>
      </c>
      <c r="S22" s="21"/>
      <c r="T22" s="21" t="s">
        <v>25</v>
      </c>
      <c r="U22" s="21" t="s">
        <v>26</v>
      </c>
      <c r="V22" s="21"/>
      <c r="W22" s="21" t="s">
        <v>25</v>
      </c>
      <c r="X22" s="21" t="s">
        <v>26</v>
      </c>
      <c r="Y22" s="21"/>
      <c r="Z22" s="21" t="s">
        <v>25</v>
      </c>
      <c r="AA22" s="21" t="s">
        <v>26</v>
      </c>
      <c r="AB22" s="21" t="s">
        <v>24</v>
      </c>
      <c r="AC22" s="141"/>
      <c r="AD22" s="22" t="s">
        <v>23</v>
      </c>
      <c r="AE22" s="22" t="s">
        <v>24</v>
      </c>
    </row>
    <row r="23" spans="1:31" x14ac:dyDescent="0.25">
      <c r="A23" s="23" t="s">
        <v>27</v>
      </c>
      <c r="B23" s="134">
        <v>158</v>
      </c>
      <c r="C23" s="135"/>
      <c r="D23" s="24">
        <f>17760.02+186880+2455.53+1205.11</f>
        <v>208300.65999999997</v>
      </c>
      <c r="E23" s="25"/>
      <c r="F23" s="25"/>
      <c r="G23" s="24"/>
      <c r="H23" s="25"/>
      <c r="I23" s="26"/>
      <c r="J23" s="24"/>
      <c r="K23" s="25"/>
      <c r="L23" s="26"/>
      <c r="M23" s="24"/>
      <c r="N23" s="25"/>
      <c r="O23" s="25"/>
      <c r="P23" s="24"/>
      <c r="Q23" s="25"/>
      <c r="R23" s="26"/>
      <c r="S23" s="24"/>
      <c r="T23" s="25"/>
      <c r="U23" s="26"/>
      <c r="V23" s="24"/>
      <c r="W23" s="25"/>
      <c r="X23" s="25"/>
      <c r="Y23" s="24"/>
      <c r="Z23" s="25"/>
      <c r="AA23" s="26"/>
      <c r="AB23" s="27"/>
      <c r="AC23" s="28"/>
      <c r="AD23" s="29">
        <v>158</v>
      </c>
      <c r="AE23" s="30">
        <f>208300.66</f>
        <v>208300.66</v>
      </c>
    </row>
    <row r="24" spans="1:31" x14ac:dyDescent="0.25">
      <c r="A24" s="6" t="s">
        <v>28</v>
      </c>
      <c r="B24" s="134">
        <v>5872</v>
      </c>
      <c r="C24" s="135"/>
      <c r="D24" s="24">
        <f>3713342.03</f>
        <v>3713342.03</v>
      </c>
      <c r="E24" s="25">
        <f>-10</f>
        <v>-10</v>
      </c>
      <c r="F24" s="25">
        <v>9</v>
      </c>
      <c r="G24" s="31">
        <f>40+40+120+20+115920+40+127.33</f>
        <v>116307.33</v>
      </c>
      <c r="H24" s="25">
        <v>-8</v>
      </c>
      <c r="I24" s="26">
        <v>20</v>
      </c>
      <c r="J24" s="31">
        <f>20+60+80+80+80+80+180+114720+280</f>
        <v>115580</v>
      </c>
      <c r="K24" s="25">
        <v>-7</v>
      </c>
      <c r="L24" s="26">
        <v>17</v>
      </c>
      <c r="M24" s="31">
        <f>80+40+80+40+80+360+80+80+60+80+80+40+80+40+1700+20+80+80+80+80+80+80+80+80</f>
        <v>3580</v>
      </c>
      <c r="N24" s="25">
        <v>-16</v>
      </c>
      <c r="O24" s="25">
        <v>9</v>
      </c>
      <c r="P24" s="31">
        <f>520+120+400+80+20+30+80+20+116620+100+60+160</f>
        <v>118210</v>
      </c>
      <c r="Q24" s="25">
        <v>-16</v>
      </c>
      <c r="R24" s="26">
        <v>13</v>
      </c>
      <c r="S24" s="31">
        <f>100+140+100+100+80+160+80+80+20+60+40+100+140+40+220+620</f>
        <v>2080</v>
      </c>
      <c r="T24" s="25">
        <v>-21</v>
      </c>
      <c r="U24" s="26">
        <v>132</v>
      </c>
      <c r="V24" s="31">
        <f>20+80+20+20+100+115940+40+280+40+40</f>
        <v>116580</v>
      </c>
      <c r="W24" s="25">
        <v>-22</v>
      </c>
      <c r="X24" s="25">
        <v>347</v>
      </c>
      <c r="Y24" s="31">
        <f>240+140+120+80+65+90+20+280</f>
        <v>1035</v>
      </c>
      <c r="Z24" s="25">
        <f>-10-8-7-16-16-21-22</f>
        <v>-100</v>
      </c>
      <c r="AA24" s="26">
        <f>9+20+17+9+13+132+347</f>
        <v>547</v>
      </c>
      <c r="AB24" s="27">
        <f>0+G24+J24+M24+P24+S24+V24+Y24</f>
        <v>473372.33</v>
      </c>
      <c r="AC24" s="32">
        <f>AB24/AB27</f>
        <v>0.92865485348907129</v>
      </c>
      <c r="AD24" s="33">
        <f>5872+Z24+AA24</f>
        <v>6319</v>
      </c>
      <c r="AE24" s="34">
        <f>3713342.03+AB24</f>
        <v>4186714.36</v>
      </c>
    </row>
    <row r="25" spans="1:31" x14ac:dyDescent="0.25">
      <c r="A25" s="35" t="s">
        <v>29</v>
      </c>
      <c r="B25" s="134"/>
      <c r="C25" s="135"/>
      <c r="D25" s="24">
        <f>263771.64</f>
        <v>263771.64</v>
      </c>
      <c r="E25" s="25"/>
      <c r="F25" s="25"/>
      <c r="G25" s="31">
        <f>3456.99+2528.85+1258.22+447.4</f>
        <v>7691.46</v>
      </c>
      <c r="H25" s="25"/>
      <c r="I25" s="26"/>
      <c r="J25" s="31">
        <f>2097.79+989.67+2306.35</f>
        <v>5393.8099999999995</v>
      </c>
      <c r="K25" s="25"/>
      <c r="L25" s="26"/>
      <c r="M25" s="31">
        <f>2670.71+1353.08+748.68</f>
        <v>4772.47</v>
      </c>
      <c r="N25" s="25"/>
      <c r="O25" s="25"/>
      <c r="P25" s="31">
        <f>994.9+25.38+2243.52</f>
        <v>3263.8</v>
      </c>
      <c r="Q25" s="25"/>
      <c r="R25" s="26"/>
      <c r="S25" s="31">
        <f>766.4+2494.19+209.71+1884.67</f>
        <v>5354.97</v>
      </c>
      <c r="T25" s="25"/>
      <c r="U25" s="26"/>
      <c r="V25" s="31">
        <f>573.82+1968.57+184.59+1703.34</f>
        <v>4430.32</v>
      </c>
      <c r="W25" s="25"/>
      <c r="X25" s="25"/>
      <c r="Y25" s="31">
        <f>397.83+2362.86+161.21+2538.73</f>
        <v>5460.63</v>
      </c>
      <c r="Z25" s="25"/>
      <c r="AA25" s="26"/>
      <c r="AB25" s="27">
        <f>0+G25+J25+M25+P25+S25+V25+Y25</f>
        <v>36367.46</v>
      </c>
      <c r="AC25" s="32">
        <f>AB25/AB27</f>
        <v>7.1345146510928631E-2</v>
      </c>
      <c r="AD25" s="26"/>
      <c r="AE25" s="34">
        <f>263771.64+AB25</f>
        <v>300139.10000000003</v>
      </c>
    </row>
    <row r="26" spans="1:31" x14ac:dyDescent="0.25">
      <c r="A26" s="26" t="s">
        <v>30</v>
      </c>
      <c r="B26" s="134"/>
      <c r="C26" s="135"/>
      <c r="D26" s="24">
        <f>1034.73</f>
        <v>1034.73</v>
      </c>
      <c r="E26" s="25"/>
      <c r="F26" s="25"/>
      <c r="G26" s="24"/>
      <c r="H26" s="25"/>
      <c r="I26" s="26"/>
      <c r="J26" s="24"/>
      <c r="K26" s="25"/>
      <c r="L26" s="26"/>
      <c r="M26" s="24"/>
      <c r="N26" s="25"/>
      <c r="O26" s="25"/>
      <c r="P26" s="24"/>
      <c r="Q26" s="25"/>
      <c r="R26" s="26"/>
      <c r="S26" s="24"/>
      <c r="T26" s="25"/>
      <c r="U26" s="26"/>
      <c r="V26" s="24"/>
      <c r="W26" s="25"/>
      <c r="X26" s="25"/>
      <c r="Y26" s="24"/>
      <c r="Z26" s="25"/>
      <c r="AA26" s="26"/>
      <c r="AB26" s="27">
        <f>0+G26</f>
        <v>0</v>
      </c>
      <c r="AC26" s="28">
        <f>AB26/AB27</f>
        <v>0</v>
      </c>
      <c r="AD26" s="36"/>
      <c r="AE26" s="30">
        <f>1034.73+AB26</f>
        <v>1034.73</v>
      </c>
    </row>
    <row r="27" spans="1:31" x14ac:dyDescent="0.25">
      <c r="A27" s="37" t="s">
        <v>31</v>
      </c>
      <c r="B27" s="136">
        <f>SUM(B23:C26)</f>
        <v>6030</v>
      </c>
      <c r="C27" s="137"/>
      <c r="D27" s="38">
        <f>SUM(D23:D26)</f>
        <v>4186449.06</v>
      </c>
      <c r="E27" s="136">
        <f>B27+E24+F24</f>
        <v>6029</v>
      </c>
      <c r="F27" s="137"/>
      <c r="G27" s="38">
        <f>SUM(G23:G26)</f>
        <v>123998.79000000001</v>
      </c>
      <c r="H27" s="138">
        <f>E27+H24+I24</f>
        <v>6041</v>
      </c>
      <c r="I27" s="138"/>
      <c r="J27" s="38">
        <f>SUM(J24:J26)</f>
        <v>120973.81</v>
      </c>
      <c r="K27" s="138">
        <f>H27+K24+L24</f>
        <v>6051</v>
      </c>
      <c r="L27" s="138"/>
      <c r="M27" s="38">
        <f>SUM(M24:M26)</f>
        <v>8352.4700000000012</v>
      </c>
      <c r="N27" s="139">
        <f>K27+N24+O24</f>
        <v>6044</v>
      </c>
      <c r="O27" s="140"/>
      <c r="P27" s="38">
        <f>SUM(P24:P26)</f>
        <v>121473.8</v>
      </c>
      <c r="Q27" s="139">
        <f>N27+Q24+R24</f>
        <v>6041</v>
      </c>
      <c r="R27" s="140"/>
      <c r="S27" s="38">
        <f>SUM(S24:S26)</f>
        <v>7434.97</v>
      </c>
      <c r="T27" s="139">
        <f>Q27+T24+U24</f>
        <v>6152</v>
      </c>
      <c r="U27" s="140"/>
      <c r="V27" s="38">
        <f>SUM(V24:V26)</f>
        <v>121010.32</v>
      </c>
      <c r="W27" s="139">
        <f>T27+W24+X24</f>
        <v>6477</v>
      </c>
      <c r="X27" s="140"/>
      <c r="Y27" s="38">
        <f>SUM(Y24:Y26)</f>
        <v>6495.63</v>
      </c>
      <c r="Z27" s="138">
        <f>B27+Z24+AA24</f>
        <v>6477</v>
      </c>
      <c r="AA27" s="138"/>
      <c r="AB27" s="38">
        <f>SUM(AB23:AB26)</f>
        <v>509739.79000000004</v>
      </c>
      <c r="AC27" s="39">
        <f>AB27/AB27</f>
        <v>1</v>
      </c>
      <c r="AD27" s="40">
        <f>SUM(AD23:AD26)</f>
        <v>6477</v>
      </c>
      <c r="AE27" s="41">
        <f>SUM(AE23:AE26)</f>
        <v>4696188.8499999996</v>
      </c>
    </row>
    <row r="28" spans="1:31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x14ac:dyDescent="0.25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ht="15.75" x14ac:dyDescent="0.25">
      <c r="A30" s="124" t="s">
        <v>32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</row>
    <row r="31" spans="1:31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x14ac:dyDescent="0.25">
      <c r="A32" s="42" t="s">
        <v>19</v>
      </c>
      <c r="B32" s="126" t="s">
        <v>3</v>
      </c>
      <c r="C32" s="126"/>
      <c r="D32" s="126"/>
      <c r="E32" s="127" t="s">
        <v>4</v>
      </c>
      <c r="F32" s="128"/>
      <c r="G32" s="128"/>
      <c r="H32" s="127" t="s">
        <v>5</v>
      </c>
      <c r="I32" s="128"/>
      <c r="J32" s="129"/>
      <c r="K32" s="127" t="s">
        <v>6</v>
      </c>
      <c r="L32" s="128"/>
      <c r="M32" s="129"/>
      <c r="N32" s="127" t="s">
        <v>7</v>
      </c>
      <c r="O32" s="128"/>
      <c r="P32" s="129"/>
      <c r="Q32" s="130" t="s">
        <v>8</v>
      </c>
      <c r="R32" s="131"/>
      <c r="S32" s="132"/>
      <c r="T32" s="130" t="s">
        <v>9</v>
      </c>
      <c r="U32" s="131"/>
      <c r="V32" s="132"/>
      <c r="W32" s="130" t="s">
        <v>10</v>
      </c>
      <c r="X32" s="131"/>
      <c r="Y32" s="132"/>
      <c r="Z32" s="126" t="s">
        <v>11</v>
      </c>
      <c r="AA32" s="126"/>
      <c r="AB32" s="126"/>
      <c r="AC32" s="43" t="s">
        <v>22</v>
      </c>
      <c r="AD32" s="133" t="s">
        <v>12</v>
      </c>
      <c r="AE32" s="133"/>
    </row>
    <row r="33" spans="1:31" x14ac:dyDescent="0.25">
      <c r="A33" s="44" t="s">
        <v>33</v>
      </c>
      <c r="B33" s="121">
        <f>SUM(B34:D41)</f>
        <v>291683.03000000003</v>
      </c>
      <c r="C33" s="121"/>
      <c r="D33" s="121"/>
      <c r="E33" s="117">
        <f>SUM(E34:G41)</f>
        <v>16540.830000000002</v>
      </c>
      <c r="F33" s="118"/>
      <c r="G33" s="119"/>
      <c r="H33" s="117">
        <f>SUM(H34:J41)</f>
        <v>9994.66</v>
      </c>
      <c r="I33" s="118"/>
      <c r="J33" s="119"/>
      <c r="K33" s="117">
        <f>SUM(K34:M41)</f>
        <v>22394.66</v>
      </c>
      <c r="L33" s="118"/>
      <c r="M33" s="119"/>
      <c r="N33" s="117">
        <f>SUM(N34:P41)</f>
        <v>20217.91</v>
      </c>
      <c r="O33" s="118"/>
      <c r="P33" s="119"/>
      <c r="Q33" s="117">
        <f>SUM(Q34:S41)</f>
        <v>11771.41</v>
      </c>
      <c r="R33" s="118"/>
      <c r="S33" s="119"/>
      <c r="T33" s="117">
        <f>SUM(T34:V41)</f>
        <v>15994.66</v>
      </c>
      <c r="U33" s="118"/>
      <c r="V33" s="119"/>
      <c r="W33" s="117">
        <f>SUM(W34:Y41)</f>
        <v>16187.58</v>
      </c>
      <c r="X33" s="118"/>
      <c r="Y33" s="119"/>
      <c r="Z33" s="121">
        <f>SUM(Z34:AB41)</f>
        <v>113101.70999999999</v>
      </c>
      <c r="AA33" s="121"/>
      <c r="AB33" s="121"/>
      <c r="AC33" s="45">
        <f>Z33/Z103</f>
        <v>0.28311531072211565</v>
      </c>
      <c r="AD33" s="113">
        <f>SUM(AD34:AE41)</f>
        <v>404784.74000000005</v>
      </c>
      <c r="AE33" s="113"/>
    </row>
    <row r="34" spans="1:31" x14ac:dyDescent="0.25">
      <c r="A34" s="46" t="s">
        <v>34</v>
      </c>
      <c r="B34" s="120">
        <f>72200.64</f>
        <v>72200.639999999999</v>
      </c>
      <c r="C34" s="120"/>
      <c r="D34" s="120"/>
      <c r="E34" s="110">
        <v>0</v>
      </c>
      <c r="F34" s="111"/>
      <c r="G34" s="112"/>
      <c r="H34" s="110">
        <v>0</v>
      </c>
      <c r="I34" s="111"/>
      <c r="J34" s="112"/>
      <c r="K34" s="110">
        <v>0</v>
      </c>
      <c r="L34" s="111"/>
      <c r="M34" s="112"/>
      <c r="N34" s="110">
        <v>0</v>
      </c>
      <c r="O34" s="111"/>
      <c r="P34" s="112"/>
      <c r="Q34" s="110">
        <v>0</v>
      </c>
      <c r="R34" s="111"/>
      <c r="S34" s="112"/>
      <c r="T34" s="110">
        <v>0</v>
      </c>
      <c r="U34" s="111"/>
      <c r="V34" s="112"/>
      <c r="W34" s="110">
        <v>0</v>
      </c>
      <c r="X34" s="111"/>
      <c r="Y34" s="112"/>
      <c r="Z34" s="120">
        <f>0+E34+H34+K34+N34+Q34+T34+W34</f>
        <v>0</v>
      </c>
      <c r="AA34" s="120"/>
      <c r="AB34" s="120"/>
      <c r="AC34" s="47">
        <f>Z34/Z103</f>
        <v>0</v>
      </c>
      <c r="AD34" s="79">
        <f>72200.64+Z34</f>
        <v>72200.639999999999</v>
      </c>
      <c r="AE34" s="79"/>
    </row>
    <row r="35" spans="1:31" x14ac:dyDescent="0.25">
      <c r="A35" s="48" t="s">
        <v>35</v>
      </c>
      <c r="B35" s="120">
        <v>36000</v>
      </c>
      <c r="C35" s="120"/>
      <c r="D35" s="120"/>
      <c r="E35" s="76">
        <f>6000</f>
        <v>6000</v>
      </c>
      <c r="F35" s="77"/>
      <c r="G35" s="78"/>
      <c r="H35" s="110">
        <v>0</v>
      </c>
      <c r="I35" s="111"/>
      <c r="J35" s="112"/>
      <c r="K35" s="110">
        <f>6000+6000</f>
        <v>12000</v>
      </c>
      <c r="L35" s="111"/>
      <c r="M35" s="112"/>
      <c r="N35" s="110">
        <f>6000</f>
        <v>6000</v>
      </c>
      <c r="O35" s="111"/>
      <c r="P35" s="112"/>
      <c r="Q35" s="110">
        <f>6000</f>
        <v>6000</v>
      </c>
      <c r="R35" s="111"/>
      <c r="S35" s="112"/>
      <c r="T35" s="110">
        <f>6000</f>
        <v>6000</v>
      </c>
      <c r="U35" s="111"/>
      <c r="V35" s="112"/>
      <c r="W35" s="110">
        <f>6000</f>
        <v>6000</v>
      </c>
      <c r="X35" s="111"/>
      <c r="Y35" s="112"/>
      <c r="Z35" s="120">
        <f t="shared" ref="Z35:Z41" si="0">0+E35+H35+K35+N35+Q35+T35+W35</f>
        <v>42000</v>
      </c>
      <c r="AA35" s="120"/>
      <c r="AB35" s="120"/>
      <c r="AC35" s="47">
        <f>Z35/Z103</f>
        <v>0.1051340695938979</v>
      </c>
      <c r="AD35" s="79">
        <f>36000+Z35</f>
        <v>78000</v>
      </c>
      <c r="AE35" s="79"/>
    </row>
    <row r="36" spans="1:31" x14ac:dyDescent="0.25">
      <c r="A36" s="46" t="s">
        <v>36</v>
      </c>
      <c r="B36" s="120">
        <v>41057.96</v>
      </c>
      <c r="C36" s="120"/>
      <c r="D36" s="120"/>
      <c r="E36" s="110">
        <f>1260</f>
        <v>1260</v>
      </c>
      <c r="F36" s="111"/>
      <c r="G36" s="112"/>
      <c r="H36" s="110">
        <f>925</f>
        <v>925</v>
      </c>
      <c r="I36" s="111"/>
      <c r="J36" s="112"/>
      <c r="K36" s="110">
        <f>1325</f>
        <v>1325</v>
      </c>
      <c r="L36" s="111"/>
      <c r="M36" s="112"/>
      <c r="N36" s="110">
        <f>925</f>
        <v>925</v>
      </c>
      <c r="O36" s="111"/>
      <c r="P36" s="112"/>
      <c r="Q36" s="110">
        <f>925</f>
        <v>925</v>
      </c>
      <c r="R36" s="111"/>
      <c r="S36" s="112"/>
      <c r="T36" s="110">
        <f>925</f>
        <v>925</v>
      </c>
      <c r="U36" s="111"/>
      <c r="V36" s="112"/>
      <c r="W36" s="110">
        <f>1117.92</f>
        <v>1117.92</v>
      </c>
      <c r="X36" s="111"/>
      <c r="Y36" s="112"/>
      <c r="Z36" s="120">
        <f t="shared" si="0"/>
        <v>7402.92</v>
      </c>
      <c r="AA36" s="120"/>
      <c r="AB36" s="120"/>
      <c r="AC36" s="47">
        <f>Z36/Z103</f>
        <v>1.8530931106620446E-2</v>
      </c>
      <c r="AD36" s="79">
        <f>41057.96+Z36</f>
        <v>48460.88</v>
      </c>
      <c r="AE36" s="79"/>
    </row>
    <row r="37" spans="1:31" x14ac:dyDescent="0.25">
      <c r="A37" s="46" t="s">
        <v>37</v>
      </c>
      <c r="B37" s="120">
        <v>97597.28</v>
      </c>
      <c r="C37" s="120"/>
      <c r="D37" s="120"/>
      <c r="E37" s="110">
        <v>4846.41</v>
      </c>
      <c r="F37" s="111"/>
      <c r="G37" s="112"/>
      <c r="H37" s="110">
        <f>4846.41</f>
        <v>4846.41</v>
      </c>
      <c r="I37" s="111"/>
      <c r="J37" s="112"/>
      <c r="K37" s="110">
        <f>4846.41</f>
        <v>4846.41</v>
      </c>
      <c r="L37" s="111"/>
      <c r="M37" s="112"/>
      <c r="N37" s="110">
        <f>4846.41</f>
        <v>4846.41</v>
      </c>
      <c r="O37" s="111"/>
      <c r="P37" s="112"/>
      <c r="Q37" s="110">
        <f>4846.41</f>
        <v>4846.41</v>
      </c>
      <c r="R37" s="111"/>
      <c r="S37" s="112"/>
      <c r="T37" s="110">
        <f>4846.41</f>
        <v>4846.41</v>
      </c>
      <c r="U37" s="111"/>
      <c r="V37" s="112"/>
      <c r="W37" s="110">
        <f>4846.41</f>
        <v>4846.41</v>
      </c>
      <c r="X37" s="111"/>
      <c r="Y37" s="112"/>
      <c r="Z37" s="120">
        <f t="shared" si="0"/>
        <v>33924.869999999995</v>
      </c>
      <c r="AA37" s="120"/>
      <c r="AB37" s="120"/>
      <c r="AC37" s="47">
        <f>Z37/Z103</f>
        <v>8.4920467703427108E-2</v>
      </c>
      <c r="AD37" s="79">
        <f>97597.28+Z37</f>
        <v>131522.15</v>
      </c>
      <c r="AE37" s="79"/>
    </row>
    <row r="38" spans="1:31" x14ac:dyDescent="0.25">
      <c r="A38" s="46" t="s">
        <v>38</v>
      </c>
      <c r="B38" s="120">
        <v>26669.75</v>
      </c>
      <c r="C38" s="120"/>
      <c r="D38" s="120"/>
      <c r="E38" s="110">
        <v>4434.42</v>
      </c>
      <c r="F38" s="111"/>
      <c r="G38" s="112"/>
      <c r="H38" s="110">
        <f>4223.25</f>
        <v>4223.25</v>
      </c>
      <c r="I38" s="111"/>
      <c r="J38" s="112"/>
      <c r="K38" s="110">
        <f>4223.25</f>
        <v>4223.25</v>
      </c>
      <c r="L38" s="111"/>
      <c r="M38" s="112"/>
      <c r="N38" s="110">
        <f>4223.25+4223.25</f>
        <v>8446.5</v>
      </c>
      <c r="O38" s="111"/>
      <c r="P38" s="112"/>
      <c r="Q38" s="110">
        <v>0</v>
      </c>
      <c r="R38" s="111"/>
      <c r="S38" s="112"/>
      <c r="T38" s="110">
        <f>4223.25</f>
        <v>4223.25</v>
      </c>
      <c r="U38" s="111"/>
      <c r="V38" s="112"/>
      <c r="W38" s="110">
        <f>4223.25</f>
        <v>4223.25</v>
      </c>
      <c r="X38" s="111"/>
      <c r="Y38" s="112"/>
      <c r="Z38" s="120">
        <f t="shared" si="0"/>
        <v>29773.919999999998</v>
      </c>
      <c r="AA38" s="120"/>
      <c r="AB38" s="120"/>
      <c r="AC38" s="47">
        <f>Z38/Z103</f>
        <v>7.4529842318170197E-2</v>
      </c>
      <c r="AD38" s="79">
        <f>26669.75+Z38</f>
        <v>56443.67</v>
      </c>
      <c r="AE38" s="79"/>
    </row>
    <row r="39" spans="1:31" x14ac:dyDescent="0.25">
      <c r="A39" s="46" t="s">
        <v>39</v>
      </c>
      <c r="B39" s="120">
        <f>8289</f>
        <v>8289</v>
      </c>
      <c r="C39" s="120"/>
      <c r="D39" s="120"/>
      <c r="E39" s="110">
        <v>0</v>
      </c>
      <c r="F39" s="111"/>
      <c r="G39" s="112"/>
      <c r="H39" s="110">
        <v>0</v>
      </c>
      <c r="I39" s="111"/>
      <c r="J39" s="112"/>
      <c r="K39" s="110">
        <v>0</v>
      </c>
      <c r="L39" s="111"/>
      <c r="M39" s="112"/>
      <c r="N39" s="110">
        <v>0</v>
      </c>
      <c r="O39" s="111"/>
      <c r="P39" s="112"/>
      <c r="Q39" s="110">
        <v>0</v>
      </c>
      <c r="R39" s="111"/>
      <c r="S39" s="112"/>
      <c r="T39" s="110">
        <v>0</v>
      </c>
      <c r="U39" s="111"/>
      <c r="V39" s="112"/>
      <c r="W39" s="110">
        <v>0</v>
      </c>
      <c r="X39" s="111"/>
      <c r="Y39" s="112"/>
      <c r="Z39" s="120">
        <f t="shared" si="0"/>
        <v>0</v>
      </c>
      <c r="AA39" s="120"/>
      <c r="AB39" s="120"/>
      <c r="AC39" s="47">
        <f>Z39/Z103</f>
        <v>0</v>
      </c>
      <c r="AD39" s="79">
        <f>8289+Z39</f>
        <v>8289</v>
      </c>
      <c r="AE39" s="79"/>
    </row>
    <row r="40" spans="1:31" x14ac:dyDescent="0.25">
      <c r="A40" s="46" t="s">
        <v>40</v>
      </c>
      <c r="B40" s="120">
        <f>7863.4</f>
        <v>7863.4</v>
      </c>
      <c r="C40" s="120"/>
      <c r="D40" s="120"/>
      <c r="E40" s="110">
        <v>0</v>
      </c>
      <c r="F40" s="111"/>
      <c r="G40" s="112"/>
      <c r="H40" s="110">
        <v>0</v>
      </c>
      <c r="I40" s="111"/>
      <c r="J40" s="112"/>
      <c r="K40" s="110">
        <v>0</v>
      </c>
      <c r="L40" s="111"/>
      <c r="M40" s="112"/>
      <c r="N40" s="110">
        <v>0</v>
      </c>
      <c r="O40" s="111"/>
      <c r="P40" s="112"/>
      <c r="Q40" s="110">
        <v>0</v>
      </c>
      <c r="R40" s="111"/>
      <c r="S40" s="112"/>
      <c r="T40" s="110">
        <v>0</v>
      </c>
      <c r="U40" s="111"/>
      <c r="V40" s="112"/>
      <c r="W40" s="110">
        <v>0</v>
      </c>
      <c r="X40" s="111"/>
      <c r="Y40" s="112"/>
      <c r="Z40" s="120">
        <f t="shared" si="0"/>
        <v>0</v>
      </c>
      <c r="AA40" s="120"/>
      <c r="AB40" s="120"/>
      <c r="AC40" s="47">
        <f>Z40/Z103</f>
        <v>0</v>
      </c>
      <c r="AD40" s="79">
        <f>7863.4+Z40</f>
        <v>7863.4</v>
      </c>
      <c r="AE40" s="79"/>
    </row>
    <row r="41" spans="1:31" x14ac:dyDescent="0.25">
      <c r="A41" s="46" t="s">
        <v>41</v>
      </c>
      <c r="B41" s="120">
        <f>2005</f>
        <v>2005</v>
      </c>
      <c r="C41" s="120"/>
      <c r="D41" s="120"/>
      <c r="E41" s="110">
        <v>0</v>
      </c>
      <c r="F41" s="111"/>
      <c r="G41" s="112"/>
      <c r="H41" s="110">
        <v>0</v>
      </c>
      <c r="I41" s="111"/>
      <c r="J41" s="112"/>
      <c r="K41" s="110">
        <v>0</v>
      </c>
      <c r="L41" s="111"/>
      <c r="M41" s="112"/>
      <c r="N41" s="110">
        <v>0</v>
      </c>
      <c r="O41" s="111"/>
      <c r="P41" s="112"/>
      <c r="Q41" s="110">
        <v>0</v>
      </c>
      <c r="R41" s="111"/>
      <c r="S41" s="112"/>
      <c r="T41" s="110">
        <v>0</v>
      </c>
      <c r="U41" s="111"/>
      <c r="V41" s="112"/>
      <c r="W41" s="110">
        <v>0</v>
      </c>
      <c r="X41" s="111"/>
      <c r="Y41" s="112"/>
      <c r="Z41" s="120">
        <f t="shared" si="0"/>
        <v>0</v>
      </c>
      <c r="AA41" s="120"/>
      <c r="AB41" s="120"/>
      <c r="AC41" s="47">
        <f>Z41/Z103</f>
        <v>0</v>
      </c>
      <c r="AD41" s="79">
        <f>2005+Z41</f>
        <v>2005</v>
      </c>
      <c r="AE41" s="79"/>
    </row>
    <row r="42" spans="1:31" x14ac:dyDescent="0.25">
      <c r="A42" s="44" t="s">
        <v>42</v>
      </c>
      <c r="B42" s="121">
        <f>SUM(B43:D45)</f>
        <v>380413.85</v>
      </c>
      <c r="C42" s="121"/>
      <c r="D42" s="121"/>
      <c r="E42" s="121">
        <f>SUM(E43:G45)</f>
        <v>0</v>
      </c>
      <c r="F42" s="121"/>
      <c r="G42" s="121"/>
      <c r="H42" s="121">
        <f>SUM(H43:J45)</f>
        <v>0</v>
      </c>
      <c r="I42" s="121"/>
      <c r="J42" s="121"/>
      <c r="K42" s="121">
        <f>SUM(K43:M45)</f>
        <v>0</v>
      </c>
      <c r="L42" s="121"/>
      <c r="M42" s="121"/>
      <c r="N42" s="121">
        <f>SUM(N43:P45)</f>
        <v>25000</v>
      </c>
      <c r="O42" s="121"/>
      <c r="P42" s="121"/>
      <c r="Q42" s="121">
        <f>SUM(Q43:S45)</f>
        <v>25000</v>
      </c>
      <c r="R42" s="121"/>
      <c r="S42" s="121"/>
      <c r="T42" s="121">
        <f>SUM(T43:V45)</f>
        <v>40000</v>
      </c>
      <c r="U42" s="121"/>
      <c r="V42" s="121"/>
      <c r="W42" s="121">
        <f>SUM(W43:Y45)</f>
        <v>0</v>
      </c>
      <c r="X42" s="121"/>
      <c r="Y42" s="121"/>
      <c r="Z42" s="121">
        <f>SUM(Z43:AB45)</f>
        <v>90000</v>
      </c>
      <c r="AA42" s="121"/>
      <c r="AB42" s="121"/>
      <c r="AC42" s="45">
        <f>Z42/Z103</f>
        <v>0.22528729198692407</v>
      </c>
      <c r="AD42" s="113">
        <f>SUM(AD43:AE45)</f>
        <v>470413.85</v>
      </c>
      <c r="AE42" s="113"/>
    </row>
    <row r="43" spans="1:31" x14ac:dyDescent="0.25">
      <c r="A43" s="46" t="s">
        <v>43</v>
      </c>
      <c r="B43" s="120">
        <f>214077.5</f>
        <v>214077.5</v>
      </c>
      <c r="C43" s="120"/>
      <c r="D43" s="120"/>
      <c r="E43" s="110">
        <v>0</v>
      </c>
      <c r="F43" s="111"/>
      <c r="G43" s="112"/>
      <c r="H43" s="110">
        <v>0</v>
      </c>
      <c r="I43" s="111"/>
      <c r="J43" s="112"/>
      <c r="K43" s="110">
        <v>0</v>
      </c>
      <c r="L43" s="111"/>
      <c r="M43" s="112"/>
      <c r="N43" s="110">
        <f>25000</f>
        <v>25000</v>
      </c>
      <c r="O43" s="111"/>
      <c r="P43" s="112"/>
      <c r="Q43" s="110">
        <f>25000</f>
        <v>25000</v>
      </c>
      <c r="R43" s="111"/>
      <c r="S43" s="112"/>
      <c r="T43" s="110">
        <f>40000</f>
        <v>40000</v>
      </c>
      <c r="U43" s="111"/>
      <c r="V43" s="112"/>
      <c r="W43" s="110">
        <v>0</v>
      </c>
      <c r="X43" s="111"/>
      <c r="Y43" s="112"/>
      <c r="Z43" s="120">
        <f>E43+H43+K43+N43+Q43+T43+W43</f>
        <v>90000</v>
      </c>
      <c r="AA43" s="120"/>
      <c r="AB43" s="120"/>
      <c r="AC43" s="47">
        <f>Z43/Z103</f>
        <v>0.22528729198692407</v>
      </c>
      <c r="AD43" s="79">
        <f>214077.5+Z43</f>
        <v>304077.5</v>
      </c>
      <c r="AE43" s="79"/>
    </row>
    <row r="44" spans="1:31" x14ac:dyDescent="0.25">
      <c r="A44" s="46" t="s">
        <v>44</v>
      </c>
      <c r="B44" s="120">
        <f>151996.63</f>
        <v>151996.63</v>
      </c>
      <c r="C44" s="120"/>
      <c r="D44" s="120"/>
      <c r="E44" s="110">
        <v>0</v>
      </c>
      <c r="F44" s="111"/>
      <c r="G44" s="112"/>
      <c r="H44" s="110">
        <v>0</v>
      </c>
      <c r="I44" s="111"/>
      <c r="J44" s="112"/>
      <c r="K44" s="110">
        <v>0</v>
      </c>
      <c r="L44" s="111"/>
      <c r="M44" s="112"/>
      <c r="N44" s="110">
        <v>0</v>
      </c>
      <c r="O44" s="111"/>
      <c r="P44" s="112"/>
      <c r="Q44" s="110">
        <v>0</v>
      </c>
      <c r="R44" s="111"/>
      <c r="S44" s="112"/>
      <c r="T44" s="110">
        <v>0</v>
      </c>
      <c r="U44" s="111"/>
      <c r="V44" s="112"/>
      <c r="W44" s="110">
        <v>0</v>
      </c>
      <c r="X44" s="111"/>
      <c r="Y44" s="112"/>
      <c r="Z44" s="120">
        <f t="shared" ref="Z44:Z45" si="1">E44+H44+K44+N44+Q44+T44+W44</f>
        <v>0</v>
      </c>
      <c r="AA44" s="120"/>
      <c r="AB44" s="120"/>
      <c r="AC44" s="47">
        <f>Z44/Z103</f>
        <v>0</v>
      </c>
      <c r="AD44" s="79">
        <f>151996.63+Z44</f>
        <v>151996.63</v>
      </c>
      <c r="AE44" s="79"/>
    </row>
    <row r="45" spans="1:31" x14ac:dyDescent="0.25">
      <c r="A45" s="46" t="s">
        <v>45</v>
      </c>
      <c r="B45" s="107">
        <v>14339.72</v>
      </c>
      <c r="C45" s="108"/>
      <c r="D45" s="109"/>
      <c r="E45" s="76">
        <v>0</v>
      </c>
      <c r="F45" s="77"/>
      <c r="G45" s="78"/>
      <c r="H45" s="110">
        <v>0</v>
      </c>
      <c r="I45" s="111"/>
      <c r="J45" s="112"/>
      <c r="K45" s="110">
        <v>0</v>
      </c>
      <c r="L45" s="111"/>
      <c r="M45" s="112"/>
      <c r="N45" s="110">
        <v>0</v>
      </c>
      <c r="O45" s="111"/>
      <c r="P45" s="112"/>
      <c r="Q45" s="110">
        <v>0</v>
      </c>
      <c r="R45" s="111"/>
      <c r="S45" s="112"/>
      <c r="T45" s="110">
        <v>0</v>
      </c>
      <c r="U45" s="111"/>
      <c r="V45" s="112"/>
      <c r="W45" s="110">
        <v>0</v>
      </c>
      <c r="X45" s="111"/>
      <c r="Y45" s="112"/>
      <c r="Z45" s="120">
        <f t="shared" si="1"/>
        <v>0</v>
      </c>
      <c r="AA45" s="120"/>
      <c r="AB45" s="120"/>
      <c r="AC45" s="47">
        <f>Z45/Z104</f>
        <v>0</v>
      </c>
      <c r="AD45" s="79">
        <f>14339.72+Z45</f>
        <v>14339.72</v>
      </c>
      <c r="AE45" s="79"/>
    </row>
    <row r="46" spans="1:31" x14ac:dyDescent="0.25">
      <c r="A46" s="44" t="s">
        <v>46</v>
      </c>
      <c r="B46" s="121">
        <f>SUM(B47:D49)</f>
        <v>77211.740000000005</v>
      </c>
      <c r="C46" s="121"/>
      <c r="D46" s="121"/>
      <c r="E46" s="121">
        <f>SUM(E47:G49)</f>
        <v>0</v>
      </c>
      <c r="F46" s="121"/>
      <c r="G46" s="121"/>
      <c r="H46" s="121">
        <f>SUM(H47:J49)</f>
        <v>0</v>
      </c>
      <c r="I46" s="121"/>
      <c r="J46" s="121"/>
      <c r="K46" s="121">
        <f>SUM(K47:M49)</f>
        <v>0</v>
      </c>
      <c r="L46" s="121"/>
      <c r="M46" s="121"/>
      <c r="N46" s="121">
        <f>SUM(N47:P49)</f>
        <v>0</v>
      </c>
      <c r="O46" s="121"/>
      <c r="P46" s="121"/>
      <c r="Q46" s="121">
        <f>SUM(Q47:S49)</f>
        <v>0</v>
      </c>
      <c r="R46" s="121"/>
      <c r="S46" s="121"/>
      <c r="T46" s="121">
        <f>SUM(T47:V49)</f>
        <v>0</v>
      </c>
      <c r="U46" s="121"/>
      <c r="V46" s="121"/>
      <c r="W46" s="121">
        <f>SUM(W47:Y49)</f>
        <v>0</v>
      </c>
      <c r="X46" s="121"/>
      <c r="Y46" s="121"/>
      <c r="Z46" s="121">
        <f>SUM(Z47:AB49)</f>
        <v>0</v>
      </c>
      <c r="AA46" s="121"/>
      <c r="AB46" s="121"/>
      <c r="AC46" s="45">
        <f>Z46/Z103</f>
        <v>0</v>
      </c>
      <c r="AD46" s="113">
        <f>SUM(AD47:AE49)</f>
        <v>77211.740000000005</v>
      </c>
      <c r="AE46" s="113"/>
    </row>
    <row r="47" spans="1:31" x14ac:dyDescent="0.25">
      <c r="A47" s="46" t="s">
        <v>47</v>
      </c>
      <c r="B47" s="122">
        <v>3414.91</v>
      </c>
      <c r="C47" s="122"/>
      <c r="D47" s="122"/>
      <c r="E47" s="110">
        <v>0</v>
      </c>
      <c r="F47" s="111"/>
      <c r="G47" s="112"/>
      <c r="H47" s="110">
        <v>0</v>
      </c>
      <c r="I47" s="111"/>
      <c r="J47" s="112"/>
      <c r="K47" s="110">
        <v>0</v>
      </c>
      <c r="L47" s="111"/>
      <c r="M47" s="112"/>
      <c r="N47" s="110">
        <v>0</v>
      </c>
      <c r="O47" s="111"/>
      <c r="P47" s="112"/>
      <c r="Q47" s="110">
        <v>0</v>
      </c>
      <c r="R47" s="111"/>
      <c r="S47" s="112"/>
      <c r="T47" s="110">
        <v>0</v>
      </c>
      <c r="U47" s="111"/>
      <c r="V47" s="112"/>
      <c r="W47" s="110">
        <v>0</v>
      </c>
      <c r="X47" s="111"/>
      <c r="Y47" s="112"/>
      <c r="Z47" s="120">
        <f>0+E47+H47+K47+N47+Q47+T47+W47</f>
        <v>0</v>
      </c>
      <c r="AA47" s="120"/>
      <c r="AB47" s="120"/>
      <c r="AC47" s="47">
        <f>Z47/Z103</f>
        <v>0</v>
      </c>
      <c r="AD47" s="79">
        <f>3414.91+Z47</f>
        <v>3414.91</v>
      </c>
      <c r="AE47" s="79"/>
    </row>
    <row r="48" spans="1:31" x14ac:dyDescent="0.25">
      <c r="A48" s="46" t="s">
        <v>48</v>
      </c>
      <c r="B48" s="120">
        <v>11615.83</v>
      </c>
      <c r="C48" s="120"/>
      <c r="D48" s="120"/>
      <c r="E48" s="110">
        <v>0</v>
      </c>
      <c r="F48" s="111"/>
      <c r="G48" s="112"/>
      <c r="H48" s="110">
        <v>0</v>
      </c>
      <c r="I48" s="111"/>
      <c r="J48" s="112"/>
      <c r="K48" s="110">
        <v>0</v>
      </c>
      <c r="L48" s="111"/>
      <c r="M48" s="112"/>
      <c r="N48" s="110">
        <v>0</v>
      </c>
      <c r="O48" s="111"/>
      <c r="P48" s="112"/>
      <c r="Q48" s="110">
        <v>0</v>
      </c>
      <c r="R48" s="111"/>
      <c r="S48" s="112"/>
      <c r="T48" s="110">
        <v>0</v>
      </c>
      <c r="U48" s="111"/>
      <c r="V48" s="112"/>
      <c r="W48" s="110">
        <v>0</v>
      </c>
      <c r="X48" s="111"/>
      <c r="Y48" s="112"/>
      <c r="Z48" s="120">
        <f t="shared" ref="Z48:Z49" si="2">0+E48+H48+K48+N48+Q48+T48+W48</f>
        <v>0</v>
      </c>
      <c r="AA48" s="120"/>
      <c r="AB48" s="120"/>
      <c r="AC48" s="47">
        <f>Z48/Z103</f>
        <v>0</v>
      </c>
      <c r="AD48" s="79">
        <f>11615.83+Z48</f>
        <v>11615.83</v>
      </c>
      <c r="AE48" s="79"/>
    </row>
    <row r="49" spans="1:31" x14ac:dyDescent="0.25">
      <c r="A49" s="46" t="s">
        <v>49</v>
      </c>
      <c r="B49" s="120">
        <v>62181</v>
      </c>
      <c r="C49" s="120"/>
      <c r="D49" s="120"/>
      <c r="E49" s="110">
        <v>0</v>
      </c>
      <c r="F49" s="111"/>
      <c r="G49" s="112"/>
      <c r="H49" s="110">
        <v>0</v>
      </c>
      <c r="I49" s="111"/>
      <c r="J49" s="112"/>
      <c r="K49" s="110">
        <v>0</v>
      </c>
      <c r="L49" s="111"/>
      <c r="M49" s="112"/>
      <c r="N49" s="110">
        <v>0</v>
      </c>
      <c r="O49" s="111"/>
      <c r="P49" s="112"/>
      <c r="Q49" s="110">
        <v>0</v>
      </c>
      <c r="R49" s="111"/>
      <c r="S49" s="112"/>
      <c r="T49" s="110">
        <v>0</v>
      </c>
      <c r="U49" s="111"/>
      <c r="V49" s="112"/>
      <c r="W49" s="110">
        <v>0</v>
      </c>
      <c r="X49" s="111"/>
      <c r="Y49" s="112"/>
      <c r="Z49" s="120">
        <f t="shared" si="2"/>
        <v>0</v>
      </c>
      <c r="AA49" s="120"/>
      <c r="AB49" s="120"/>
      <c r="AC49" s="47">
        <f>Z49/Z103</f>
        <v>0</v>
      </c>
      <c r="AD49" s="79">
        <f>62181+Z49</f>
        <v>62181</v>
      </c>
      <c r="AE49" s="79"/>
    </row>
    <row r="50" spans="1:31" x14ac:dyDescent="0.25">
      <c r="A50" s="44" t="s">
        <v>50</v>
      </c>
      <c r="B50" s="121">
        <f>SUM(B51:D63)</f>
        <v>241215.44999999998</v>
      </c>
      <c r="C50" s="121"/>
      <c r="D50" s="121"/>
      <c r="E50" s="121">
        <f>SUM(E51:G63)</f>
        <v>3895.7200000000003</v>
      </c>
      <c r="F50" s="121"/>
      <c r="G50" s="121"/>
      <c r="H50" s="121">
        <f>SUM(H51:J63)</f>
        <v>3671.7200000000003</v>
      </c>
      <c r="I50" s="121"/>
      <c r="J50" s="121"/>
      <c r="K50" s="121">
        <f>SUM(K51:M63)</f>
        <v>3677.12</v>
      </c>
      <c r="L50" s="121"/>
      <c r="M50" s="121"/>
      <c r="N50" s="121">
        <f>SUM(N51:P63)</f>
        <v>3721.62</v>
      </c>
      <c r="O50" s="121"/>
      <c r="P50" s="121"/>
      <c r="Q50" s="121">
        <f>SUM(Q51:S63)</f>
        <v>4178.0200000000004</v>
      </c>
      <c r="R50" s="121"/>
      <c r="S50" s="121"/>
      <c r="T50" s="121">
        <f>SUM(T51:V63)</f>
        <v>3677.57</v>
      </c>
      <c r="U50" s="121"/>
      <c r="V50" s="121"/>
      <c r="W50" s="121">
        <f>SUM(W51:Y63)</f>
        <v>3766.07</v>
      </c>
      <c r="X50" s="121"/>
      <c r="Y50" s="121"/>
      <c r="Z50" s="121">
        <f>SUM(Z51:AB63)</f>
        <v>26587.84</v>
      </c>
      <c r="AA50" s="121"/>
      <c r="AB50" s="121"/>
      <c r="AC50" s="45">
        <f>Z50/Z103</f>
        <v>6.6554471926462438E-2</v>
      </c>
      <c r="AD50" s="113">
        <f>SUM(AD51:AE63)</f>
        <v>267803.29000000004</v>
      </c>
      <c r="AE50" s="113"/>
    </row>
    <row r="51" spans="1:31" x14ac:dyDescent="0.25">
      <c r="A51" s="49" t="s">
        <v>51</v>
      </c>
      <c r="B51" s="120">
        <v>28211.279999999999</v>
      </c>
      <c r="C51" s="120"/>
      <c r="D51" s="120"/>
      <c r="E51" s="110">
        <v>0</v>
      </c>
      <c r="F51" s="111"/>
      <c r="G51" s="112"/>
      <c r="H51" s="110">
        <v>0</v>
      </c>
      <c r="I51" s="111"/>
      <c r="J51" s="112"/>
      <c r="K51" s="110">
        <v>0</v>
      </c>
      <c r="L51" s="111"/>
      <c r="M51" s="112"/>
      <c r="N51" s="110">
        <v>0</v>
      </c>
      <c r="O51" s="111"/>
      <c r="P51" s="112"/>
      <c r="Q51" s="110">
        <v>0</v>
      </c>
      <c r="R51" s="111"/>
      <c r="S51" s="112"/>
      <c r="T51" s="110">
        <v>0</v>
      </c>
      <c r="U51" s="111"/>
      <c r="V51" s="112"/>
      <c r="W51" s="110">
        <v>0</v>
      </c>
      <c r="X51" s="111"/>
      <c r="Y51" s="112"/>
      <c r="Z51" s="120">
        <f>0+E51+H51+K51+N51+Q51+T51+W51</f>
        <v>0</v>
      </c>
      <c r="AA51" s="120"/>
      <c r="AB51" s="120"/>
      <c r="AC51" s="47">
        <f>Z51/Z103</f>
        <v>0</v>
      </c>
      <c r="AD51" s="79">
        <f>28211.28+Z51</f>
        <v>28211.279999999999</v>
      </c>
      <c r="AE51" s="79"/>
    </row>
    <row r="52" spans="1:31" x14ac:dyDescent="0.25">
      <c r="A52" s="46" t="s">
        <v>52</v>
      </c>
      <c r="B52" s="120">
        <v>9340</v>
      </c>
      <c r="C52" s="120"/>
      <c r="D52" s="120"/>
      <c r="E52" s="110">
        <v>0</v>
      </c>
      <c r="F52" s="111"/>
      <c r="G52" s="112"/>
      <c r="H52" s="110">
        <v>0</v>
      </c>
      <c r="I52" s="111"/>
      <c r="J52" s="112"/>
      <c r="K52" s="110">
        <v>0</v>
      </c>
      <c r="L52" s="111"/>
      <c r="M52" s="112"/>
      <c r="N52" s="110">
        <v>0</v>
      </c>
      <c r="O52" s="111"/>
      <c r="P52" s="112"/>
      <c r="Q52" s="110">
        <v>0</v>
      </c>
      <c r="R52" s="111"/>
      <c r="S52" s="112"/>
      <c r="T52" s="110">
        <v>0</v>
      </c>
      <c r="U52" s="111"/>
      <c r="V52" s="112"/>
      <c r="W52" s="110">
        <v>0</v>
      </c>
      <c r="X52" s="111"/>
      <c r="Y52" s="112"/>
      <c r="Z52" s="120">
        <f t="shared" ref="Z52:Z63" si="3">0+E52+H52+K52+N52+Q52+T52+W52</f>
        <v>0</v>
      </c>
      <c r="AA52" s="120"/>
      <c r="AB52" s="120"/>
      <c r="AC52" s="47">
        <f>Z52/Z103</f>
        <v>0</v>
      </c>
      <c r="AD52" s="79">
        <f>9340+Z52</f>
        <v>9340</v>
      </c>
      <c r="AE52" s="79"/>
    </row>
    <row r="53" spans="1:31" x14ac:dyDescent="0.25">
      <c r="A53" s="46" t="s">
        <v>53</v>
      </c>
      <c r="B53" s="120">
        <v>16890</v>
      </c>
      <c r="C53" s="120"/>
      <c r="D53" s="120"/>
      <c r="E53" s="110">
        <f>450</f>
        <v>450</v>
      </c>
      <c r="F53" s="111"/>
      <c r="G53" s="112"/>
      <c r="H53" s="110">
        <f>450</f>
        <v>450</v>
      </c>
      <c r="I53" s="111"/>
      <c r="J53" s="112"/>
      <c r="K53" s="110">
        <f>450</f>
        <v>450</v>
      </c>
      <c r="L53" s="111"/>
      <c r="M53" s="112"/>
      <c r="N53" s="110">
        <f>450</f>
        <v>450</v>
      </c>
      <c r="O53" s="111"/>
      <c r="P53" s="112"/>
      <c r="Q53" s="110">
        <f>450</f>
        <v>450</v>
      </c>
      <c r="R53" s="111"/>
      <c r="S53" s="112"/>
      <c r="T53" s="110">
        <f>450</f>
        <v>450</v>
      </c>
      <c r="U53" s="111"/>
      <c r="V53" s="112"/>
      <c r="W53" s="110">
        <f>450</f>
        <v>450</v>
      </c>
      <c r="X53" s="111"/>
      <c r="Y53" s="112"/>
      <c r="Z53" s="120">
        <f t="shared" si="3"/>
        <v>3150</v>
      </c>
      <c r="AA53" s="120"/>
      <c r="AB53" s="120"/>
      <c r="AC53" s="47">
        <f>Z53/Z103</f>
        <v>7.8850552195423428E-3</v>
      </c>
      <c r="AD53" s="79">
        <f>16890+Z53</f>
        <v>20040</v>
      </c>
      <c r="AE53" s="79"/>
    </row>
    <row r="54" spans="1:31" x14ac:dyDescent="0.25">
      <c r="A54" s="46" t="s">
        <v>54</v>
      </c>
      <c r="B54" s="120">
        <v>43576.7</v>
      </c>
      <c r="C54" s="120"/>
      <c r="D54" s="120"/>
      <c r="E54" s="110">
        <v>0</v>
      </c>
      <c r="F54" s="111"/>
      <c r="G54" s="112"/>
      <c r="H54" s="110">
        <v>0</v>
      </c>
      <c r="I54" s="111"/>
      <c r="J54" s="112"/>
      <c r="K54" s="110">
        <v>0</v>
      </c>
      <c r="L54" s="111"/>
      <c r="M54" s="112"/>
      <c r="N54" s="110">
        <v>0</v>
      </c>
      <c r="O54" s="111"/>
      <c r="P54" s="112"/>
      <c r="Q54" s="110">
        <v>0</v>
      </c>
      <c r="R54" s="111"/>
      <c r="S54" s="112"/>
      <c r="T54" s="110">
        <v>0</v>
      </c>
      <c r="U54" s="111"/>
      <c r="V54" s="112"/>
      <c r="W54" s="110">
        <v>0</v>
      </c>
      <c r="X54" s="111"/>
      <c r="Y54" s="112"/>
      <c r="Z54" s="120">
        <f t="shared" si="3"/>
        <v>0</v>
      </c>
      <c r="AA54" s="120"/>
      <c r="AB54" s="120"/>
      <c r="AC54" s="47">
        <f>Z54/Z103</f>
        <v>0</v>
      </c>
      <c r="AD54" s="79">
        <f>43576.7+Z54</f>
        <v>43576.7</v>
      </c>
      <c r="AE54" s="79"/>
    </row>
    <row r="55" spans="1:31" x14ac:dyDescent="0.25">
      <c r="A55" s="46" t="s">
        <v>55</v>
      </c>
      <c r="B55" s="120">
        <v>96857.71</v>
      </c>
      <c r="C55" s="120"/>
      <c r="D55" s="120"/>
      <c r="E55" s="110">
        <f>2722.05</f>
        <v>2722.05</v>
      </c>
      <c r="F55" s="111"/>
      <c r="G55" s="112"/>
      <c r="H55" s="110">
        <f>2713.05</f>
        <v>2713.05</v>
      </c>
      <c r="I55" s="111"/>
      <c r="J55" s="112"/>
      <c r="K55" s="110">
        <f>2718.45</f>
        <v>2718.45</v>
      </c>
      <c r="L55" s="111"/>
      <c r="M55" s="112"/>
      <c r="N55" s="110">
        <f>2722.95</f>
        <v>2722.95</v>
      </c>
      <c r="O55" s="111"/>
      <c r="P55" s="112"/>
      <c r="Q55" s="110">
        <f>2719.35</f>
        <v>2719.35</v>
      </c>
      <c r="R55" s="111"/>
      <c r="S55" s="112"/>
      <c r="T55" s="110">
        <f>2718.9</f>
        <v>2718.9</v>
      </c>
      <c r="U55" s="111"/>
      <c r="V55" s="112"/>
      <c r="W55" s="110">
        <f>2768.4</f>
        <v>2768.4</v>
      </c>
      <c r="X55" s="111"/>
      <c r="Y55" s="112"/>
      <c r="Z55" s="120">
        <f>0+E55+H55+K55+N55+Q55+T55+W55</f>
        <v>19083.150000000001</v>
      </c>
      <c r="AA55" s="120"/>
      <c r="AB55" s="120"/>
      <c r="AC55" s="47">
        <f>Z55/Z103</f>
        <v>4.7768790956447447E-2</v>
      </c>
      <c r="AD55" s="79">
        <f>96857.71+Z55</f>
        <v>115940.86000000002</v>
      </c>
      <c r="AE55" s="79"/>
    </row>
    <row r="56" spans="1:31" x14ac:dyDescent="0.25">
      <c r="A56" s="46" t="s">
        <v>56</v>
      </c>
      <c r="B56" s="120">
        <v>9150.25</v>
      </c>
      <c r="C56" s="120"/>
      <c r="D56" s="120"/>
      <c r="E56" s="110">
        <f>293.67</f>
        <v>293.67</v>
      </c>
      <c r="F56" s="111"/>
      <c r="G56" s="112"/>
      <c r="H56" s="110">
        <f>293.67</f>
        <v>293.67</v>
      </c>
      <c r="I56" s="111"/>
      <c r="J56" s="112"/>
      <c r="K56" s="110">
        <f>293.67</f>
        <v>293.67</v>
      </c>
      <c r="L56" s="111"/>
      <c r="M56" s="112"/>
      <c r="N56" s="110">
        <f>293.67</f>
        <v>293.67</v>
      </c>
      <c r="O56" s="111"/>
      <c r="P56" s="112"/>
      <c r="Q56" s="110">
        <f>293.67</f>
        <v>293.67</v>
      </c>
      <c r="R56" s="111"/>
      <c r="S56" s="112"/>
      <c r="T56" s="110">
        <f>293.67</f>
        <v>293.67</v>
      </c>
      <c r="U56" s="111"/>
      <c r="V56" s="112"/>
      <c r="W56" s="110">
        <f>293.67</f>
        <v>293.67</v>
      </c>
      <c r="X56" s="111"/>
      <c r="Y56" s="112"/>
      <c r="Z56" s="120">
        <f t="shared" si="3"/>
        <v>2055.69</v>
      </c>
      <c r="AA56" s="120"/>
      <c r="AB56" s="120"/>
      <c r="AC56" s="47">
        <f>Z56/Z103</f>
        <v>5.1457870362733331E-3</v>
      </c>
      <c r="AD56" s="79">
        <f>9150.25+Z56</f>
        <v>11205.94</v>
      </c>
      <c r="AE56" s="79"/>
    </row>
    <row r="57" spans="1:31" x14ac:dyDescent="0.25">
      <c r="A57" s="46" t="s">
        <v>57</v>
      </c>
      <c r="B57" s="120">
        <v>2618.94</v>
      </c>
      <c r="C57" s="120"/>
      <c r="D57" s="120"/>
      <c r="E57" s="110">
        <f>215+215</f>
        <v>430</v>
      </c>
      <c r="F57" s="111"/>
      <c r="G57" s="112"/>
      <c r="H57" s="110">
        <f>215</f>
        <v>215</v>
      </c>
      <c r="I57" s="111"/>
      <c r="J57" s="112"/>
      <c r="K57" s="110">
        <f>215</f>
        <v>215</v>
      </c>
      <c r="L57" s="111"/>
      <c r="M57" s="112"/>
      <c r="N57" s="110">
        <f>215</f>
        <v>215</v>
      </c>
      <c r="O57" s="111"/>
      <c r="P57" s="112"/>
      <c r="Q57" s="110">
        <f>215</f>
        <v>215</v>
      </c>
      <c r="R57" s="111"/>
      <c r="S57" s="112"/>
      <c r="T57" s="110">
        <f>215</f>
        <v>215</v>
      </c>
      <c r="U57" s="111"/>
      <c r="V57" s="112"/>
      <c r="W57" s="110">
        <f>215</f>
        <v>215</v>
      </c>
      <c r="X57" s="111"/>
      <c r="Y57" s="112"/>
      <c r="Z57" s="120">
        <f t="shared" si="3"/>
        <v>1720</v>
      </c>
      <c r="AA57" s="120"/>
      <c r="AB57" s="120"/>
      <c r="AC57" s="47">
        <f>Z57/Z103</f>
        <v>4.3054904690834382E-3</v>
      </c>
      <c r="AD57" s="79">
        <f>2618.94+Z57</f>
        <v>4338.9400000000005</v>
      </c>
      <c r="AE57" s="79"/>
    </row>
    <row r="58" spans="1:31" x14ac:dyDescent="0.25">
      <c r="A58" s="46" t="s">
        <v>58</v>
      </c>
      <c r="B58" s="107">
        <v>0</v>
      </c>
      <c r="C58" s="108"/>
      <c r="D58" s="109"/>
      <c r="E58" s="110">
        <v>0</v>
      </c>
      <c r="F58" s="111"/>
      <c r="G58" s="112"/>
      <c r="H58" s="110">
        <v>0</v>
      </c>
      <c r="I58" s="111"/>
      <c r="J58" s="112"/>
      <c r="K58" s="110">
        <v>0</v>
      </c>
      <c r="L58" s="111"/>
      <c r="M58" s="112"/>
      <c r="N58" s="110">
        <v>0</v>
      </c>
      <c r="O58" s="111"/>
      <c r="P58" s="112"/>
      <c r="Q58" s="110">
        <v>0</v>
      </c>
      <c r="R58" s="111"/>
      <c r="S58" s="112"/>
      <c r="T58" s="110">
        <v>0</v>
      </c>
      <c r="U58" s="111"/>
      <c r="V58" s="112"/>
      <c r="W58" s="110">
        <f>39</f>
        <v>39</v>
      </c>
      <c r="X58" s="111"/>
      <c r="Y58" s="112"/>
      <c r="Z58" s="120">
        <f t="shared" si="3"/>
        <v>39</v>
      </c>
      <c r="AA58" s="120"/>
      <c r="AB58" s="120"/>
      <c r="AC58" s="47">
        <f>Z58/Z104</f>
        <v>3.5374188162381635E-4</v>
      </c>
      <c r="AD58" s="76">
        <f>0+Z58</f>
        <v>39</v>
      </c>
      <c r="AE58" s="78"/>
    </row>
    <row r="59" spans="1:31" x14ac:dyDescent="0.25">
      <c r="A59" s="46" t="s">
        <v>59</v>
      </c>
      <c r="B59" s="120">
        <v>25282.46</v>
      </c>
      <c r="C59" s="120"/>
      <c r="D59" s="120"/>
      <c r="E59" s="110">
        <v>0</v>
      </c>
      <c r="F59" s="111"/>
      <c r="G59" s="112"/>
      <c r="H59" s="110">
        <v>0</v>
      </c>
      <c r="I59" s="111"/>
      <c r="J59" s="112"/>
      <c r="K59" s="110">
        <v>0</v>
      </c>
      <c r="L59" s="111"/>
      <c r="M59" s="112"/>
      <c r="N59" s="110">
        <v>0</v>
      </c>
      <c r="O59" s="111"/>
      <c r="P59" s="112"/>
      <c r="Q59" s="110">
        <f>500</f>
        <v>500</v>
      </c>
      <c r="R59" s="111"/>
      <c r="S59" s="112"/>
      <c r="T59" s="110">
        <v>0</v>
      </c>
      <c r="U59" s="111"/>
      <c r="V59" s="112"/>
      <c r="W59" s="110">
        <v>0</v>
      </c>
      <c r="X59" s="111"/>
      <c r="Y59" s="112"/>
      <c r="Z59" s="120">
        <f t="shared" si="3"/>
        <v>500</v>
      </c>
      <c r="AA59" s="120"/>
      <c r="AB59" s="120"/>
      <c r="AC59" s="47">
        <f>Z59/Z103</f>
        <v>1.2515960665940226E-3</v>
      </c>
      <c r="AD59" s="79">
        <f>25282.46+Z59</f>
        <v>25782.46</v>
      </c>
      <c r="AE59" s="79"/>
    </row>
    <row r="60" spans="1:31" x14ac:dyDescent="0.25">
      <c r="A60" s="46" t="s">
        <v>60</v>
      </c>
      <c r="B60" s="120">
        <v>1500</v>
      </c>
      <c r="C60" s="120"/>
      <c r="D60" s="120"/>
      <c r="E60" s="110">
        <v>0</v>
      </c>
      <c r="F60" s="111"/>
      <c r="G60" s="112"/>
      <c r="H60" s="110">
        <v>0</v>
      </c>
      <c r="I60" s="111"/>
      <c r="J60" s="112"/>
      <c r="K60" s="110">
        <v>0</v>
      </c>
      <c r="L60" s="111"/>
      <c r="M60" s="112"/>
      <c r="N60" s="110">
        <v>0</v>
      </c>
      <c r="O60" s="111"/>
      <c r="P60" s="112"/>
      <c r="Q60" s="110">
        <v>0</v>
      </c>
      <c r="R60" s="111"/>
      <c r="S60" s="112"/>
      <c r="T60" s="110">
        <v>0</v>
      </c>
      <c r="U60" s="111"/>
      <c r="V60" s="112"/>
      <c r="W60" s="110">
        <v>0</v>
      </c>
      <c r="X60" s="111"/>
      <c r="Y60" s="112"/>
      <c r="Z60" s="120">
        <f t="shared" si="3"/>
        <v>0</v>
      </c>
      <c r="AA60" s="120"/>
      <c r="AB60" s="120"/>
      <c r="AC60" s="47">
        <f>Z60/Z103</f>
        <v>0</v>
      </c>
      <c r="AD60" s="79">
        <f>1500+Z60</f>
        <v>1500</v>
      </c>
      <c r="AE60" s="79"/>
    </row>
    <row r="61" spans="1:31" x14ac:dyDescent="0.25">
      <c r="A61" s="46" t="s">
        <v>61</v>
      </c>
      <c r="B61" s="120">
        <v>5618.11</v>
      </c>
      <c r="C61" s="120"/>
      <c r="D61" s="120"/>
      <c r="E61" s="110">
        <v>0</v>
      </c>
      <c r="F61" s="111"/>
      <c r="G61" s="112"/>
      <c r="H61" s="110">
        <v>0</v>
      </c>
      <c r="I61" s="111"/>
      <c r="J61" s="112"/>
      <c r="K61" s="110">
        <v>0</v>
      </c>
      <c r="L61" s="111"/>
      <c r="M61" s="112"/>
      <c r="N61" s="110">
        <v>0</v>
      </c>
      <c r="O61" s="111"/>
      <c r="P61" s="112"/>
      <c r="Q61" s="110">
        <v>0</v>
      </c>
      <c r="R61" s="111"/>
      <c r="S61" s="112"/>
      <c r="T61" s="110">
        <v>0</v>
      </c>
      <c r="U61" s="111"/>
      <c r="V61" s="112"/>
      <c r="W61" s="110">
        <v>0</v>
      </c>
      <c r="X61" s="111"/>
      <c r="Y61" s="112"/>
      <c r="Z61" s="120">
        <f t="shared" si="3"/>
        <v>0</v>
      </c>
      <c r="AA61" s="120"/>
      <c r="AB61" s="120"/>
      <c r="AC61" s="47">
        <f>Z61/Z103</f>
        <v>0</v>
      </c>
      <c r="AD61" s="79">
        <f>5618.11+Z61</f>
        <v>5618.11</v>
      </c>
      <c r="AE61" s="79"/>
    </row>
    <row r="62" spans="1:31" x14ac:dyDescent="0.25">
      <c r="A62" s="46" t="s">
        <v>62</v>
      </c>
      <c r="B62" s="120">
        <v>0</v>
      </c>
      <c r="C62" s="120"/>
      <c r="D62" s="120"/>
      <c r="E62" s="110">
        <v>0</v>
      </c>
      <c r="F62" s="111"/>
      <c r="G62" s="112"/>
      <c r="H62" s="110">
        <v>0</v>
      </c>
      <c r="I62" s="111"/>
      <c r="J62" s="112"/>
      <c r="K62" s="110">
        <v>0</v>
      </c>
      <c r="L62" s="111"/>
      <c r="M62" s="112"/>
      <c r="N62" s="110">
        <f>40</f>
        <v>40</v>
      </c>
      <c r="O62" s="111"/>
      <c r="P62" s="112"/>
      <c r="Q62" s="110">
        <v>0</v>
      </c>
      <c r="R62" s="111"/>
      <c r="S62" s="112"/>
      <c r="T62" s="110">
        <v>0</v>
      </c>
      <c r="U62" s="111"/>
      <c r="V62" s="112"/>
      <c r="W62" s="110">
        <v>0</v>
      </c>
      <c r="X62" s="111"/>
      <c r="Y62" s="112"/>
      <c r="Z62" s="120">
        <f t="shared" si="3"/>
        <v>40</v>
      </c>
      <c r="AA62" s="120"/>
      <c r="AB62" s="120"/>
      <c r="AC62" s="47">
        <f>Z62/Z103</f>
        <v>1.0012768532752181E-4</v>
      </c>
      <c r="AD62" s="79">
        <f t="shared" ref="AD62" si="4">0+Z62</f>
        <v>40</v>
      </c>
      <c r="AE62" s="79"/>
    </row>
    <row r="63" spans="1:31" x14ac:dyDescent="0.25">
      <c r="A63" s="46" t="s">
        <v>63</v>
      </c>
      <c r="B63" s="120">
        <v>2170</v>
      </c>
      <c r="C63" s="120"/>
      <c r="D63" s="120"/>
      <c r="E63" s="110">
        <v>0</v>
      </c>
      <c r="F63" s="111"/>
      <c r="G63" s="112"/>
      <c r="H63" s="110">
        <v>0</v>
      </c>
      <c r="I63" s="111"/>
      <c r="J63" s="112"/>
      <c r="K63" s="110">
        <v>0</v>
      </c>
      <c r="L63" s="111"/>
      <c r="M63" s="112"/>
      <c r="N63" s="110">
        <v>0</v>
      </c>
      <c r="O63" s="111"/>
      <c r="P63" s="112"/>
      <c r="Q63" s="110">
        <v>0</v>
      </c>
      <c r="R63" s="111"/>
      <c r="S63" s="112"/>
      <c r="T63" s="110">
        <v>0</v>
      </c>
      <c r="U63" s="111"/>
      <c r="V63" s="112"/>
      <c r="W63" s="110">
        <v>0</v>
      </c>
      <c r="X63" s="111"/>
      <c r="Y63" s="112"/>
      <c r="Z63" s="120">
        <f t="shared" si="3"/>
        <v>0</v>
      </c>
      <c r="AA63" s="120"/>
      <c r="AB63" s="120"/>
      <c r="AC63" s="47">
        <f>Z63/Z103</f>
        <v>0</v>
      </c>
      <c r="AD63" s="79">
        <f>2170+Z63</f>
        <v>2170</v>
      </c>
      <c r="AE63" s="79"/>
    </row>
    <row r="64" spans="1:31" x14ac:dyDescent="0.25">
      <c r="A64" s="44" t="s">
        <v>64</v>
      </c>
      <c r="B64" s="121">
        <f>SUM(B65:D68)</f>
        <v>192764.56999999998</v>
      </c>
      <c r="C64" s="121"/>
      <c r="D64" s="121"/>
      <c r="E64" s="117">
        <f>SUM(E65:G68)</f>
        <v>13428.149999999998</v>
      </c>
      <c r="F64" s="118"/>
      <c r="G64" s="119"/>
      <c r="H64" s="117">
        <f>SUM(H65:J68)</f>
        <v>12011.390000000001</v>
      </c>
      <c r="I64" s="118"/>
      <c r="J64" s="119"/>
      <c r="K64" s="117">
        <f>SUM(K65:M68)</f>
        <v>1386.5400000000002</v>
      </c>
      <c r="L64" s="118"/>
      <c r="M64" s="119"/>
      <c r="N64" s="117">
        <f>SUM(N65:P68)</f>
        <v>13324.27</v>
      </c>
      <c r="O64" s="118"/>
      <c r="P64" s="119"/>
      <c r="Q64" s="117">
        <f>SUM(Q65:S68)</f>
        <v>3314.84</v>
      </c>
      <c r="R64" s="118"/>
      <c r="S64" s="119"/>
      <c r="T64" s="117">
        <f>SUM(T65:V68)</f>
        <v>12706.07</v>
      </c>
      <c r="U64" s="118"/>
      <c r="V64" s="119"/>
      <c r="W64" s="117">
        <f>SUM(W65:Y68)</f>
        <v>959.34999999999991</v>
      </c>
      <c r="X64" s="118"/>
      <c r="Y64" s="119"/>
      <c r="Z64" s="114">
        <f>SUM(Z65:AB68)</f>
        <v>57130.61</v>
      </c>
      <c r="AA64" s="115"/>
      <c r="AB64" s="116"/>
      <c r="AC64" s="45">
        <f>Z64/Z103</f>
        <v>0.14300889351623428</v>
      </c>
      <c r="AD64" s="113">
        <f>SUM(AD65:AE68)</f>
        <v>249895.18</v>
      </c>
      <c r="AE64" s="113"/>
    </row>
    <row r="65" spans="1:31" x14ac:dyDescent="0.25">
      <c r="A65" s="46" t="s">
        <v>65</v>
      </c>
      <c r="B65" s="120">
        <v>120948.56</v>
      </c>
      <c r="C65" s="120"/>
      <c r="D65" s="120"/>
      <c r="E65" s="110">
        <f>9.5+9.5+39.8+9.5+11623.59+3.98+42+1+1+9.5</f>
        <v>11749.369999999999</v>
      </c>
      <c r="F65" s="111"/>
      <c r="G65" s="112"/>
      <c r="H65" s="110">
        <f>89.55+9.5+9.5+45.77+42+11502.2+27.86</f>
        <v>11726.380000000001</v>
      </c>
      <c r="I65" s="111"/>
      <c r="J65" s="112"/>
      <c r="K65" s="110">
        <f>9.5+7.96+9.5+9.5+9.5+11.94+145.27+9.5+250.74+42+1.99+9.5</f>
        <v>516.90000000000009</v>
      </c>
      <c r="L65" s="111"/>
      <c r="M65" s="112"/>
      <c r="N65" s="110">
        <f>11851.69</f>
        <v>11851.69</v>
      </c>
      <c r="O65" s="111"/>
      <c r="P65" s="112"/>
      <c r="Q65" s="110">
        <f>9.95+10+10+15.92+36.5+10+13.93+69.65</f>
        <v>175.95000000000002</v>
      </c>
      <c r="R65" s="111"/>
      <c r="S65" s="112"/>
      <c r="T65" s="110">
        <f>1.99+7.96+10+1.99+10+1.99+1.99+10+10+11589.76+3.98</f>
        <v>11649.66</v>
      </c>
      <c r="U65" s="111"/>
      <c r="V65" s="112"/>
      <c r="W65" s="110">
        <f>35.82+11.94+10+1.99+10+27.86</f>
        <v>97.61</v>
      </c>
      <c r="X65" s="111"/>
      <c r="Y65" s="112"/>
      <c r="Z65" s="120">
        <f>0+E65+H65+K65+N65+Q65+T65+W65</f>
        <v>47767.56</v>
      </c>
      <c r="AA65" s="120"/>
      <c r="AB65" s="120"/>
      <c r="AC65" s="47">
        <f>Z65/Z103</f>
        <v>0.11957138041358793</v>
      </c>
      <c r="AD65" s="79">
        <f>120948.56+Z65</f>
        <v>168716.12</v>
      </c>
      <c r="AE65" s="79"/>
    </row>
    <row r="66" spans="1:31" x14ac:dyDescent="0.25">
      <c r="A66" s="46" t="s">
        <v>66</v>
      </c>
      <c r="B66" s="120">
        <v>47642.8</v>
      </c>
      <c r="C66" s="120"/>
      <c r="D66" s="120"/>
      <c r="E66" s="110">
        <f>77.46+240.13+70.87+219.71+77.46+70.87+240.13+219.71+203.66+203.66</f>
        <v>1623.66</v>
      </c>
      <c r="F66" s="111"/>
      <c r="G66" s="112"/>
      <c r="H66" s="110">
        <f>113.42+94.16</f>
        <v>207.57999999999998</v>
      </c>
      <c r="I66" s="111"/>
      <c r="J66" s="112"/>
      <c r="K66" s="110">
        <f>67.5+77.46+209.25+159.05+252.91</f>
        <v>766.17</v>
      </c>
      <c r="L66" s="111"/>
      <c r="M66" s="112"/>
      <c r="N66" s="110">
        <f>240.13+209.25+77.46+67.5+252.91</f>
        <v>847.25</v>
      </c>
      <c r="O66" s="111"/>
      <c r="P66" s="112"/>
      <c r="Q66" s="110">
        <f>209.25+67.5+240.13+77.46+252.91</f>
        <v>847.25</v>
      </c>
      <c r="R66" s="111"/>
      <c r="S66" s="112"/>
      <c r="T66" s="110">
        <f>67.5+209.25+77.46+240.13+56.2+97.25+210.76</f>
        <v>958.55</v>
      </c>
      <c r="U66" s="111"/>
      <c r="V66" s="112"/>
      <c r="W66" s="110">
        <f>240.13+77.46+209.25+67.5+219.74</f>
        <v>814.07999999999993</v>
      </c>
      <c r="X66" s="111"/>
      <c r="Y66" s="112"/>
      <c r="Z66" s="120">
        <f t="shared" ref="Z66:Z68" si="5">0+E66+H66+K66+N66+Q66+T66+W66</f>
        <v>6064.54</v>
      </c>
      <c r="AA66" s="120"/>
      <c r="AB66" s="120"/>
      <c r="AC66" s="47">
        <f>Z66/Z103</f>
        <v>1.5180708819404228E-2</v>
      </c>
      <c r="AD66" s="79">
        <f>47642.8+Z66</f>
        <v>53707.340000000004</v>
      </c>
      <c r="AE66" s="79"/>
    </row>
    <row r="67" spans="1:31" x14ac:dyDescent="0.25">
      <c r="A67" s="46" t="s">
        <v>67</v>
      </c>
      <c r="B67" s="120">
        <v>24147.84</v>
      </c>
      <c r="C67" s="120"/>
      <c r="D67" s="120"/>
      <c r="E67" s="110">
        <f>48.46</f>
        <v>48.46</v>
      </c>
      <c r="F67" s="111"/>
      <c r="G67" s="112"/>
      <c r="H67" s="110">
        <f>72.49</f>
        <v>72.489999999999995</v>
      </c>
      <c r="I67" s="111"/>
      <c r="J67" s="112"/>
      <c r="K67" s="110">
        <f>103.47</f>
        <v>103.47</v>
      </c>
      <c r="L67" s="111"/>
      <c r="M67" s="112"/>
      <c r="N67" s="110">
        <f>163</f>
        <v>163</v>
      </c>
      <c r="O67" s="111"/>
      <c r="P67" s="112"/>
      <c r="Q67" s="110">
        <f>808.1+1448.28+35.26</f>
        <v>2291.6400000000003</v>
      </c>
      <c r="R67" s="111"/>
      <c r="S67" s="112"/>
      <c r="T67" s="110">
        <f>97.86</f>
        <v>97.86</v>
      </c>
      <c r="U67" s="111"/>
      <c r="V67" s="112"/>
      <c r="W67" s="110">
        <f>46.61</f>
        <v>46.61</v>
      </c>
      <c r="X67" s="111"/>
      <c r="Y67" s="112"/>
      <c r="Z67" s="120">
        <f t="shared" si="5"/>
        <v>2823.5300000000007</v>
      </c>
      <c r="AA67" s="120"/>
      <c r="AB67" s="120"/>
      <c r="AC67" s="47">
        <f>Z67/Z103</f>
        <v>7.0678380838204427E-3</v>
      </c>
      <c r="AD67" s="79">
        <f>24147.84+Z67</f>
        <v>26971.370000000003</v>
      </c>
      <c r="AE67" s="79"/>
    </row>
    <row r="68" spans="1:31" x14ac:dyDescent="0.25">
      <c r="A68" s="46" t="s">
        <v>123</v>
      </c>
      <c r="B68" s="120">
        <v>25.37</v>
      </c>
      <c r="C68" s="120"/>
      <c r="D68" s="120"/>
      <c r="E68" s="110">
        <f>6.66</f>
        <v>6.66</v>
      </c>
      <c r="F68" s="111"/>
      <c r="G68" s="112"/>
      <c r="H68" s="110">
        <f>1.37+1.09+2.48</f>
        <v>4.9399999999999995</v>
      </c>
      <c r="I68" s="111"/>
      <c r="J68" s="112"/>
      <c r="K68" s="110">
        <v>0</v>
      </c>
      <c r="L68" s="111"/>
      <c r="M68" s="112"/>
      <c r="N68" s="110">
        <f>462.33</f>
        <v>462.33</v>
      </c>
      <c r="O68" s="111"/>
      <c r="P68" s="112"/>
      <c r="Q68" s="110">
        <v>0</v>
      </c>
      <c r="R68" s="111"/>
      <c r="S68" s="112"/>
      <c r="T68" s="110">
        <v>0</v>
      </c>
      <c r="U68" s="111"/>
      <c r="V68" s="112"/>
      <c r="W68" s="110">
        <f>1.05</f>
        <v>1.05</v>
      </c>
      <c r="X68" s="111"/>
      <c r="Y68" s="112"/>
      <c r="Z68" s="120">
        <f t="shared" si="5"/>
        <v>474.98</v>
      </c>
      <c r="AA68" s="120"/>
      <c r="AB68" s="120"/>
      <c r="AC68" s="47">
        <f>Z68/Z103</f>
        <v>1.1889661994216579E-3</v>
      </c>
      <c r="AD68" s="79">
        <f>25.37+Z68</f>
        <v>500.35</v>
      </c>
      <c r="AE68" s="79"/>
    </row>
    <row r="69" spans="1:31" x14ac:dyDescent="0.25">
      <c r="A69" s="44" t="s">
        <v>68</v>
      </c>
      <c r="B69" s="121">
        <f>SUM(B70:D83)</f>
        <v>379800.62</v>
      </c>
      <c r="C69" s="121"/>
      <c r="D69" s="121"/>
      <c r="E69" s="117">
        <f>SUM(E70:G83)</f>
        <v>11747.81</v>
      </c>
      <c r="F69" s="118"/>
      <c r="G69" s="119"/>
      <c r="H69" s="117">
        <f>SUM(H70:J83)</f>
        <v>9765.11</v>
      </c>
      <c r="I69" s="118"/>
      <c r="J69" s="119"/>
      <c r="K69" s="117">
        <f>SUM(K70:M83)</f>
        <v>11378.32</v>
      </c>
      <c r="L69" s="118"/>
      <c r="M69" s="119"/>
      <c r="N69" s="117">
        <f>SUM(N70:P83)</f>
        <v>10209.619999999999</v>
      </c>
      <c r="O69" s="118"/>
      <c r="P69" s="119"/>
      <c r="Q69" s="117">
        <f>SUM(Q70:S83)</f>
        <v>10249.41</v>
      </c>
      <c r="R69" s="118"/>
      <c r="S69" s="119"/>
      <c r="T69" s="117">
        <f>SUM(T70:V83)</f>
        <v>10155.92</v>
      </c>
      <c r="U69" s="118"/>
      <c r="V69" s="119"/>
      <c r="W69" s="117">
        <f>SUM(W70:Y83)</f>
        <v>12112.19</v>
      </c>
      <c r="X69" s="118"/>
      <c r="Y69" s="119"/>
      <c r="Z69" s="114">
        <f>SUM(Z70:AB83)</f>
        <v>75618.38</v>
      </c>
      <c r="AA69" s="115"/>
      <c r="AB69" s="116"/>
      <c r="AC69" s="45">
        <f>Z69/Z103</f>
        <v>0.18928733394042424</v>
      </c>
      <c r="AD69" s="113">
        <f>SUM(AD70:AE83)</f>
        <v>455419</v>
      </c>
      <c r="AE69" s="113"/>
    </row>
    <row r="70" spans="1:31" x14ac:dyDescent="0.25">
      <c r="A70" s="49" t="s">
        <v>69</v>
      </c>
      <c r="B70" s="120">
        <v>9608.91</v>
      </c>
      <c r="C70" s="120"/>
      <c r="D70" s="120"/>
      <c r="E70" s="110">
        <v>0</v>
      </c>
      <c r="F70" s="111"/>
      <c r="G70" s="112"/>
      <c r="H70" s="110">
        <v>0</v>
      </c>
      <c r="I70" s="111"/>
      <c r="J70" s="112"/>
      <c r="K70" s="110">
        <v>0</v>
      </c>
      <c r="L70" s="111"/>
      <c r="M70" s="112"/>
      <c r="N70" s="110">
        <v>0</v>
      </c>
      <c r="O70" s="111"/>
      <c r="P70" s="112"/>
      <c r="Q70" s="110">
        <v>0</v>
      </c>
      <c r="R70" s="111"/>
      <c r="S70" s="112"/>
      <c r="T70" s="110">
        <v>0</v>
      </c>
      <c r="U70" s="111"/>
      <c r="V70" s="112"/>
      <c r="W70" s="110">
        <v>0</v>
      </c>
      <c r="X70" s="111"/>
      <c r="Y70" s="112"/>
      <c r="Z70" s="120">
        <f>0+E70+H70+K70+N70+Q70+T70+W70</f>
        <v>0</v>
      </c>
      <c r="AA70" s="120"/>
      <c r="AB70" s="120"/>
      <c r="AC70" s="47">
        <f>Z70/Z103</f>
        <v>0</v>
      </c>
      <c r="AD70" s="79">
        <f>9608.91+Z70</f>
        <v>9608.91</v>
      </c>
      <c r="AE70" s="79"/>
    </row>
    <row r="71" spans="1:31" x14ac:dyDescent="0.25">
      <c r="A71" s="49" t="s">
        <v>70</v>
      </c>
      <c r="B71" s="120">
        <v>9110</v>
      </c>
      <c r="C71" s="120"/>
      <c r="D71" s="120"/>
      <c r="E71" s="110">
        <v>0</v>
      </c>
      <c r="F71" s="111"/>
      <c r="G71" s="112"/>
      <c r="H71" s="110">
        <v>0</v>
      </c>
      <c r="I71" s="111"/>
      <c r="J71" s="112"/>
      <c r="K71" s="110">
        <v>0</v>
      </c>
      <c r="L71" s="111"/>
      <c r="M71" s="112"/>
      <c r="N71" s="110">
        <v>0</v>
      </c>
      <c r="O71" s="111"/>
      <c r="P71" s="112"/>
      <c r="Q71" s="110">
        <v>0</v>
      </c>
      <c r="R71" s="111"/>
      <c r="S71" s="112"/>
      <c r="T71" s="110">
        <v>0</v>
      </c>
      <c r="U71" s="111"/>
      <c r="V71" s="112"/>
      <c r="W71" s="110">
        <v>0</v>
      </c>
      <c r="X71" s="111"/>
      <c r="Y71" s="112"/>
      <c r="Z71" s="120">
        <f t="shared" ref="Z71:Z83" si="6">0+E71+H71+K71+N71+Q71+T71+W71</f>
        <v>0</v>
      </c>
      <c r="AA71" s="120"/>
      <c r="AB71" s="120"/>
      <c r="AC71" s="47">
        <f>Z71/Z103</f>
        <v>0</v>
      </c>
      <c r="AD71" s="79">
        <f>9110+Z71</f>
        <v>9110</v>
      </c>
      <c r="AE71" s="79"/>
    </row>
    <row r="72" spans="1:31" x14ac:dyDescent="0.25">
      <c r="A72" s="49" t="s">
        <v>71</v>
      </c>
      <c r="B72" s="120">
        <v>4130.22</v>
      </c>
      <c r="C72" s="120"/>
      <c r="D72" s="120"/>
      <c r="E72" s="110">
        <f>271.63</f>
        <v>271.63</v>
      </c>
      <c r="F72" s="111"/>
      <c r="G72" s="112"/>
      <c r="H72" s="110">
        <f>271.63+1285.2</f>
        <v>1556.83</v>
      </c>
      <c r="I72" s="111"/>
      <c r="J72" s="112"/>
      <c r="K72" s="110">
        <f>271.63</f>
        <v>271.63</v>
      </c>
      <c r="L72" s="111"/>
      <c r="M72" s="112"/>
      <c r="N72" s="110">
        <v>0</v>
      </c>
      <c r="O72" s="111"/>
      <c r="P72" s="112"/>
      <c r="Q72" s="110">
        <v>0</v>
      </c>
      <c r="R72" s="111"/>
      <c r="S72" s="112"/>
      <c r="T72" s="110">
        <v>0</v>
      </c>
      <c r="U72" s="111"/>
      <c r="V72" s="112"/>
      <c r="W72" s="110">
        <v>0</v>
      </c>
      <c r="X72" s="111"/>
      <c r="Y72" s="112"/>
      <c r="Z72" s="120">
        <f t="shared" si="6"/>
        <v>2100.09</v>
      </c>
      <c r="AA72" s="120"/>
      <c r="AB72" s="120"/>
      <c r="AC72" s="47">
        <f>Z72/Z103</f>
        <v>5.2569287669868821E-3</v>
      </c>
      <c r="AD72" s="79">
        <f>4130.22+Z72</f>
        <v>6230.31</v>
      </c>
      <c r="AE72" s="79"/>
    </row>
    <row r="73" spans="1:31" x14ac:dyDescent="0.25">
      <c r="A73" s="49" t="s">
        <v>72</v>
      </c>
      <c r="B73" s="107">
        <v>0</v>
      </c>
      <c r="C73" s="108"/>
      <c r="D73" s="109"/>
      <c r="E73" s="110">
        <v>0</v>
      </c>
      <c r="F73" s="111"/>
      <c r="G73" s="112"/>
      <c r="H73" s="110">
        <v>99</v>
      </c>
      <c r="I73" s="111"/>
      <c r="J73" s="112"/>
      <c r="K73" s="110">
        <v>0</v>
      </c>
      <c r="L73" s="111"/>
      <c r="M73" s="112"/>
      <c r="N73" s="110">
        <v>0</v>
      </c>
      <c r="O73" s="111"/>
      <c r="P73" s="112"/>
      <c r="Q73" s="110">
        <v>0</v>
      </c>
      <c r="R73" s="111"/>
      <c r="S73" s="112"/>
      <c r="T73" s="110">
        <v>0</v>
      </c>
      <c r="U73" s="111"/>
      <c r="V73" s="112"/>
      <c r="W73" s="110">
        <v>0</v>
      </c>
      <c r="X73" s="111"/>
      <c r="Y73" s="112"/>
      <c r="Z73" s="120">
        <f t="shared" si="6"/>
        <v>99</v>
      </c>
      <c r="AA73" s="120"/>
      <c r="AB73" s="120"/>
      <c r="AC73" s="47">
        <f>Z73/Z103</f>
        <v>2.4781602118561645E-4</v>
      </c>
      <c r="AD73" s="76">
        <f>0+Z73</f>
        <v>99</v>
      </c>
      <c r="AE73" s="78"/>
    </row>
    <row r="74" spans="1:31" x14ac:dyDescent="0.25">
      <c r="A74" s="46" t="s">
        <v>73</v>
      </c>
      <c r="B74" s="120">
        <v>6043.01</v>
      </c>
      <c r="C74" s="120"/>
      <c r="D74" s="120"/>
      <c r="E74" s="110">
        <f>191.6+35.42</f>
        <v>227.01999999999998</v>
      </c>
      <c r="F74" s="111"/>
      <c r="G74" s="112"/>
      <c r="H74" s="110">
        <f>51.3</f>
        <v>51.3</v>
      </c>
      <c r="I74" s="111"/>
      <c r="J74" s="112"/>
      <c r="K74" s="110">
        <v>0</v>
      </c>
      <c r="L74" s="111"/>
      <c r="M74" s="112"/>
      <c r="N74" s="110">
        <v>0</v>
      </c>
      <c r="O74" s="111"/>
      <c r="P74" s="112"/>
      <c r="Q74" s="110">
        <f>43.8</f>
        <v>43.8</v>
      </c>
      <c r="R74" s="111"/>
      <c r="S74" s="112"/>
      <c r="T74" s="110">
        <v>0</v>
      </c>
      <c r="U74" s="111"/>
      <c r="V74" s="112"/>
      <c r="W74" s="110">
        <f>47.8</f>
        <v>47.8</v>
      </c>
      <c r="X74" s="111"/>
      <c r="Y74" s="112"/>
      <c r="Z74" s="120">
        <f t="shared" si="6"/>
        <v>369.92</v>
      </c>
      <c r="AA74" s="120"/>
      <c r="AB74" s="120"/>
      <c r="AC74" s="47">
        <f>Z74/Z103</f>
        <v>9.259808339089217E-4</v>
      </c>
      <c r="AD74" s="79">
        <f>6043.01+Z74</f>
        <v>6412.93</v>
      </c>
      <c r="AE74" s="79"/>
    </row>
    <row r="75" spans="1:31" x14ac:dyDescent="0.25">
      <c r="A75" s="49" t="s">
        <v>74</v>
      </c>
      <c r="B75" s="120">
        <v>53374.36</v>
      </c>
      <c r="C75" s="120"/>
      <c r="D75" s="120"/>
      <c r="E75" s="110">
        <f>1263.86+290.51</f>
        <v>1554.37</v>
      </c>
      <c r="F75" s="111"/>
      <c r="G75" s="112"/>
      <c r="H75" s="110">
        <f>1413.96+54.44</f>
        <v>1468.4</v>
      </c>
      <c r="I75" s="111"/>
      <c r="J75" s="112"/>
      <c r="K75" s="110">
        <f>1413.96+54.26</f>
        <v>1468.22</v>
      </c>
      <c r="L75" s="111"/>
      <c r="M75" s="112"/>
      <c r="N75" s="110">
        <f>1414.91+54.37</f>
        <v>1469.28</v>
      </c>
      <c r="O75" s="111"/>
      <c r="P75" s="112"/>
      <c r="Q75" s="110">
        <f>1416.52+54.46</f>
        <v>1470.98</v>
      </c>
      <c r="R75" s="111"/>
      <c r="S75" s="112"/>
      <c r="T75" s="110">
        <f>1416.52+54.39</f>
        <v>1470.91</v>
      </c>
      <c r="U75" s="111"/>
      <c r="V75" s="112"/>
      <c r="W75" s="110">
        <f>54.38+1416.52</f>
        <v>1470.9</v>
      </c>
      <c r="X75" s="111"/>
      <c r="Y75" s="112"/>
      <c r="Z75" s="120">
        <f t="shared" si="6"/>
        <v>10373.06</v>
      </c>
      <c r="AA75" s="120"/>
      <c r="AB75" s="120"/>
      <c r="AC75" s="47">
        <f>Z75/Z103</f>
        <v>2.5965762189087582E-2</v>
      </c>
      <c r="AD75" s="79">
        <f>53374.36+Z75</f>
        <v>63747.42</v>
      </c>
      <c r="AE75" s="79"/>
    </row>
    <row r="76" spans="1:31" x14ac:dyDescent="0.25">
      <c r="A76" s="49" t="s">
        <v>75</v>
      </c>
      <c r="B76" s="120">
        <v>13234.67</v>
      </c>
      <c r="C76" s="120"/>
      <c r="D76" s="120"/>
      <c r="E76" s="110">
        <f>114.99+49.99+154.41</f>
        <v>319.39</v>
      </c>
      <c r="F76" s="111"/>
      <c r="G76" s="112"/>
      <c r="H76" s="110">
        <f>114.99+49.99+155.27</f>
        <v>320.25</v>
      </c>
      <c r="I76" s="111"/>
      <c r="J76" s="112"/>
      <c r="K76" s="110">
        <f>49.99+114.99+149.34</f>
        <v>314.32</v>
      </c>
      <c r="L76" s="111"/>
      <c r="M76" s="112"/>
      <c r="N76" s="110">
        <f>52.23+114.99+116.06</f>
        <v>283.27999999999997</v>
      </c>
      <c r="O76" s="111"/>
      <c r="P76" s="112"/>
      <c r="Q76" s="110">
        <f>52.23+114.99</f>
        <v>167.22</v>
      </c>
      <c r="R76" s="111"/>
      <c r="S76" s="112"/>
      <c r="T76" s="110">
        <f>59.66+52.23+114.99</f>
        <v>226.88</v>
      </c>
      <c r="U76" s="111"/>
      <c r="V76" s="112"/>
      <c r="W76" s="110">
        <f>58.3+114.99+52.23+97.26</f>
        <v>322.77999999999997</v>
      </c>
      <c r="X76" s="111"/>
      <c r="Y76" s="112"/>
      <c r="Z76" s="120">
        <f>0+E76+H76+K76+N76+Q76+T76+W76</f>
        <v>1954.1200000000001</v>
      </c>
      <c r="AA76" s="120"/>
      <c r="AB76" s="120"/>
      <c r="AC76" s="47">
        <f>Z76/Z103</f>
        <v>4.8915378113054235E-3</v>
      </c>
      <c r="AD76" s="79">
        <f>13234.67+Z76</f>
        <v>15188.79</v>
      </c>
      <c r="AE76" s="79"/>
    </row>
    <row r="77" spans="1:31" x14ac:dyDescent="0.25">
      <c r="A77" s="49" t="s">
        <v>76</v>
      </c>
      <c r="B77" s="120">
        <v>7492.77</v>
      </c>
      <c r="C77" s="120"/>
      <c r="D77" s="120"/>
      <c r="E77" s="110">
        <f>23+11.39+23+23+11.39</f>
        <v>91.78</v>
      </c>
      <c r="F77" s="111"/>
      <c r="G77" s="112"/>
      <c r="H77" s="110">
        <f>10.8+23+23+26.9</f>
        <v>83.699999999999989</v>
      </c>
      <c r="I77" s="111"/>
      <c r="J77" s="112"/>
      <c r="K77" s="110">
        <f>23+23</f>
        <v>46</v>
      </c>
      <c r="L77" s="111"/>
      <c r="M77" s="112"/>
      <c r="N77" s="110">
        <v>0</v>
      </c>
      <c r="O77" s="111"/>
      <c r="P77" s="112"/>
      <c r="Q77" s="110">
        <v>0</v>
      </c>
      <c r="R77" s="111"/>
      <c r="S77" s="112"/>
      <c r="T77" s="110">
        <v>0</v>
      </c>
      <c r="U77" s="111"/>
      <c r="V77" s="112"/>
      <c r="W77" s="110">
        <f>14.99</f>
        <v>14.99</v>
      </c>
      <c r="X77" s="111"/>
      <c r="Y77" s="112"/>
      <c r="Z77" s="120">
        <f t="shared" si="6"/>
        <v>236.47</v>
      </c>
      <c r="AA77" s="120"/>
      <c r="AB77" s="120"/>
      <c r="AC77" s="47">
        <f>Z77/Z103</f>
        <v>5.91929843734977E-4</v>
      </c>
      <c r="AD77" s="79">
        <f>7492.77+Z77</f>
        <v>7729.2400000000007</v>
      </c>
      <c r="AE77" s="79"/>
    </row>
    <row r="78" spans="1:31" x14ac:dyDescent="0.25">
      <c r="A78" s="49" t="s">
        <v>77</v>
      </c>
      <c r="B78" s="120">
        <v>4171.6000000000004</v>
      </c>
      <c r="C78" s="120"/>
      <c r="D78" s="120"/>
      <c r="E78" s="110">
        <v>0</v>
      </c>
      <c r="F78" s="111"/>
      <c r="G78" s="112"/>
      <c r="H78" s="110">
        <v>0</v>
      </c>
      <c r="I78" s="111"/>
      <c r="J78" s="112"/>
      <c r="K78" s="110">
        <v>0</v>
      </c>
      <c r="L78" s="111"/>
      <c r="M78" s="112"/>
      <c r="N78" s="110">
        <v>0</v>
      </c>
      <c r="O78" s="111"/>
      <c r="P78" s="112"/>
      <c r="Q78" s="110">
        <v>0</v>
      </c>
      <c r="R78" s="111"/>
      <c r="S78" s="112"/>
      <c r="T78" s="110">
        <v>0</v>
      </c>
      <c r="U78" s="111"/>
      <c r="V78" s="112"/>
      <c r="W78" s="110">
        <v>0</v>
      </c>
      <c r="X78" s="111"/>
      <c r="Y78" s="112"/>
      <c r="Z78" s="120">
        <f t="shared" si="6"/>
        <v>0</v>
      </c>
      <c r="AA78" s="120"/>
      <c r="AB78" s="120"/>
      <c r="AC78" s="47">
        <f>Z78/Z103</f>
        <v>0</v>
      </c>
      <c r="AD78" s="79">
        <f>4171.6+Z78</f>
        <v>4171.6000000000004</v>
      </c>
      <c r="AE78" s="79"/>
    </row>
    <row r="79" spans="1:31" x14ac:dyDescent="0.25">
      <c r="A79" s="49" t="s">
        <v>78</v>
      </c>
      <c r="B79" s="120">
        <v>3563.88</v>
      </c>
      <c r="C79" s="120"/>
      <c r="D79" s="120"/>
      <c r="E79" s="110">
        <f>4.99+32.58+19.77+100</f>
        <v>157.34</v>
      </c>
      <c r="F79" s="111"/>
      <c r="G79" s="112"/>
      <c r="H79" s="110">
        <f>27.9</f>
        <v>27.9</v>
      </c>
      <c r="I79" s="111"/>
      <c r="J79" s="112"/>
      <c r="K79" s="110">
        <v>0</v>
      </c>
      <c r="L79" s="111"/>
      <c r="M79" s="112"/>
      <c r="N79" s="110">
        <v>0</v>
      </c>
      <c r="O79" s="111"/>
      <c r="P79" s="112"/>
      <c r="Q79" s="110">
        <v>0</v>
      </c>
      <c r="R79" s="111"/>
      <c r="S79" s="112"/>
      <c r="T79" s="110">
        <v>0</v>
      </c>
      <c r="U79" s="111"/>
      <c r="V79" s="112"/>
      <c r="W79" s="110">
        <v>0</v>
      </c>
      <c r="X79" s="111"/>
      <c r="Y79" s="112"/>
      <c r="Z79" s="120">
        <f t="shared" si="6"/>
        <v>185.24</v>
      </c>
      <c r="AA79" s="120"/>
      <c r="AB79" s="120"/>
      <c r="AC79" s="47">
        <f>Z79/Z103</f>
        <v>4.636913107517535E-4</v>
      </c>
      <c r="AD79" s="79">
        <f>3563.88+Z79</f>
        <v>3749.12</v>
      </c>
      <c r="AE79" s="79"/>
    </row>
    <row r="80" spans="1:31" x14ac:dyDescent="0.25">
      <c r="A80" s="49" t="s">
        <v>79</v>
      </c>
      <c r="B80" s="107">
        <v>0</v>
      </c>
      <c r="C80" s="108"/>
      <c r="D80" s="109"/>
      <c r="E80" s="110">
        <f>2359.55</f>
        <v>2359.5500000000002</v>
      </c>
      <c r="F80" s="111"/>
      <c r="G80" s="112"/>
      <c r="H80" s="110">
        <v>0</v>
      </c>
      <c r="I80" s="111"/>
      <c r="J80" s="112"/>
      <c r="K80" s="110">
        <v>0</v>
      </c>
      <c r="L80" s="111"/>
      <c r="M80" s="112"/>
      <c r="N80" s="110">
        <v>0</v>
      </c>
      <c r="O80" s="111"/>
      <c r="P80" s="112"/>
      <c r="Q80" s="110">
        <v>0</v>
      </c>
      <c r="R80" s="111"/>
      <c r="S80" s="112"/>
      <c r="T80" s="110">
        <v>0</v>
      </c>
      <c r="U80" s="111"/>
      <c r="V80" s="112"/>
      <c r="W80" s="110">
        <v>0</v>
      </c>
      <c r="X80" s="111"/>
      <c r="Y80" s="112"/>
      <c r="Z80" s="120">
        <f t="shared" si="6"/>
        <v>2359.5500000000002</v>
      </c>
      <c r="AA80" s="120"/>
      <c r="AB80" s="120"/>
      <c r="AC80" s="47">
        <f>Z80/Z103</f>
        <v>5.9064069978638526E-3</v>
      </c>
      <c r="AD80" s="79">
        <f>0+Z80</f>
        <v>2359.5500000000002</v>
      </c>
      <c r="AE80" s="79"/>
    </row>
    <row r="81" spans="1:31" x14ac:dyDescent="0.25">
      <c r="A81" s="49" t="s">
        <v>80</v>
      </c>
      <c r="B81" s="120">
        <v>2056.7600000000002</v>
      </c>
      <c r="C81" s="120"/>
      <c r="D81" s="120"/>
      <c r="E81" s="110">
        <v>0</v>
      </c>
      <c r="F81" s="111"/>
      <c r="G81" s="112"/>
      <c r="H81" s="110">
        <v>0</v>
      </c>
      <c r="I81" s="111"/>
      <c r="J81" s="112"/>
      <c r="K81" s="110">
        <v>0</v>
      </c>
      <c r="L81" s="111"/>
      <c r="M81" s="112"/>
      <c r="N81" s="110">
        <v>0</v>
      </c>
      <c r="O81" s="111"/>
      <c r="P81" s="112"/>
      <c r="Q81" s="110">
        <v>0</v>
      </c>
      <c r="R81" s="111"/>
      <c r="S81" s="112"/>
      <c r="T81" s="110">
        <v>0</v>
      </c>
      <c r="U81" s="111"/>
      <c r="V81" s="112"/>
      <c r="W81" s="110">
        <v>0</v>
      </c>
      <c r="X81" s="111"/>
      <c r="Y81" s="112"/>
      <c r="Z81" s="120">
        <f t="shared" si="6"/>
        <v>0</v>
      </c>
      <c r="AA81" s="120"/>
      <c r="AB81" s="120"/>
      <c r="AC81" s="47">
        <f>Z81/Z103</f>
        <v>0</v>
      </c>
      <c r="AD81" s="79">
        <f>2056.76+Z81</f>
        <v>2056.7600000000002</v>
      </c>
      <c r="AE81" s="79"/>
    </row>
    <row r="82" spans="1:31" x14ac:dyDescent="0.25">
      <c r="A82" s="49" t="s">
        <v>81</v>
      </c>
      <c r="B82" s="120">
        <v>147202.01999999999</v>
      </c>
      <c r="C82" s="120"/>
      <c r="D82" s="120"/>
      <c r="E82" s="110">
        <f>1386.11+400</f>
        <v>1786.11</v>
      </c>
      <c r="F82" s="111"/>
      <c r="G82" s="112"/>
      <c r="H82" s="110">
        <f>600+1904.25+2113.13</f>
        <v>4617.38</v>
      </c>
      <c r="I82" s="111"/>
      <c r="J82" s="112"/>
      <c r="K82" s="110">
        <f>600+2242.97+2528.19</f>
        <v>5371.16</v>
      </c>
      <c r="L82" s="111"/>
      <c r="M82" s="112"/>
      <c r="N82" s="110">
        <f>600+2571.62+2246.21</f>
        <v>5417.83</v>
      </c>
      <c r="O82" s="111"/>
      <c r="P82" s="112"/>
      <c r="Q82" s="110">
        <f>600+2654.97+2246.21</f>
        <v>5501.18</v>
      </c>
      <c r="R82" s="111"/>
      <c r="S82" s="112"/>
      <c r="T82" s="110">
        <f>600+2759.14+2246.23</f>
        <v>5605.37</v>
      </c>
      <c r="U82" s="111"/>
      <c r="V82" s="112"/>
      <c r="W82" s="110">
        <f>2759.14+2441.19+600+1280.38</f>
        <v>7080.71</v>
      </c>
      <c r="X82" s="111"/>
      <c r="Y82" s="112"/>
      <c r="Z82" s="120">
        <f t="shared" si="6"/>
        <v>35379.74</v>
      </c>
      <c r="AA82" s="120"/>
      <c r="AB82" s="120"/>
      <c r="AC82" s="47">
        <f>Z82/Z103</f>
        <v>8.8562286842238408E-2</v>
      </c>
      <c r="AD82" s="79">
        <f>147202.02+Z82</f>
        <v>182581.75999999998</v>
      </c>
      <c r="AE82" s="79"/>
    </row>
    <row r="83" spans="1:31" x14ac:dyDescent="0.25">
      <c r="A83" s="49" t="s">
        <v>82</v>
      </c>
      <c r="B83" s="120">
        <v>119812.42</v>
      </c>
      <c r="C83" s="120"/>
      <c r="D83" s="120"/>
      <c r="E83" s="110">
        <f>35+47+47+14.1+94+488.27+380.7+503+47.63+66.81+66.81+31.4+45.25+47.63+1493.53+1493.53+78.96</f>
        <v>4980.62</v>
      </c>
      <c r="F83" s="111"/>
      <c r="G83" s="112"/>
      <c r="H83" s="110">
        <f>183.3+201.63+528+606.3+21.12</f>
        <v>1540.35</v>
      </c>
      <c r="I83" s="111"/>
      <c r="J83" s="112"/>
      <c r="K83" s="110">
        <f>184.98+532+449.62+93.29+61.2+371.3+677+1537.6</f>
        <v>3906.99</v>
      </c>
      <c r="L83" s="111"/>
      <c r="M83" s="112"/>
      <c r="N83" s="110">
        <f>449.62+97.24+1754.17+61.2+677</f>
        <v>3039.23</v>
      </c>
      <c r="O83" s="111"/>
      <c r="P83" s="112"/>
      <c r="Q83" s="110">
        <f>449.62+97.24+56.2+1754.17+709</f>
        <v>3066.23</v>
      </c>
      <c r="R83" s="111"/>
      <c r="S83" s="112"/>
      <c r="T83" s="110">
        <f>449.62+1854.14+549</f>
        <v>2852.76</v>
      </c>
      <c r="U83" s="111"/>
      <c r="V83" s="112"/>
      <c r="W83" s="110">
        <f>58.59+113.06+449.62+19.16+1835.58+699</f>
        <v>3175.0099999999998</v>
      </c>
      <c r="X83" s="111"/>
      <c r="Y83" s="112"/>
      <c r="Z83" s="120">
        <f t="shared" si="6"/>
        <v>22561.19</v>
      </c>
      <c r="AA83" s="120"/>
      <c r="AB83" s="120"/>
      <c r="AC83" s="47">
        <f>Z83/Z103</f>
        <v>5.6474993323360791E-2</v>
      </c>
      <c r="AD83" s="79">
        <f>119812.42+Z83</f>
        <v>142373.60999999999</v>
      </c>
      <c r="AE83" s="79"/>
    </row>
    <row r="84" spans="1:31" x14ac:dyDescent="0.25">
      <c r="A84" s="44" t="s">
        <v>83</v>
      </c>
      <c r="B84" s="121">
        <f>SUM(B85:D89)</f>
        <v>21260.080000000002</v>
      </c>
      <c r="C84" s="121"/>
      <c r="D84" s="121"/>
      <c r="E84" s="117">
        <f>SUM(E85:G89)</f>
        <v>189.5</v>
      </c>
      <c r="F84" s="118"/>
      <c r="G84" s="119"/>
      <c r="H84" s="117">
        <f>SUM(H85:J89)</f>
        <v>34</v>
      </c>
      <c r="I84" s="118"/>
      <c r="J84" s="119"/>
      <c r="K84" s="117">
        <f>SUM(K85:M89)</f>
        <v>165.2</v>
      </c>
      <c r="L84" s="118"/>
      <c r="M84" s="119"/>
      <c r="N84" s="117">
        <f>SUM(N85:P89)</f>
        <v>0</v>
      </c>
      <c r="O84" s="118"/>
      <c r="P84" s="119"/>
      <c r="Q84" s="117">
        <f>SUM(Q85:S89)</f>
        <v>174.45999999999998</v>
      </c>
      <c r="R84" s="118"/>
      <c r="S84" s="119"/>
      <c r="T84" s="117">
        <f>SUM(T85:V89)</f>
        <v>237.11</v>
      </c>
      <c r="U84" s="118"/>
      <c r="V84" s="119"/>
      <c r="W84" s="117">
        <f>SUM(W85:Y89)</f>
        <v>116.2</v>
      </c>
      <c r="X84" s="118"/>
      <c r="Y84" s="119"/>
      <c r="Z84" s="114">
        <f>SUM(Z85:AB89)</f>
        <v>916.46999999999991</v>
      </c>
      <c r="AA84" s="115"/>
      <c r="AB84" s="116"/>
      <c r="AC84" s="45">
        <f>Z84/Z103</f>
        <v>2.2941004943028477E-3</v>
      </c>
      <c r="AD84" s="113">
        <f>SUM(AD85:AE89)</f>
        <v>22176.55</v>
      </c>
      <c r="AE84" s="113"/>
    </row>
    <row r="85" spans="1:31" x14ac:dyDescent="0.25">
      <c r="A85" s="46" t="s">
        <v>84</v>
      </c>
      <c r="B85" s="120">
        <v>4832.0600000000004</v>
      </c>
      <c r="C85" s="120"/>
      <c r="D85" s="120"/>
      <c r="E85" s="110">
        <v>0</v>
      </c>
      <c r="F85" s="111"/>
      <c r="G85" s="112"/>
      <c r="H85" s="110">
        <v>0</v>
      </c>
      <c r="I85" s="111"/>
      <c r="J85" s="112"/>
      <c r="K85" s="110">
        <v>0</v>
      </c>
      <c r="L85" s="111"/>
      <c r="M85" s="112"/>
      <c r="N85" s="110">
        <v>0</v>
      </c>
      <c r="O85" s="111"/>
      <c r="P85" s="112"/>
      <c r="Q85" s="110">
        <v>0</v>
      </c>
      <c r="R85" s="111"/>
      <c r="S85" s="112"/>
      <c r="T85" s="110">
        <v>0</v>
      </c>
      <c r="U85" s="111"/>
      <c r="V85" s="112"/>
      <c r="W85" s="110">
        <v>0</v>
      </c>
      <c r="X85" s="111"/>
      <c r="Y85" s="112"/>
      <c r="Z85" s="107">
        <f>0+E85+H85+K85+N85+Q85+T85+W85</f>
        <v>0</v>
      </c>
      <c r="AA85" s="108"/>
      <c r="AB85" s="109"/>
      <c r="AC85" s="47">
        <f>Z85/Z103</f>
        <v>0</v>
      </c>
      <c r="AD85" s="79">
        <f>4832.06+Z85</f>
        <v>4832.0600000000004</v>
      </c>
      <c r="AE85" s="79"/>
    </row>
    <row r="86" spans="1:31" x14ac:dyDescent="0.25">
      <c r="A86" s="46" t="s">
        <v>85</v>
      </c>
      <c r="B86" s="107">
        <v>0</v>
      </c>
      <c r="C86" s="108"/>
      <c r="D86" s="109"/>
      <c r="E86" s="110">
        <v>0</v>
      </c>
      <c r="F86" s="111"/>
      <c r="G86" s="112"/>
      <c r="H86" s="110">
        <v>0</v>
      </c>
      <c r="I86" s="111"/>
      <c r="J86" s="112"/>
      <c r="K86" s="110">
        <v>0</v>
      </c>
      <c r="L86" s="111"/>
      <c r="M86" s="112"/>
      <c r="N86" s="110">
        <v>0</v>
      </c>
      <c r="O86" s="111"/>
      <c r="P86" s="112"/>
      <c r="Q86" s="110">
        <v>0</v>
      </c>
      <c r="R86" s="111"/>
      <c r="S86" s="112"/>
      <c r="T86" s="110">
        <v>0</v>
      </c>
      <c r="U86" s="111"/>
      <c r="V86" s="112"/>
      <c r="W86" s="110">
        <v>0</v>
      </c>
      <c r="X86" s="111"/>
      <c r="Y86" s="112"/>
      <c r="Z86" s="107">
        <f t="shared" ref="Z86:Z89" si="7">0+E86+H86+K86+N86+Q86+T86+W86</f>
        <v>0</v>
      </c>
      <c r="AA86" s="108"/>
      <c r="AB86" s="109"/>
      <c r="AC86" s="47">
        <f>Z86/Z103</f>
        <v>0</v>
      </c>
      <c r="AD86" s="79">
        <f t="shared" ref="AD86" si="8">0+Z86</f>
        <v>0</v>
      </c>
      <c r="AE86" s="79"/>
    </row>
    <row r="87" spans="1:31" x14ac:dyDescent="0.25">
      <c r="A87" s="46" t="s">
        <v>86</v>
      </c>
      <c r="B87" s="107">
        <v>1100</v>
      </c>
      <c r="C87" s="108"/>
      <c r="D87" s="109"/>
      <c r="E87" s="110">
        <f>17</f>
        <v>17</v>
      </c>
      <c r="F87" s="111"/>
      <c r="G87" s="112"/>
      <c r="H87" s="110">
        <f>17+17</f>
        <v>34</v>
      </c>
      <c r="I87" s="111"/>
      <c r="J87" s="112"/>
      <c r="K87" s="110">
        <f>17+27</f>
        <v>44</v>
      </c>
      <c r="L87" s="111"/>
      <c r="M87" s="112"/>
      <c r="N87" s="110">
        <v>0</v>
      </c>
      <c r="O87" s="111"/>
      <c r="P87" s="112"/>
      <c r="Q87" s="110">
        <f>17+15</f>
        <v>32</v>
      </c>
      <c r="R87" s="111"/>
      <c r="S87" s="112"/>
      <c r="T87" s="110">
        <f>17+15+31.04+29.71+17.66</f>
        <v>110.41</v>
      </c>
      <c r="U87" s="111"/>
      <c r="V87" s="112"/>
      <c r="W87" s="110">
        <f>15+17</f>
        <v>32</v>
      </c>
      <c r="X87" s="111"/>
      <c r="Y87" s="112"/>
      <c r="Z87" s="107">
        <f t="shared" si="7"/>
        <v>269.40999999999997</v>
      </c>
      <c r="AA87" s="108"/>
      <c r="AB87" s="109"/>
      <c r="AC87" s="47">
        <f>Z87/Z103</f>
        <v>6.7438499260219118E-4</v>
      </c>
      <c r="AD87" s="79">
        <f>1100+Z87</f>
        <v>1369.4099999999999</v>
      </c>
      <c r="AE87" s="79"/>
    </row>
    <row r="88" spans="1:31" x14ac:dyDescent="0.25">
      <c r="A88" s="46" t="s">
        <v>87</v>
      </c>
      <c r="B88" s="107">
        <v>14793.96</v>
      </c>
      <c r="C88" s="108"/>
      <c r="D88" s="109"/>
      <c r="E88" s="110">
        <f>35.1+107.4</f>
        <v>142.5</v>
      </c>
      <c r="F88" s="111"/>
      <c r="G88" s="112"/>
      <c r="H88" s="110">
        <v>0</v>
      </c>
      <c r="I88" s="111"/>
      <c r="J88" s="112"/>
      <c r="K88" s="110">
        <f>44.3+35.1</f>
        <v>79.400000000000006</v>
      </c>
      <c r="L88" s="111"/>
      <c r="M88" s="112"/>
      <c r="N88" s="110">
        <v>0</v>
      </c>
      <c r="O88" s="111"/>
      <c r="P88" s="112"/>
      <c r="Q88" s="110">
        <f>9.2+35.1+38.2</f>
        <v>82.5</v>
      </c>
      <c r="R88" s="111"/>
      <c r="S88" s="112"/>
      <c r="T88" s="110">
        <f>45.8+80.9</f>
        <v>126.7</v>
      </c>
      <c r="U88" s="111"/>
      <c r="V88" s="112"/>
      <c r="W88" s="110">
        <f>49.1+35.1</f>
        <v>84.2</v>
      </c>
      <c r="X88" s="111"/>
      <c r="Y88" s="112"/>
      <c r="Z88" s="107">
        <f t="shared" si="7"/>
        <v>515.29999999999995</v>
      </c>
      <c r="AA88" s="108"/>
      <c r="AB88" s="109"/>
      <c r="AC88" s="47">
        <f>Z88/Z103</f>
        <v>1.2898949062317997E-3</v>
      </c>
      <c r="AD88" s="79">
        <f>14793.96+Z88</f>
        <v>15309.259999999998</v>
      </c>
      <c r="AE88" s="79"/>
    </row>
    <row r="89" spans="1:31" x14ac:dyDescent="0.25">
      <c r="A89" s="46" t="s">
        <v>88</v>
      </c>
      <c r="B89" s="107">
        <v>534.05999999999995</v>
      </c>
      <c r="C89" s="108"/>
      <c r="D89" s="109"/>
      <c r="E89" s="110">
        <f>16+14</f>
        <v>30</v>
      </c>
      <c r="F89" s="111"/>
      <c r="G89" s="112"/>
      <c r="H89" s="110">
        <v>0</v>
      </c>
      <c r="I89" s="111"/>
      <c r="J89" s="112"/>
      <c r="K89" s="110">
        <f>11.6+15.2+15</f>
        <v>41.8</v>
      </c>
      <c r="L89" s="111"/>
      <c r="M89" s="112"/>
      <c r="N89" s="110">
        <v>0</v>
      </c>
      <c r="O89" s="111"/>
      <c r="P89" s="112"/>
      <c r="Q89" s="110">
        <f>11+15.3+33.66</f>
        <v>59.959999999999994</v>
      </c>
      <c r="R89" s="111"/>
      <c r="S89" s="112"/>
      <c r="T89" s="110">
        <v>0</v>
      </c>
      <c r="U89" s="111"/>
      <c r="V89" s="112"/>
      <c r="W89" s="110">
        <v>0</v>
      </c>
      <c r="X89" s="111"/>
      <c r="Y89" s="112"/>
      <c r="Z89" s="107">
        <f t="shared" si="7"/>
        <v>131.76</v>
      </c>
      <c r="AA89" s="108"/>
      <c r="AB89" s="109"/>
      <c r="AC89" s="47">
        <f>Z89/Z103</f>
        <v>3.2982059546885682E-4</v>
      </c>
      <c r="AD89" s="79">
        <f>534.06+Z89</f>
        <v>665.81999999999994</v>
      </c>
      <c r="AE89" s="79"/>
    </row>
    <row r="90" spans="1:31" x14ac:dyDescent="0.25">
      <c r="A90" s="44" t="s">
        <v>89</v>
      </c>
      <c r="B90" s="114">
        <f>SUM(B91:D94)</f>
        <v>273602.88</v>
      </c>
      <c r="C90" s="115"/>
      <c r="D90" s="116"/>
      <c r="E90" s="117">
        <f>SUM(E91:G94)</f>
        <v>10089.06</v>
      </c>
      <c r="F90" s="118"/>
      <c r="G90" s="119"/>
      <c r="H90" s="117">
        <f t="shared" ref="H90" si="9">SUM(H91:J94)</f>
        <v>200</v>
      </c>
      <c r="I90" s="118"/>
      <c r="J90" s="119"/>
      <c r="K90" s="117">
        <f t="shared" ref="K90" si="10">SUM(K91:M94)</f>
        <v>300</v>
      </c>
      <c r="L90" s="118"/>
      <c r="M90" s="119"/>
      <c r="N90" s="117">
        <f t="shared" ref="N90" si="11">SUM(N91:P94)</f>
        <v>0</v>
      </c>
      <c r="O90" s="118"/>
      <c r="P90" s="119"/>
      <c r="Q90" s="117">
        <f t="shared" ref="Q90" si="12">SUM(Q91:S94)</f>
        <v>5783.0499999999993</v>
      </c>
      <c r="R90" s="118"/>
      <c r="S90" s="119"/>
      <c r="T90" s="117">
        <f t="shared" ref="T90" si="13">SUM(T91:V94)</f>
        <v>0</v>
      </c>
      <c r="U90" s="118"/>
      <c r="V90" s="119"/>
      <c r="W90" s="117">
        <f t="shared" ref="W90" si="14">SUM(W91:Y94)</f>
        <v>0</v>
      </c>
      <c r="X90" s="118"/>
      <c r="Y90" s="119"/>
      <c r="Z90" s="114">
        <f>SUM(Z91:AB94)</f>
        <v>16372.109999999999</v>
      </c>
      <c r="AA90" s="115"/>
      <c r="AB90" s="116"/>
      <c r="AC90" s="45">
        <f>Z90/Z103</f>
        <v>4.0982536955689326E-2</v>
      </c>
      <c r="AD90" s="113">
        <f>SUM(AD91:AE94)</f>
        <v>289974.99</v>
      </c>
      <c r="AE90" s="113"/>
    </row>
    <row r="91" spans="1:31" x14ac:dyDescent="0.25">
      <c r="A91" s="46" t="s">
        <v>90</v>
      </c>
      <c r="B91" s="107">
        <f>93359.5</f>
        <v>93359.5</v>
      </c>
      <c r="C91" s="108"/>
      <c r="D91" s="109"/>
      <c r="E91" s="110">
        <f>9027.03+667.8</f>
        <v>9694.83</v>
      </c>
      <c r="F91" s="111"/>
      <c r="G91" s="112"/>
      <c r="H91" s="110">
        <v>0</v>
      </c>
      <c r="I91" s="111"/>
      <c r="J91" s="112"/>
      <c r="K91" s="110">
        <v>0</v>
      </c>
      <c r="L91" s="111"/>
      <c r="M91" s="112"/>
      <c r="N91" s="110">
        <v>0</v>
      </c>
      <c r="O91" s="111"/>
      <c r="P91" s="112"/>
      <c r="Q91" s="110">
        <f>4279.9+1503.15</f>
        <v>5783.0499999999993</v>
      </c>
      <c r="R91" s="111"/>
      <c r="S91" s="112"/>
      <c r="T91" s="110">
        <v>0</v>
      </c>
      <c r="U91" s="111"/>
      <c r="V91" s="112"/>
      <c r="W91" s="110">
        <v>0</v>
      </c>
      <c r="X91" s="111"/>
      <c r="Y91" s="112"/>
      <c r="Z91" s="107">
        <f>0+E91+H91+K91+N91+Q91+T91+W91</f>
        <v>15477.88</v>
      </c>
      <c r="AA91" s="108"/>
      <c r="AB91" s="109"/>
      <c r="AC91" s="47">
        <f>Z91/Z103</f>
        <v>3.8744107454428578E-2</v>
      </c>
      <c r="AD91" s="79">
        <f>93359.5+Z91</f>
        <v>108837.38</v>
      </c>
      <c r="AE91" s="79"/>
    </row>
    <row r="92" spans="1:31" x14ac:dyDescent="0.25">
      <c r="A92" s="46" t="s">
        <v>91</v>
      </c>
      <c r="B92" s="107">
        <v>1000</v>
      </c>
      <c r="C92" s="108"/>
      <c r="D92" s="109"/>
      <c r="E92" s="110">
        <v>0</v>
      </c>
      <c r="F92" s="111"/>
      <c r="G92" s="112"/>
      <c r="H92" s="110">
        <f>200</f>
        <v>200</v>
      </c>
      <c r="I92" s="111"/>
      <c r="J92" s="112"/>
      <c r="K92" s="110">
        <v>0</v>
      </c>
      <c r="L92" s="111"/>
      <c r="M92" s="112"/>
      <c r="N92" s="110">
        <v>0</v>
      </c>
      <c r="O92" s="111"/>
      <c r="P92" s="112"/>
      <c r="Q92" s="110">
        <v>0</v>
      </c>
      <c r="R92" s="111"/>
      <c r="S92" s="112"/>
      <c r="T92" s="110">
        <v>0</v>
      </c>
      <c r="U92" s="111"/>
      <c r="V92" s="112"/>
      <c r="W92" s="110">
        <v>0</v>
      </c>
      <c r="X92" s="111"/>
      <c r="Y92" s="112"/>
      <c r="Z92" s="107">
        <f t="shared" ref="Z92:Z94" si="15">0+E92+H92+K92+N92+Q92+T92+W92</f>
        <v>200</v>
      </c>
      <c r="AA92" s="108"/>
      <c r="AB92" s="109"/>
      <c r="AC92" s="47">
        <f>Z92/Z103</f>
        <v>5.00638426637609E-4</v>
      </c>
      <c r="AD92" s="79">
        <f>1000+Z92</f>
        <v>1200</v>
      </c>
      <c r="AE92" s="79"/>
    </row>
    <row r="93" spans="1:31" x14ac:dyDescent="0.25">
      <c r="A93" s="46" t="s">
        <v>92</v>
      </c>
      <c r="B93" s="107">
        <v>179183.38</v>
      </c>
      <c r="C93" s="108"/>
      <c r="D93" s="109"/>
      <c r="E93" s="110">
        <f>20+20+20+20+20+20+100+174.23</f>
        <v>394.23</v>
      </c>
      <c r="F93" s="111"/>
      <c r="G93" s="112"/>
      <c r="H93" s="110">
        <v>0</v>
      </c>
      <c r="I93" s="111"/>
      <c r="J93" s="112"/>
      <c r="K93" s="110">
        <f>120+180</f>
        <v>300</v>
      </c>
      <c r="L93" s="111"/>
      <c r="M93" s="112"/>
      <c r="N93" s="110">
        <v>0</v>
      </c>
      <c r="O93" s="111"/>
      <c r="P93" s="112"/>
      <c r="Q93" s="110">
        <v>0</v>
      </c>
      <c r="R93" s="111"/>
      <c r="S93" s="112"/>
      <c r="T93" s="110">
        <v>0</v>
      </c>
      <c r="U93" s="111"/>
      <c r="V93" s="112"/>
      <c r="W93" s="110">
        <v>0</v>
      </c>
      <c r="X93" s="111"/>
      <c r="Y93" s="112"/>
      <c r="Z93" s="107">
        <f t="shared" si="15"/>
        <v>694.23</v>
      </c>
      <c r="AA93" s="108"/>
      <c r="AB93" s="109"/>
      <c r="AC93" s="47">
        <f>Z93/Z103</f>
        <v>1.7377910746231367E-3</v>
      </c>
      <c r="AD93" s="79">
        <f>179183.38+Z93</f>
        <v>179877.61000000002</v>
      </c>
      <c r="AE93" s="79"/>
    </row>
    <row r="94" spans="1:31" x14ac:dyDescent="0.25">
      <c r="A94" s="46" t="s">
        <v>93</v>
      </c>
      <c r="B94" s="107">
        <v>60</v>
      </c>
      <c r="C94" s="108"/>
      <c r="D94" s="109"/>
      <c r="E94" s="110">
        <v>0</v>
      </c>
      <c r="F94" s="111"/>
      <c r="G94" s="112"/>
      <c r="H94" s="110">
        <v>0</v>
      </c>
      <c r="I94" s="111"/>
      <c r="J94" s="112"/>
      <c r="K94" s="110">
        <v>0</v>
      </c>
      <c r="L94" s="111"/>
      <c r="M94" s="112"/>
      <c r="N94" s="110">
        <v>0</v>
      </c>
      <c r="O94" s="111"/>
      <c r="P94" s="112"/>
      <c r="Q94" s="110">
        <v>0</v>
      </c>
      <c r="R94" s="111"/>
      <c r="S94" s="112"/>
      <c r="T94" s="110">
        <v>0</v>
      </c>
      <c r="U94" s="111"/>
      <c r="V94" s="112"/>
      <c r="W94" s="110">
        <v>0</v>
      </c>
      <c r="X94" s="111"/>
      <c r="Y94" s="112"/>
      <c r="Z94" s="107">
        <f t="shared" si="15"/>
        <v>0</v>
      </c>
      <c r="AA94" s="108"/>
      <c r="AB94" s="109"/>
      <c r="AC94" s="47">
        <f>Z94/Z103</f>
        <v>0</v>
      </c>
      <c r="AD94" s="79">
        <f>60+Z94</f>
        <v>60</v>
      </c>
      <c r="AE94" s="79"/>
    </row>
    <row r="95" spans="1:31" x14ac:dyDescent="0.25">
      <c r="A95" s="44" t="s">
        <v>94</v>
      </c>
      <c r="B95" s="114">
        <f>SUM(B96:D102)</f>
        <v>178248.91999999998</v>
      </c>
      <c r="C95" s="115"/>
      <c r="D95" s="116"/>
      <c r="E95" s="117">
        <f>SUM(E96:G102)</f>
        <v>4770.4400000000005</v>
      </c>
      <c r="F95" s="118"/>
      <c r="G95" s="119"/>
      <c r="H95" s="117">
        <f t="shared" ref="H95" si="16">SUM(H96:J102)</f>
        <v>6178.1900000000005</v>
      </c>
      <c r="I95" s="118"/>
      <c r="J95" s="119"/>
      <c r="K95" s="117">
        <f t="shared" ref="K95" si="17">SUM(K96:M102)</f>
        <v>8814.16</v>
      </c>
      <c r="L95" s="118"/>
      <c r="M95" s="119"/>
      <c r="N95" s="117">
        <f t="shared" ref="N95" si="18">SUM(N96:P102)</f>
        <v>0</v>
      </c>
      <c r="O95" s="118"/>
      <c r="P95" s="119"/>
      <c r="Q95" s="117">
        <f t="shared" ref="Q95" si="19">SUM(Q96:S102)</f>
        <v>0</v>
      </c>
      <c r="R95" s="118"/>
      <c r="S95" s="119"/>
      <c r="T95" s="117">
        <f t="shared" ref="T95" si="20">SUM(T96:V102)</f>
        <v>0</v>
      </c>
      <c r="U95" s="118"/>
      <c r="V95" s="119"/>
      <c r="W95" s="117">
        <f t="shared" ref="W95" si="21">SUM(W96:Y102)</f>
        <v>0</v>
      </c>
      <c r="X95" s="118"/>
      <c r="Y95" s="119"/>
      <c r="Z95" s="114">
        <f>SUM(Z96:AB102)</f>
        <v>19762.79</v>
      </c>
      <c r="AA95" s="115"/>
      <c r="AB95" s="116"/>
      <c r="AC95" s="45">
        <f>Z95/Z103</f>
        <v>4.9470060457847374E-2</v>
      </c>
      <c r="AD95" s="113">
        <f>SUM(AD96:AE102)</f>
        <v>198011.71000000002</v>
      </c>
      <c r="AE95" s="113"/>
    </row>
    <row r="96" spans="1:31" x14ac:dyDescent="0.25">
      <c r="A96" s="49" t="s">
        <v>95</v>
      </c>
      <c r="B96" s="107">
        <v>74980.759999999995</v>
      </c>
      <c r="C96" s="108"/>
      <c r="D96" s="109"/>
      <c r="E96" s="110">
        <v>2616.9499999999998</v>
      </c>
      <c r="F96" s="111"/>
      <c r="G96" s="112"/>
      <c r="H96" s="110">
        <f>1710.68+355.51+1760.11</f>
        <v>3826.3</v>
      </c>
      <c r="I96" s="111"/>
      <c r="J96" s="112"/>
      <c r="K96" s="110">
        <f>1556.68+1195.41</f>
        <v>2752.09</v>
      </c>
      <c r="L96" s="111"/>
      <c r="M96" s="112"/>
      <c r="N96" s="110">
        <v>0</v>
      </c>
      <c r="O96" s="111"/>
      <c r="P96" s="112"/>
      <c r="Q96" s="110">
        <v>0</v>
      </c>
      <c r="R96" s="111"/>
      <c r="S96" s="112"/>
      <c r="T96" s="110">
        <v>0</v>
      </c>
      <c r="U96" s="111"/>
      <c r="V96" s="112"/>
      <c r="W96" s="110">
        <v>0</v>
      </c>
      <c r="X96" s="111"/>
      <c r="Y96" s="112"/>
      <c r="Z96" s="107">
        <f>0+E96+H96+K96+N96+Q96+T96+W96</f>
        <v>9195.34</v>
      </c>
      <c r="AA96" s="108"/>
      <c r="AB96" s="109"/>
      <c r="AC96" s="47">
        <f>Z96/Z103</f>
        <v>2.301770274998936E-2</v>
      </c>
      <c r="AD96" s="79">
        <f>74980.76+Z96</f>
        <v>84176.099999999991</v>
      </c>
      <c r="AE96" s="79"/>
    </row>
    <row r="97" spans="1:31" x14ac:dyDescent="0.25">
      <c r="A97" s="49" t="s">
        <v>96</v>
      </c>
      <c r="B97" s="107">
        <v>19327.43</v>
      </c>
      <c r="C97" s="108"/>
      <c r="D97" s="109"/>
      <c r="E97" s="110">
        <v>0</v>
      </c>
      <c r="F97" s="111"/>
      <c r="G97" s="112"/>
      <c r="H97" s="110">
        <f>1034</f>
        <v>1034</v>
      </c>
      <c r="I97" s="111"/>
      <c r="J97" s="112"/>
      <c r="K97" s="110">
        <v>0</v>
      </c>
      <c r="L97" s="111"/>
      <c r="M97" s="112"/>
      <c r="N97" s="110">
        <v>0</v>
      </c>
      <c r="O97" s="111"/>
      <c r="P97" s="112"/>
      <c r="Q97" s="110">
        <v>0</v>
      </c>
      <c r="R97" s="111"/>
      <c r="S97" s="112"/>
      <c r="T97" s="110">
        <v>0</v>
      </c>
      <c r="U97" s="111"/>
      <c r="V97" s="112"/>
      <c r="W97" s="110">
        <v>0</v>
      </c>
      <c r="X97" s="111"/>
      <c r="Y97" s="112"/>
      <c r="Z97" s="107">
        <f t="shared" ref="Z97:Z102" si="22">0+E97+H97+K97+N97+Q97+T97+W97</f>
        <v>1034</v>
      </c>
      <c r="AA97" s="108"/>
      <c r="AB97" s="109"/>
      <c r="AC97" s="47">
        <f>Z97/Z103</f>
        <v>2.588300665716439E-3</v>
      </c>
      <c r="AD97" s="79">
        <f>19327.43+Z97</f>
        <v>20361.43</v>
      </c>
      <c r="AE97" s="79"/>
    </row>
    <row r="98" spans="1:31" x14ac:dyDescent="0.25">
      <c r="A98" s="49" t="s">
        <v>97</v>
      </c>
      <c r="B98" s="107">
        <v>24884.52</v>
      </c>
      <c r="C98" s="108"/>
      <c r="D98" s="109"/>
      <c r="E98" s="110">
        <f>751.76</f>
        <v>751.76</v>
      </c>
      <c r="F98" s="111"/>
      <c r="G98" s="112"/>
      <c r="H98" s="110">
        <f>1317.89</f>
        <v>1317.89</v>
      </c>
      <c r="I98" s="111"/>
      <c r="J98" s="112"/>
      <c r="K98" s="110">
        <f>858</f>
        <v>858</v>
      </c>
      <c r="L98" s="111"/>
      <c r="M98" s="112"/>
      <c r="N98" s="110">
        <v>0</v>
      </c>
      <c r="O98" s="111"/>
      <c r="P98" s="112"/>
      <c r="Q98" s="110">
        <v>0</v>
      </c>
      <c r="R98" s="111"/>
      <c r="S98" s="112"/>
      <c r="T98" s="110">
        <v>0</v>
      </c>
      <c r="U98" s="111"/>
      <c r="V98" s="112"/>
      <c r="W98" s="110">
        <v>0</v>
      </c>
      <c r="X98" s="111"/>
      <c r="Y98" s="112"/>
      <c r="Z98" s="107">
        <f t="shared" si="22"/>
        <v>2927.65</v>
      </c>
      <c r="AA98" s="108"/>
      <c r="AB98" s="109"/>
      <c r="AC98" s="47">
        <f>Z98/Z103</f>
        <v>7.3284704487279811E-3</v>
      </c>
      <c r="AD98" s="79">
        <f>24884.52+Z98</f>
        <v>27812.170000000002</v>
      </c>
      <c r="AE98" s="79"/>
    </row>
    <row r="99" spans="1:31" x14ac:dyDescent="0.25">
      <c r="A99" s="49" t="s">
        <v>98</v>
      </c>
      <c r="B99" s="107">
        <v>6131.04</v>
      </c>
      <c r="C99" s="108"/>
      <c r="D99" s="109"/>
      <c r="E99" s="110">
        <v>0</v>
      </c>
      <c r="F99" s="111"/>
      <c r="G99" s="112"/>
      <c r="H99" s="110">
        <v>0</v>
      </c>
      <c r="I99" s="111"/>
      <c r="J99" s="112"/>
      <c r="K99" s="110">
        <f>1527.85</f>
        <v>1527.85</v>
      </c>
      <c r="L99" s="111"/>
      <c r="M99" s="112"/>
      <c r="N99" s="110">
        <v>0</v>
      </c>
      <c r="O99" s="111"/>
      <c r="P99" s="112"/>
      <c r="Q99" s="110">
        <v>0</v>
      </c>
      <c r="R99" s="111"/>
      <c r="S99" s="112"/>
      <c r="T99" s="110">
        <v>0</v>
      </c>
      <c r="U99" s="111"/>
      <c r="V99" s="112"/>
      <c r="W99" s="110">
        <v>0</v>
      </c>
      <c r="X99" s="111"/>
      <c r="Y99" s="112"/>
      <c r="Z99" s="107">
        <f t="shared" si="22"/>
        <v>1527.85</v>
      </c>
      <c r="AA99" s="108"/>
      <c r="AB99" s="109"/>
      <c r="AC99" s="50">
        <f>Z99/Z103</f>
        <v>3.8245021006913546E-3</v>
      </c>
      <c r="AD99" s="79">
        <f>6131.04+Z99</f>
        <v>7658.8899999999994</v>
      </c>
      <c r="AE99" s="79"/>
    </row>
    <row r="100" spans="1:31" x14ac:dyDescent="0.25">
      <c r="A100" s="49" t="s">
        <v>99</v>
      </c>
      <c r="B100" s="107">
        <v>8096.72</v>
      </c>
      <c r="C100" s="108"/>
      <c r="D100" s="109"/>
      <c r="E100" s="110">
        <v>0</v>
      </c>
      <c r="F100" s="111"/>
      <c r="G100" s="112"/>
      <c r="H100" s="110">
        <v>0</v>
      </c>
      <c r="I100" s="111"/>
      <c r="J100" s="112"/>
      <c r="K100" s="110">
        <f>774.85</f>
        <v>774.85</v>
      </c>
      <c r="L100" s="111"/>
      <c r="M100" s="112"/>
      <c r="N100" s="110">
        <v>0</v>
      </c>
      <c r="O100" s="111"/>
      <c r="P100" s="112"/>
      <c r="Q100" s="110">
        <v>0</v>
      </c>
      <c r="R100" s="111"/>
      <c r="S100" s="112"/>
      <c r="T100" s="110">
        <v>0</v>
      </c>
      <c r="U100" s="111"/>
      <c r="V100" s="112"/>
      <c r="W100" s="110">
        <v>0</v>
      </c>
      <c r="X100" s="111"/>
      <c r="Y100" s="112"/>
      <c r="Z100" s="107">
        <f t="shared" si="22"/>
        <v>774.85</v>
      </c>
      <c r="AA100" s="108"/>
      <c r="AB100" s="109"/>
      <c r="AC100" s="47">
        <f>Z100/Z103</f>
        <v>1.939598424400757E-3</v>
      </c>
      <c r="AD100" s="79">
        <f>8096.72+Z100</f>
        <v>8871.57</v>
      </c>
      <c r="AE100" s="79"/>
    </row>
    <row r="101" spans="1:31" x14ac:dyDescent="0.25">
      <c r="A101" s="49" t="s">
        <v>100</v>
      </c>
      <c r="B101" s="107">
        <v>14414.08</v>
      </c>
      <c r="C101" s="108"/>
      <c r="D101" s="109"/>
      <c r="E101" s="110">
        <v>0</v>
      </c>
      <c r="F101" s="111"/>
      <c r="G101" s="112"/>
      <c r="H101" s="110">
        <v>0</v>
      </c>
      <c r="I101" s="111"/>
      <c r="J101" s="112"/>
      <c r="K101" s="110">
        <v>0</v>
      </c>
      <c r="L101" s="111"/>
      <c r="M101" s="112"/>
      <c r="N101" s="110">
        <v>0</v>
      </c>
      <c r="O101" s="111"/>
      <c r="P101" s="112"/>
      <c r="Q101" s="110">
        <v>0</v>
      </c>
      <c r="R101" s="111"/>
      <c r="S101" s="112"/>
      <c r="T101" s="110">
        <v>0</v>
      </c>
      <c r="U101" s="111"/>
      <c r="V101" s="112"/>
      <c r="W101" s="110">
        <v>0</v>
      </c>
      <c r="X101" s="111"/>
      <c r="Y101" s="112"/>
      <c r="Z101" s="107">
        <f t="shared" si="22"/>
        <v>0</v>
      </c>
      <c r="AA101" s="108"/>
      <c r="AB101" s="109"/>
      <c r="AC101" s="47">
        <f>Z101/Z103</f>
        <v>0</v>
      </c>
      <c r="AD101" s="79">
        <f>14414.08+Z101</f>
        <v>14414.08</v>
      </c>
      <c r="AE101" s="79"/>
    </row>
    <row r="102" spans="1:31" x14ac:dyDescent="0.25">
      <c r="A102" s="49" t="s">
        <v>101</v>
      </c>
      <c r="B102" s="107">
        <v>30414.37</v>
      </c>
      <c r="C102" s="108"/>
      <c r="D102" s="109"/>
      <c r="E102" s="110">
        <f>1045.9+241.2+12.73+21.9+30+50</f>
        <v>1401.7300000000002</v>
      </c>
      <c r="F102" s="111"/>
      <c r="G102" s="112"/>
      <c r="H102" s="110">
        <v>0</v>
      </c>
      <c r="I102" s="111"/>
      <c r="J102" s="112"/>
      <c r="K102" s="110">
        <f>2901.37</f>
        <v>2901.37</v>
      </c>
      <c r="L102" s="111"/>
      <c r="M102" s="112"/>
      <c r="N102" s="110">
        <v>0</v>
      </c>
      <c r="O102" s="111"/>
      <c r="P102" s="112"/>
      <c r="Q102" s="110">
        <v>0</v>
      </c>
      <c r="R102" s="111"/>
      <c r="S102" s="112"/>
      <c r="T102" s="110">
        <v>0</v>
      </c>
      <c r="U102" s="111"/>
      <c r="V102" s="112"/>
      <c r="W102" s="110">
        <v>0</v>
      </c>
      <c r="X102" s="111"/>
      <c r="Y102" s="112"/>
      <c r="Z102" s="107">
        <f t="shared" si="22"/>
        <v>4303.1000000000004</v>
      </c>
      <c r="AA102" s="108"/>
      <c r="AB102" s="109"/>
      <c r="AC102" s="47">
        <f>Z102/Z103</f>
        <v>1.0771486068321479E-2</v>
      </c>
      <c r="AD102" s="79">
        <f>30414.37+Z102</f>
        <v>34717.47</v>
      </c>
      <c r="AE102" s="79"/>
    </row>
    <row r="103" spans="1:31" x14ac:dyDescent="0.25">
      <c r="A103" s="51" t="s">
        <v>102</v>
      </c>
      <c r="B103" s="98">
        <v>665976.37</v>
      </c>
      <c r="C103" s="99"/>
      <c r="D103" s="100"/>
      <c r="E103" s="98">
        <f>E33+E42+E46+E50+E64+E69+E84+E90+E95</f>
        <v>60661.509999999995</v>
      </c>
      <c r="F103" s="99"/>
      <c r="G103" s="100"/>
      <c r="H103" s="98">
        <f>H33+H42+H46+H50+H64+H69+H84+H90+H95</f>
        <v>41855.070000000007</v>
      </c>
      <c r="I103" s="99"/>
      <c r="J103" s="100"/>
      <c r="K103" s="98">
        <f>K33+K42+K46+K50+K64+K69+K84+K90+K95</f>
        <v>48116</v>
      </c>
      <c r="L103" s="99"/>
      <c r="M103" s="100"/>
      <c r="N103" s="98">
        <f>N33+N42+N46+N50+N64+N69+N84+N90+N95</f>
        <v>72473.42</v>
      </c>
      <c r="O103" s="99"/>
      <c r="P103" s="100"/>
      <c r="Q103" s="98">
        <f>Q33+Q42+Q46+Q50+Q64+Q69+Q84+Q90+Q95</f>
        <v>60471.19</v>
      </c>
      <c r="R103" s="99"/>
      <c r="S103" s="100"/>
      <c r="T103" s="98">
        <f>T33+T42+T46+T50+T64+T69+T84+T90+T95</f>
        <v>82771.33</v>
      </c>
      <c r="U103" s="99"/>
      <c r="V103" s="100"/>
      <c r="W103" s="98">
        <f>W33+W42+W46+W50+W64+W69+W84+W90+W95</f>
        <v>33141.39</v>
      </c>
      <c r="X103" s="99"/>
      <c r="Y103" s="100"/>
      <c r="Z103" s="98">
        <f>SUM(Z33+Z42+Z46+Z50+Z64+Z69+Z84+Z90+Z95)</f>
        <v>399489.90999999992</v>
      </c>
      <c r="AA103" s="99"/>
      <c r="AB103" s="100"/>
      <c r="AC103" s="52">
        <f>Z103/Z103</f>
        <v>1</v>
      </c>
      <c r="AD103" s="101">
        <f>SUM(AD33+AD42+AD46+AD50+AD64+AD69+AD84+AD90+AD95)</f>
        <v>2435691.0499999998</v>
      </c>
      <c r="AE103" s="101"/>
    </row>
    <row r="104" spans="1:31" x14ac:dyDescent="0.25">
      <c r="A104" s="53" t="s">
        <v>103</v>
      </c>
      <c r="B104" s="102">
        <f>D27-B105</f>
        <v>2150247.92</v>
      </c>
      <c r="C104" s="103"/>
      <c r="D104" s="104"/>
      <c r="E104" s="105">
        <f>G27-E103</f>
        <v>63337.280000000013</v>
      </c>
      <c r="F104" s="105"/>
      <c r="G104" s="105"/>
      <c r="H104" s="105">
        <f>J27-H103</f>
        <v>79118.739999999991</v>
      </c>
      <c r="I104" s="105"/>
      <c r="J104" s="105"/>
      <c r="K104" s="105">
        <f>M27-K103</f>
        <v>-39763.53</v>
      </c>
      <c r="L104" s="105"/>
      <c r="M104" s="105"/>
      <c r="N104" s="105">
        <f>P27-N103</f>
        <v>49000.380000000005</v>
      </c>
      <c r="O104" s="105"/>
      <c r="P104" s="105"/>
      <c r="Q104" s="105">
        <f>S27-Q103</f>
        <v>-53036.22</v>
      </c>
      <c r="R104" s="105"/>
      <c r="S104" s="105"/>
      <c r="T104" s="105">
        <f>V27-T103</f>
        <v>38238.990000000005</v>
      </c>
      <c r="U104" s="105"/>
      <c r="V104" s="105"/>
      <c r="W104" s="105">
        <f>Y27-W103</f>
        <v>-26645.759999999998</v>
      </c>
      <c r="X104" s="105"/>
      <c r="Y104" s="105"/>
      <c r="Z104" s="106">
        <f>AB27-Z103</f>
        <v>110249.88000000012</v>
      </c>
      <c r="AA104" s="106"/>
      <c r="AB104" s="106"/>
      <c r="AC104" s="95">
        <f>AE27-AD103</f>
        <v>2260497.7999999998</v>
      </c>
      <c r="AD104" s="95"/>
      <c r="AE104" s="95"/>
    </row>
    <row r="105" spans="1:31" x14ac:dyDescent="0.25">
      <c r="A105" s="54" t="s">
        <v>104</v>
      </c>
      <c r="B105" s="96">
        <v>2036201.14</v>
      </c>
      <c r="C105" s="96"/>
      <c r="D105" s="96"/>
      <c r="E105" s="55"/>
      <c r="F105" s="55"/>
      <c r="G105" s="55"/>
      <c r="H105" s="56"/>
      <c r="I105" s="56"/>
      <c r="J105" s="55"/>
      <c r="K105" s="56"/>
      <c r="L105" s="56"/>
      <c r="M105" s="55"/>
      <c r="N105" s="56"/>
      <c r="O105" s="56"/>
      <c r="P105" s="55"/>
      <c r="Q105" s="56"/>
      <c r="R105" s="56"/>
      <c r="S105" s="55"/>
      <c r="T105" s="56"/>
      <c r="U105" s="56"/>
      <c r="V105" s="55"/>
      <c r="W105" s="56"/>
      <c r="X105" s="56"/>
      <c r="Y105" s="55"/>
      <c r="Z105" s="56"/>
      <c r="AA105" s="56"/>
      <c r="AB105" s="56"/>
      <c r="AC105" s="97"/>
      <c r="AD105" s="97"/>
      <c r="AE105" s="97"/>
    </row>
    <row r="106" spans="1:31" x14ac:dyDescent="0.25">
      <c r="A106" s="85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</row>
    <row r="107" spans="1:31" x14ac:dyDescent="0.25">
      <c r="A107" s="87"/>
      <c r="B107" s="87"/>
      <c r="C107" s="87"/>
      <c r="D107" s="87"/>
      <c r="E107" s="87"/>
      <c r="F107" s="87"/>
      <c r="G107" s="87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</row>
    <row r="108" spans="1:31" x14ac:dyDescent="0.25">
      <c r="A108" s="57" t="s">
        <v>105</v>
      </c>
      <c r="B108" s="88" t="s">
        <v>106</v>
      </c>
      <c r="C108" s="89"/>
      <c r="D108" s="89"/>
      <c r="E108" s="90" t="s">
        <v>4</v>
      </c>
      <c r="F108" s="91"/>
      <c r="G108" s="92"/>
      <c r="H108" s="93" t="s">
        <v>5</v>
      </c>
      <c r="I108" s="93"/>
      <c r="J108" s="93"/>
      <c r="K108" s="93" t="s">
        <v>6</v>
      </c>
      <c r="L108" s="93"/>
      <c r="M108" s="93"/>
      <c r="N108" s="93" t="s">
        <v>7</v>
      </c>
      <c r="O108" s="93"/>
      <c r="P108" s="93"/>
      <c r="Q108" s="93" t="s">
        <v>8</v>
      </c>
      <c r="R108" s="93"/>
      <c r="S108" s="93"/>
      <c r="T108" s="94" t="s">
        <v>9</v>
      </c>
      <c r="U108" s="94"/>
      <c r="V108" s="94"/>
      <c r="W108" s="94" t="s">
        <v>10</v>
      </c>
      <c r="X108" s="94"/>
      <c r="Y108" s="94"/>
      <c r="Z108" s="58"/>
      <c r="AA108" s="58"/>
      <c r="AB108" s="58"/>
      <c r="AC108" s="58"/>
      <c r="AD108" s="58"/>
      <c r="AE108" s="58"/>
    </row>
    <row r="109" spans="1:31" x14ac:dyDescent="0.25">
      <c r="A109" s="59" t="s">
        <v>107</v>
      </c>
      <c r="B109" s="73">
        <f>344608.99</f>
        <v>344608.99</v>
      </c>
      <c r="C109" s="74"/>
      <c r="D109" s="75"/>
      <c r="E109" s="80">
        <f>B109+103000+1258.22-33476.8-48.46</f>
        <v>415341.94999999995</v>
      </c>
      <c r="F109" s="81"/>
      <c r="G109" s="82"/>
      <c r="H109" s="83">
        <f>E109-33646.97+989.67-72.49</f>
        <v>382612.16</v>
      </c>
      <c r="I109" s="83"/>
      <c r="J109" s="83"/>
      <c r="K109" s="83">
        <f>H109+100000-36971.24-103.47+1353.08</f>
        <v>446890.53</v>
      </c>
      <c r="L109" s="83"/>
      <c r="M109" s="83"/>
      <c r="N109" s="80">
        <f>K109+994.9-163-53478.09</f>
        <v>394244.34000000008</v>
      </c>
      <c r="O109" s="81"/>
      <c r="P109" s="82"/>
      <c r="Q109" s="66">
        <f>N109+766.4-808.1-56378.6</f>
        <v>337824.04000000015</v>
      </c>
      <c r="R109" s="66"/>
      <c r="S109" s="66"/>
      <c r="T109" s="66">
        <f>Q109+573.82-97.86-70257.38</f>
        <v>268042.62000000017</v>
      </c>
      <c r="U109" s="66"/>
      <c r="V109" s="66"/>
      <c r="W109" s="66">
        <f>T109+397.83-28480.77-46.61</f>
        <v>239913.07000000021</v>
      </c>
      <c r="X109" s="66"/>
      <c r="Y109" s="66"/>
      <c r="Z109" s="58"/>
      <c r="AA109" s="58"/>
      <c r="AB109" s="58"/>
      <c r="AC109" s="58"/>
      <c r="AD109" s="58"/>
      <c r="AE109" s="58"/>
    </row>
    <row r="110" spans="1:31" x14ac:dyDescent="0.25">
      <c r="A110" s="59" t="s">
        <v>108</v>
      </c>
      <c r="B110" s="73">
        <v>675639.54</v>
      </c>
      <c r="C110" s="74"/>
      <c r="D110" s="75"/>
      <c r="E110" s="80">
        <f>B110+100000+2528.85</f>
        <v>778168.39</v>
      </c>
      <c r="F110" s="81"/>
      <c r="G110" s="82"/>
      <c r="H110" s="83">
        <f>E110+2097.79</f>
        <v>780266.18</v>
      </c>
      <c r="I110" s="83"/>
      <c r="J110" s="83"/>
      <c r="K110" s="83">
        <f>H110+748.68</f>
        <v>781014.8600000001</v>
      </c>
      <c r="L110" s="83"/>
      <c r="M110" s="83"/>
      <c r="N110" s="76">
        <f>K110-462.33</f>
        <v>780552.53000000014</v>
      </c>
      <c r="O110" s="77"/>
      <c r="P110" s="78"/>
      <c r="Q110" s="79">
        <f>N110+2494.19-1448.28</f>
        <v>781598.44000000006</v>
      </c>
      <c r="R110" s="79"/>
      <c r="S110" s="79"/>
      <c r="T110" s="66">
        <f>Q110+1968.57</f>
        <v>783567.01</v>
      </c>
      <c r="U110" s="66"/>
      <c r="V110" s="66"/>
      <c r="W110" s="66">
        <f>T110+100000+2362.86</f>
        <v>885929.87</v>
      </c>
      <c r="X110" s="66"/>
      <c r="Y110" s="66"/>
      <c r="AB110" s="84"/>
      <c r="AC110" s="84"/>
      <c r="AD110" s="84"/>
      <c r="AE110" s="84"/>
    </row>
    <row r="111" spans="1:31" x14ac:dyDescent="0.25">
      <c r="A111" s="59" t="s">
        <v>109</v>
      </c>
      <c r="B111" s="73">
        <v>0</v>
      </c>
      <c r="C111" s="74"/>
      <c r="D111" s="75"/>
      <c r="E111" s="80">
        <v>0</v>
      </c>
      <c r="F111" s="81"/>
      <c r="G111" s="82"/>
      <c r="H111" s="80">
        <v>0</v>
      </c>
      <c r="I111" s="81"/>
      <c r="J111" s="82"/>
      <c r="K111" s="80">
        <v>0</v>
      </c>
      <c r="L111" s="81"/>
      <c r="M111" s="82"/>
      <c r="N111" s="80">
        <f>100000+25.38</f>
        <v>100025.38</v>
      </c>
      <c r="O111" s="81"/>
      <c r="P111" s="82"/>
      <c r="Q111" s="66">
        <f>N111+209.71-35.26</f>
        <v>100199.83000000002</v>
      </c>
      <c r="R111" s="66"/>
      <c r="S111" s="66"/>
      <c r="T111" s="66">
        <f>Q111+184.59</f>
        <v>100384.42000000001</v>
      </c>
      <c r="U111" s="66"/>
      <c r="V111" s="66"/>
      <c r="W111" s="66">
        <f>T111+161.21</f>
        <v>100545.63000000002</v>
      </c>
      <c r="X111" s="66"/>
      <c r="Y111" s="66"/>
      <c r="Z111" s="58"/>
      <c r="AA111" s="58"/>
      <c r="AB111" s="58"/>
      <c r="AC111" s="58"/>
      <c r="AD111" s="58"/>
      <c r="AE111" s="58"/>
    </row>
    <row r="112" spans="1:31" x14ac:dyDescent="0.25">
      <c r="A112" s="59" t="s">
        <v>110</v>
      </c>
      <c r="B112" s="73">
        <v>1016116.05</v>
      </c>
      <c r="C112" s="74"/>
      <c r="D112" s="75"/>
      <c r="E112" s="80">
        <f>B112+3456.99</f>
        <v>1019573.04</v>
      </c>
      <c r="F112" s="81"/>
      <c r="G112" s="82"/>
      <c r="H112" s="83">
        <f>E112+2306.35</f>
        <v>1021879.39</v>
      </c>
      <c r="I112" s="83"/>
      <c r="J112" s="83"/>
      <c r="K112" s="83">
        <f>H112+2670.71</f>
        <v>1024550.1</v>
      </c>
      <c r="L112" s="83"/>
      <c r="M112" s="83"/>
      <c r="N112" s="80">
        <f>K112+2243.52</f>
        <v>1026793.62</v>
      </c>
      <c r="O112" s="81"/>
      <c r="P112" s="82"/>
      <c r="Q112" s="66">
        <f>N112+1884.67</f>
        <v>1028678.29</v>
      </c>
      <c r="R112" s="66"/>
      <c r="S112" s="66"/>
      <c r="T112" s="66">
        <f>Q112+1703.34</f>
        <v>1030381.63</v>
      </c>
      <c r="U112" s="66"/>
      <c r="V112" s="66"/>
      <c r="W112" s="66">
        <f>T112+2538.73</f>
        <v>1032920.36</v>
      </c>
      <c r="X112" s="66"/>
      <c r="Y112" s="66"/>
      <c r="Z112" s="58"/>
      <c r="AA112" s="58"/>
      <c r="AB112" s="72"/>
      <c r="AC112" s="72"/>
      <c r="AD112" s="58"/>
      <c r="AE112" s="58"/>
    </row>
    <row r="113" spans="1:31" x14ac:dyDescent="0.25">
      <c r="A113" s="59" t="s">
        <v>111</v>
      </c>
      <c r="B113" s="73">
        <v>113425.27</v>
      </c>
      <c r="C113" s="74"/>
      <c r="D113" s="75"/>
      <c r="E113" s="76">
        <f>B113+447.4-113872.67</f>
        <v>0</v>
      </c>
      <c r="F113" s="77"/>
      <c r="G113" s="78"/>
      <c r="H113" s="79">
        <v>0</v>
      </c>
      <c r="I113" s="79"/>
      <c r="J113" s="79"/>
      <c r="K113" s="79">
        <f>0</f>
        <v>0</v>
      </c>
      <c r="L113" s="79"/>
      <c r="M113" s="79"/>
      <c r="N113" s="80">
        <v>0</v>
      </c>
      <c r="O113" s="81"/>
      <c r="P113" s="82"/>
      <c r="Q113" s="66">
        <v>0</v>
      </c>
      <c r="R113" s="66"/>
      <c r="S113" s="66"/>
      <c r="T113" s="66">
        <f>0</f>
        <v>0</v>
      </c>
      <c r="U113" s="66"/>
      <c r="V113" s="66"/>
      <c r="W113" s="66">
        <f>0</f>
        <v>0</v>
      </c>
      <c r="X113" s="66"/>
      <c r="Y113" s="66"/>
      <c r="Z113" s="58"/>
      <c r="AA113" s="58"/>
      <c r="AB113" s="58"/>
      <c r="AC113" s="58"/>
      <c r="AD113" s="58"/>
      <c r="AE113" s="58"/>
    </row>
    <row r="114" spans="1:31" x14ac:dyDescent="0.25">
      <c r="A114" s="60" t="s">
        <v>112</v>
      </c>
      <c r="B114" s="67">
        <f>SUM(B109:D113)</f>
        <v>2149789.85</v>
      </c>
      <c r="C114" s="68"/>
      <c r="D114" s="69"/>
      <c r="E114" s="67">
        <f>SUM(E109:G113)</f>
        <v>2213083.38</v>
      </c>
      <c r="F114" s="68"/>
      <c r="G114" s="69"/>
      <c r="H114" s="70">
        <f>SUM(H109:J113)</f>
        <v>2184757.73</v>
      </c>
      <c r="I114" s="70"/>
      <c r="J114" s="70"/>
      <c r="K114" s="70">
        <f>SUM(K109:M113)</f>
        <v>2252455.4900000002</v>
      </c>
      <c r="L114" s="70"/>
      <c r="M114" s="70"/>
      <c r="N114" s="70">
        <f>SUM(N109:P113)</f>
        <v>2301615.87</v>
      </c>
      <c r="O114" s="70"/>
      <c r="P114" s="70"/>
      <c r="Q114" s="70">
        <f>SUM(Q109:S113)</f>
        <v>2248300.6000000006</v>
      </c>
      <c r="R114" s="70"/>
      <c r="S114" s="70"/>
      <c r="T114" s="70">
        <f>SUM(T109:V113)</f>
        <v>2182375.6800000002</v>
      </c>
      <c r="U114" s="70"/>
      <c r="V114" s="70"/>
      <c r="W114" s="71">
        <f>SUM(W109:Y113)</f>
        <v>2259308.9300000002</v>
      </c>
      <c r="X114" s="71"/>
      <c r="Y114" s="71"/>
      <c r="Z114" s="58"/>
      <c r="AA114" s="58"/>
      <c r="AB114" s="58"/>
      <c r="AC114" s="58"/>
      <c r="AD114" s="58"/>
      <c r="AE114" s="58"/>
    </row>
    <row r="115" spans="1:31" x14ac:dyDescent="0.25">
      <c r="A115" s="61" t="s">
        <v>113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58"/>
      <c r="R115" s="58"/>
      <c r="S115" s="62"/>
      <c r="T115" s="58"/>
      <c r="U115" s="58"/>
      <c r="V115" s="62"/>
      <c r="W115" s="58"/>
      <c r="X115" s="58"/>
      <c r="Y115" s="62"/>
      <c r="Z115" s="58"/>
      <c r="AA115" s="58"/>
      <c r="AB115" s="58"/>
      <c r="AC115" s="58"/>
      <c r="AD115" s="58"/>
      <c r="AE115" s="58"/>
    </row>
    <row r="116" spans="1:31" x14ac:dyDescent="0.25">
      <c r="A116" s="63" t="s">
        <v>114</v>
      </c>
      <c r="B116" s="62"/>
      <c r="C116" s="62"/>
      <c r="D116" s="62"/>
      <c r="E116" s="62"/>
      <c r="F116" s="62"/>
      <c r="Q116" s="58"/>
      <c r="R116" s="58"/>
      <c r="T116" s="58"/>
      <c r="U116" s="58"/>
      <c r="W116" s="58"/>
      <c r="X116" s="58"/>
      <c r="Z116" s="58"/>
      <c r="AA116" s="58"/>
      <c r="AB116" s="58"/>
      <c r="AC116" s="58"/>
      <c r="AD116" s="58"/>
      <c r="AE116" s="58"/>
    </row>
    <row r="117" spans="1:31" x14ac:dyDescent="0.25">
      <c r="A117" s="63" t="s">
        <v>115</v>
      </c>
      <c r="B117" s="62"/>
      <c r="C117" s="62"/>
      <c r="D117" s="62"/>
      <c r="E117" s="62"/>
      <c r="F117" s="62"/>
      <c r="Q117" s="58"/>
      <c r="R117" s="58"/>
      <c r="T117" s="58"/>
      <c r="U117" s="58"/>
      <c r="W117" s="58"/>
      <c r="X117" s="58"/>
      <c r="Z117" s="58"/>
      <c r="AA117" s="58"/>
      <c r="AB117" s="58"/>
      <c r="AC117" s="58"/>
      <c r="AD117" s="58"/>
      <c r="AE117" s="58"/>
    </row>
    <row r="118" spans="1:31" x14ac:dyDescent="0.25">
      <c r="A118" s="65" t="s">
        <v>116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</row>
    <row r="119" spans="1:31" x14ac:dyDescent="0.25">
      <c r="A119" s="64" t="s">
        <v>117</v>
      </c>
      <c r="B119" s="64"/>
      <c r="C119" s="64"/>
      <c r="D119" s="64"/>
      <c r="E119" s="64"/>
      <c r="F119" s="64"/>
      <c r="G119" s="62"/>
      <c r="H119" s="64"/>
      <c r="I119" s="64"/>
      <c r="J119" s="62"/>
      <c r="K119" s="64"/>
      <c r="L119" s="64"/>
      <c r="M119" s="62"/>
      <c r="N119" s="64"/>
      <c r="O119" s="64"/>
      <c r="P119" s="62"/>
      <c r="Q119" s="64"/>
      <c r="R119" s="64"/>
      <c r="S119" s="62"/>
      <c r="T119" s="64"/>
      <c r="U119" s="64"/>
      <c r="V119" s="62"/>
      <c r="W119" s="64"/>
      <c r="X119" s="64"/>
      <c r="Y119" s="62"/>
      <c r="Z119" s="64"/>
      <c r="AA119" s="64"/>
      <c r="AB119" s="64"/>
      <c r="AC119" s="64"/>
      <c r="AD119" s="64"/>
      <c r="AE119" s="64"/>
    </row>
    <row r="120" spans="1:31" x14ac:dyDescent="0.25">
      <c r="A120" s="64" t="s">
        <v>118</v>
      </c>
      <c r="B120" s="64"/>
      <c r="C120" s="64"/>
      <c r="D120" s="64"/>
      <c r="E120" s="64"/>
      <c r="F120" s="64"/>
      <c r="G120" s="62"/>
      <c r="H120" s="64"/>
      <c r="I120" s="64"/>
      <c r="J120" s="62"/>
      <c r="K120" s="64"/>
      <c r="L120" s="64"/>
      <c r="M120" s="62"/>
      <c r="N120" s="64"/>
      <c r="O120" s="64"/>
      <c r="P120" s="62"/>
      <c r="Q120" s="64"/>
      <c r="R120" s="64"/>
      <c r="S120" s="62"/>
      <c r="T120" s="64"/>
      <c r="U120" s="64"/>
      <c r="V120" s="62"/>
      <c r="W120" s="64"/>
      <c r="X120" s="64"/>
      <c r="Y120" s="62"/>
      <c r="Z120" s="64"/>
      <c r="AA120" s="64"/>
      <c r="AB120" s="64"/>
      <c r="AC120" s="64"/>
      <c r="AD120" s="64"/>
      <c r="AE120" s="64"/>
    </row>
    <row r="121" spans="1:31" x14ac:dyDescent="0.25">
      <c r="A121" s="64" t="s">
        <v>119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</row>
    <row r="122" spans="1:31" x14ac:dyDescent="0.25">
      <c r="A122" s="64" t="s">
        <v>120</v>
      </c>
    </row>
    <row r="123" spans="1:31" x14ac:dyDescent="0.25">
      <c r="A123" s="64" t="s">
        <v>121</v>
      </c>
    </row>
    <row r="124" spans="1:31" x14ac:dyDescent="0.25">
      <c r="A124" s="64" t="s">
        <v>122</v>
      </c>
    </row>
    <row r="125" spans="1:31" x14ac:dyDescent="0.25">
      <c r="A125" s="64" t="s">
        <v>124</v>
      </c>
    </row>
  </sheetData>
  <sheetProtection algorithmName="SHA-512" hashValue="bAC9+quHh/7Mv31yO8InoiuxfEy1VduDj8gfvH7s8cAXsfetprIlBGS/CtYkmmbrO32WURzFy4GD7oaR7+cyFw==" saltValue="CNxaiTLfU8wm96XDFLWz/w==" spinCount="100000" sheet="1" objects="1" scenarios="1"/>
  <mergeCells count="894">
    <mergeCell ref="A1:AE4"/>
    <mergeCell ref="A5:AE6"/>
    <mergeCell ref="A7:AE8"/>
    <mergeCell ref="A9:AE9"/>
    <mergeCell ref="A10:AE10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W14:Y14"/>
    <mergeCell ref="Z14:AB14"/>
    <mergeCell ref="AC14:AE14"/>
    <mergeCell ref="W15:Y15"/>
    <mergeCell ref="Z15:AB15"/>
    <mergeCell ref="AC15:AE15"/>
    <mergeCell ref="B12:D12"/>
    <mergeCell ref="E12:G12"/>
    <mergeCell ref="N12:P12"/>
    <mergeCell ref="Q12:S12"/>
    <mergeCell ref="T12:V12"/>
    <mergeCell ref="W12:Y12"/>
    <mergeCell ref="Z12:AB12"/>
    <mergeCell ref="AC12:AE12"/>
    <mergeCell ref="B13:D13"/>
    <mergeCell ref="E13:G13"/>
    <mergeCell ref="N13:P13"/>
    <mergeCell ref="Q13:S13"/>
    <mergeCell ref="T13:V13"/>
    <mergeCell ref="W13:Y13"/>
    <mergeCell ref="Z13:AB13"/>
    <mergeCell ref="AC13:AE13"/>
    <mergeCell ref="B15:D15"/>
    <mergeCell ref="E15:G15"/>
    <mergeCell ref="K15:M15"/>
    <mergeCell ref="N15:P15"/>
    <mergeCell ref="Q15:S15"/>
    <mergeCell ref="T15:V15"/>
    <mergeCell ref="B14:D14"/>
    <mergeCell ref="E14:G14"/>
    <mergeCell ref="N14:P14"/>
    <mergeCell ref="Q14:S14"/>
    <mergeCell ref="T14:V14"/>
    <mergeCell ref="AC16:AE16"/>
    <mergeCell ref="B17:D17"/>
    <mergeCell ref="E17:G17"/>
    <mergeCell ref="N17:P17"/>
    <mergeCell ref="Q17:S17"/>
    <mergeCell ref="T17:V17"/>
    <mergeCell ref="W17:Y17"/>
    <mergeCell ref="Z17:AB17"/>
    <mergeCell ref="AC17:AE17"/>
    <mergeCell ref="B16:D16"/>
    <mergeCell ref="E16:G16"/>
    <mergeCell ref="N16:P16"/>
    <mergeCell ref="Q16:S16"/>
    <mergeCell ref="T16:V16"/>
    <mergeCell ref="W16:Y16"/>
    <mergeCell ref="Z16:AB16"/>
    <mergeCell ref="AC21:AC22"/>
    <mergeCell ref="AD21:AE21"/>
    <mergeCell ref="B22:C22"/>
    <mergeCell ref="Z18:AB18"/>
    <mergeCell ref="AC18:AE18"/>
    <mergeCell ref="A19:AE20"/>
    <mergeCell ref="A21:A22"/>
    <mergeCell ref="B21:D21"/>
    <mergeCell ref="E21:G21"/>
    <mergeCell ref="H21:J21"/>
    <mergeCell ref="K21:M21"/>
    <mergeCell ref="N21:P21"/>
    <mergeCell ref="Q21:S21"/>
    <mergeCell ref="B18:D18"/>
    <mergeCell ref="E18:G18"/>
    <mergeCell ref="N18:P18"/>
    <mergeCell ref="Q18:S18"/>
    <mergeCell ref="T18:V18"/>
    <mergeCell ref="W18:Y18"/>
    <mergeCell ref="B23:C23"/>
    <mergeCell ref="B24:C24"/>
    <mergeCell ref="B25:C25"/>
    <mergeCell ref="B26:C26"/>
    <mergeCell ref="B27:C27"/>
    <mergeCell ref="E27:F27"/>
    <mergeCell ref="T21:V21"/>
    <mergeCell ref="W21:Y21"/>
    <mergeCell ref="Z21:AB21"/>
    <mergeCell ref="Z27:AA27"/>
    <mergeCell ref="H27:I27"/>
    <mergeCell ref="K27:L27"/>
    <mergeCell ref="N27:O27"/>
    <mergeCell ref="Q27:R27"/>
    <mergeCell ref="T27:U27"/>
    <mergeCell ref="W27:X27"/>
    <mergeCell ref="A28:AE29"/>
    <mergeCell ref="A30:AE30"/>
    <mergeCell ref="A31:AE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D32:AE32"/>
    <mergeCell ref="AD33:AE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D34:AE34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D35:AE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AD36:AE36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D37:AE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D38:AE38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D39:AE39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D40:AE40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D41:AE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D42:AE42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D43:AE43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D44:AE44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D45:AE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D46:AE46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D47:AE47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D48:AE48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D49:AE49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D50:AE50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D51:AE51"/>
    <mergeCell ref="B52:D52"/>
    <mergeCell ref="E52:G52"/>
    <mergeCell ref="H52:J52"/>
    <mergeCell ref="K52:M52"/>
    <mergeCell ref="N52:P52"/>
    <mergeCell ref="Q52:S52"/>
    <mergeCell ref="T52:V52"/>
    <mergeCell ref="W52:Y52"/>
    <mergeCell ref="Z52:AB52"/>
    <mergeCell ref="AD52:AE52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D53:AE53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D54:AE54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D55:AE55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D56:AE56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D57:AE57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D58:AE58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D59:AE59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D60:AE60"/>
    <mergeCell ref="B59:D59"/>
    <mergeCell ref="E59:G59"/>
    <mergeCell ref="H59:J59"/>
    <mergeCell ref="K59:M59"/>
    <mergeCell ref="N59:P59"/>
    <mergeCell ref="Q59:S59"/>
    <mergeCell ref="T59:V59"/>
    <mergeCell ref="W59:Y59"/>
    <mergeCell ref="Z59:AB59"/>
    <mergeCell ref="AD61:AE61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D62:AE62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D63:AE63"/>
    <mergeCell ref="B64:D64"/>
    <mergeCell ref="E64:G64"/>
    <mergeCell ref="H64:J64"/>
    <mergeCell ref="K64:M64"/>
    <mergeCell ref="N64:P64"/>
    <mergeCell ref="Q64:S64"/>
    <mergeCell ref="T64:V64"/>
    <mergeCell ref="W64:Y64"/>
    <mergeCell ref="Z64:AB64"/>
    <mergeCell ref="AD64:AE64"/>
    <mergeCell ref="B63:D63"/>
    <mergeCell ref="E63:G63"/>
    <mergeCell ref="H63:J63"/>
    <mergeCell ref="K63:M63"/>
    <mergeCell ref="N63:P63"/>
    <mergeCell ref="Q63:S63"/>
    <mergeCell ref="T63:V63"/>
    <mergeCell ref="W63:Y63"/>
    <mergeCell ref="Z63:AB63"/>
    <mergeCell ref="AD65:AE65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D66:AE66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D67:AE67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D68:AE68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D69:AE69"/>
    <mergeCell ref="B70:D70"/>
    <mergeCell ref="E70:G70"/>
    <mergeCell ref="H70:J70"/>
    <mergeCell ref="K70:M70"/>
    <mergeCell ref="N70:P70"/>
    <mergeCell ref="Q70:S70"/>
    <mergeCell ref="T70:V70"/>
    <mergeCell ref="W70:Y70"/>
    <mergeCell ref="Z70:AB70"/>
    <mergeCell ref="AD70:AE70"/>
    <mergeCell ref="B69:D69"/>
    <mergeCell ref="E69:G69"/>
    <mergeCell ref="H69:J69"/>
    <mergeCell ref="K69:M69"/>
    <mergeCell ref="N69:P69"/>
    <mergeCell ref="Q69:S69"/>
    <mergeCell ref="T69:V69"/>
    <mergeCell ref="W69:Y69"/>
    <mergeCell ref="Z69:AB69"/>
    <mergeCell ref="AD71:AE71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D72:AE72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D73:AE73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AD74:AE74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D75:AE75"/>
    <mergeCell ref="B76:D76"/>
    <mergeCell ref="E76:G76"/>
    <mergeCell ref="H76:J76"/>
    <mergeCell ref="K76:M76"/>
    <mergeCell ref="N76:P76"/>
    <mergeCell ref="Q76:S76"/>
    <mergeCell ref="T76:V76"/>
    <mergeCell ref="W76:Y76"/>
    <mergeCell ref="Z76:AB76"/>
    <mergeCell ref="AD76:AE76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D77:AE77"/>
    <mergeCell ref="B78:D78"/>
    <mergeCell ref="E78:G78"/>
    <mergeCell ref="H78:J78"/>
    <mergeCell ref="K78:M78"/>
    <mergeCell ref="N78:P78"/>
    <mergeCell ref="Q78:S78"/>
    <mergeCell ref="T78:V78"/>
    <mergeCell ref="W78:Y78"/>
    <mergeCell ref="Z78:AB78"/>
    <mergeCell ref="AD78:AE78"/>
    <mergeCell ref="B77:D77"/>
    <mergeCell ref="E77:G77"/>
    <mergeCell ref="H77:J77"/>
    <mergeCell ref="K77:M77"/>
    <mergeCell ref="N77:P77"/>
    <mergeCell ref="Q77:S77"/>
    <mergeCell ref="T77:V77"/>
    <mergeCell ref="W77:Y77"/>
    <mergeCell ref="Z77:AB77"/>
    <mergeCell ref="AD79:AE79"/>
    <mergeCell ref="B80:D80"/>
    <mergeCell ref="E80:G80"/>
    <mergeCell ref="H80:J80"/>
    <mergeCell ref="K80:M80"/>
    <mergeCell ref="N80:P80"/>
    <mergeCell ref="Q80:S80"/>
    <mergeCell ref="T80:V80"/>
    <mergeCell ref="W80:Y80"/>
    <mergeCell ref="Z80:AB80"/>
    <mergeCell ref="AD80:AE80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AD81:AE81"/>
    <mergeCell ref="B82:D82"/>
    <mergeCell ref="E82:G82"/>
    <mergeCell ref="H82:J82"/>
    <mergeCell ref="K82:M82"/>
    <mergeCell ref="N82:P82"/>
    <mergeCell ref="Q82:S82"/>
    <mergeCell ref="T82:V82"/>
    <mergeCell ref="W82:Y82"/>
    <mergeCell ref="Z82:AB82"/>
    <mergeCell ref="AD82:AE82"/>
    <mergeCell ref="B81:D81"/>
    <mergeCell ref="E81:G81"/>
    <mergeCell ref="H81:J81"/>
    <mergeCell ref="K81:M81"/>
    <mergeCell ref="N81:P81"/>
    <mergeCell ref="Q81:S81"/>
    <mergeCell ref="T81:V81"/>
    <mergeCell ref="W81:Y81"/>
    <mergeCell ref="Z81:AB81"/>
    <mergeCell ref="AD83:AE83"/>
    <mergeCell ref="B84:D84"/>
    <mergeCell ref="E84:G84"/>
    <mergeCell ref="H84:J84"/>
    <mergeCell ref="K84:M84"/>
    <mergeCell ref="N84:P84"/>
    <mergeCell ref="Q84:S84"/>
    <mergeCell ref="T84:V84"/>
    <mergeCell ref="W84:Y84"/>
    <mergeCell ref="Z84:AB84"/>
    <mergeCell ref="AD84:AE84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D85:AE85"/>
    <mergeCell ref="B86:D86"/>
    <mergeCell ref="E86:G86"/>
    <mergeCell ref="H86:J86"/>
    <mergeCell ref="K86:M86"/>
    <mergeCell ref="N86:P86"/>
    <mergeCell ref="Q86:S86"/>
    <mergeCell ref="T86:V86"/>
    <mergeCell ref="W86:Y86"/>
    <mergeCell ref="Z86:AB86"/>
    <mergeCell ref="AD86:AE86"/>
    <mergeCell ref="B85:D85"/>
    <mergeCell ref="E85:G85"/>
    <mergeCell ref="H85:J85"/>
    <mergeCell ref="K85:M85"/>
    <mergeCell ref="N85:P85"/>
    <mergeCell ref="Q85:S85"/>
    <mergeCell ref="T85:V85"/>
    <mergeCell ref="W85:Y85"/>
    <mergeCell ref="Z85:AB85"/>
    <mergeCell ref="AD87:AE87"/>
    <mergeCell ref="B88:D88"/>
    <mergeCell ref="E88:G88"/>
    <mergeCell ref="H88:J88"/>
    <mergeCell ref="K88:M88"/>
    <mergeCell ref="N88:P88"/>
    <mergeCell ref="Q88:S88"/>
    <mergeCell ref="T88:V88"/>
    <mergeCell ref="W88:Y88"/>
    <mergeCell ref="Z88:AB88"/>
    <mergeCell ref="AD88:AE88"/>
    <mergeCell ref="B87:D87"/>
    <mergeCell ref="E87:G87"/>
    <mergeCell ref="H87:J87"/>
    <mergeCell ref="K87:M87"/>
    <mergeCell ref="N87:P87"/>
    <mergeCell ref="Q87:S87"/>
    <mergeCell ref="T87:V87"/>
    <mergeCell ref="W87:Y87"/>
    <mergeCell ref="Z87:AB87"/>
    <mergeCell ref="AD89:AE89"/>
    <mergeCell ref="B90:D90"/>
    <mergeCell ref="E90:G90"/>
    <mergeCell ref="H90:J90"/>
    <mergeCell ref="K90:M90"/>
    <mergeCell ref="N90:P90"/>
    <mergeCell ref="Q90:S90"/>
    <mergeCell ref="T90:V90"/>
    <mergeCell ref="W90:Y90"/>
    <mergeCell ref="Z90:AB90"/>
    <mergeCell ref="AD90:AE90"/>
    <mergeCell ref="B89:D89"/>
    <mergeCell ref="E89:G89"/>
    <mergeCell ref="H89:J89"/>
    <mergeCell ref="K89:M89"/>
    <mergeCell ref="N89:P89"/>
    <mergeCell ref="Q89:S89"/>
    <mergeCell ref="T89:V89"/>
    <mergeCell ref="W89:Y89"/>
    <mergeCell ref="Z89:AB89"/>
    <mergeCell ref="AD91:AE91"/>
    <mergeCell ref="B92:D92"/>
    <mergeCell ref="E92:G92"/>
    <mergeCell ref="H92:J92"/>
    <mergeCell ref="K92:M92"/>
    <mergeCell ref="N92:P92"/>
    <mergeCell ref="Q92:S92"/>
    <mergeCell ref="T92:V92"/>
    <mergeCell ref="W92:Y92"/>
    <mergeCell ref="Z92:AB92"/>
    <mergeCell ref="AD92:AE92"/>
    <mergeCell ref="B91:D91"/>
    <mergeCell ref="E91:G91"/>
    <mergeCell ref="H91:J91"/>
    <mergeCell ref="K91:M91"/>
    <mergeCell ref="N91:P91"/>
    <mergeCell ref="Q91:S91"/>
    <mergeCell ref="T91:V91"/>
    <mergeCell ref="W91:Y91"/>
    <mergeCell ref="Z91:AB91"/>
    <mergeCell ref="AD93:AE93"/>
    <mergeCell ref="B94:D94"/>
    <mergeCell ref="E94:G94"/>
    <mergeCell ref="H94:J94"/>
    <mergeCell ref="K94:M94"/>
    <mergeCell ref="N94:P94"/>
    <mergeCell ref="Q94:S94"/>
    <mergeCell ref="T94:V94"/>
    <mergeCell ref="W94:Y94"/>
    <mergeCell ref="Z94:AB94"/>
    <mergeCell ref="AD94:AE94"/>
    <mergeCell ref="B93:D93"/>
    <mergeCell ref="E93:G93"/>
    <mergeCell ref="H93:J93"/>
    <mergeCell ref="K93:M93"/>
    <mergeCell ref="N93:P93"/>
    <mergeCell ref="Q93:S93"/>
    <mergeCell ref="T93:V93"/>
    <mergeCell ref="W93:Y93"/>
    <mergeCell ref="Z93:AB93"/>
    <mergeCell ref="AD95:AE95"/>
    <mergeCell ref="B96:D96"/>
    <mergeCell ref="E96:G96"/>
    <mergeCell ref="H96:J96"/>
    <mergeCell ref="K96:M96"/>
    <mergeCell ref="N96:P96"/>
    <mergeCell ref="Q96:S96"/>
    <mergeCell ref="T96:V96"/>
    <mergeCell ref="W96:Y96"/>
    <mergeCell ref="Z96:AB96"/>
    <mergeCell ref="AD96:AE96"/>
    <mergeCell ref="B95:D95"/>
    <mergeCell ref="E95:G95"/>
    <mergeCell ref="H95:J95"/>
    <mergeCell ref="K95:M95"/>
    <mergeCell ref="N95:P95"/>
    <mergeCell ref="Q95:S95"/>
    <mergeCell ref="T95:V95"/>
    <mergeCell ref="W95:Y95"/>
    <mergeCell ref="Z95:AB95"/>
    <mergeCell ref="AD97:AE97"/>
    <mergeCell ref="B98:D98"/>
    <mergeCell ref="E98:G98"/>
    <mergeCell ref="H98:J98"/>
    <mergeCell ref="K98:M98"/>
    <mergeCell ref="N98:P98"/>
    <mergeCell ref="Q98:S98"/>
    <mergeCell ref="T98:V98"/>
    <mergeCell ref="W98:Y98"/>
    <mergeCell ref="Z98:AB98"/>
    <mergeCell ref="AD98:AE98"/>
    <mergeCell ref="B97:D97"/>
    <mergeCell ref="E97:G97"/>
    <mergeCell ref="H97:J97"/>
    <mergeCell ref="K97:M97"/>
    <mergeCell ref="N97:P97"/>
    <mergeCell ref="Q97:S97"/>
    <mergeCell ref="T97:V97"/>
    <mergeCell ref="W97:Y97"/>
    <mergeCell ref="Z97:AB97"/>
    <mergeCell ref="AD99:AE99"/>
    <mergeCell ref="B100:D100"/>
    <mergeCell ref="E100:G100"/>
    <mergeCell ref="H100:J100"/>
    <mergeCell ref="K100:M100"/>
    <mergeCell ref="N100:P100"/>
    <mergeCell ref="Q100:S100"/>
    <mergeCell ref="T100:V100"/>
    <mergeCell ref="W100:Y100"/>
    <mergeCell ref="Z100:AB100"/>
    <mergeCell ref="AD100:AE100"/>
    <mergeCell ref="B99:D99"/>
    <mergeCell ref="E99:G99"/>
    <mergeCell ref="H99:J99"/>
    <mergeCell ref="K99:M99"/>
    <mergeCell ref="N99:P99"/>
    <mergeCell ref="Q99:S99"/>
    <mergeCell ref="T99:V99"/>
    <mergeCell ref="W99:Y99"/>
    <mergeCell ref="Z99:AB99"/>
    <mergeCell ref="AD101:AE101"/>
    <mergeCell ref="B102:D102"/>
    <mergeCell ref="E102:G102"/>
    <mergeCell ref="H102:J102"/>
    <mergeCell ref="K102:M102"/>
    <mergeCell ref="N102:P102"/>
    <mergeCell ref="Q102:S102"/>
    <mergeCell ref="T102:V102"/>
    <mergeCell ref="W102:Y102"/>
    <mergeCell ref="Z102:AB102"/>
    <mergeCell ref="AD102:AE102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Z101:AB101"/>
    <mergeCell ref="AC104:AE104"/>
    <mergeCell ref="B105:D105"/>
    <mergeCell ref="AC105:AE105"/>
    <mergeCell ref="T103:V103"/>
    <mergeCell ref="W103:Y103"/>
    <mergeCell ref="Z103:AB103"/>
    <mergeCell ref="AD103:AE103"/>
    <mergeCell ref="B104:D104"/>
    <mergeCell ref="E104:G104"/>
    <mergeCell ref="H104:J104"/>
    <mergeCell ref="K104:M104"/>
    <mergeCell ref="N104:P104"/>
    <mergeCell ref="Q104:S104"/>
    <mergeCell ref="B103:D103"/>
    <mergeCell ref="E103:G103"/>
    <mergeCell ref="H103:J103"/>
    <mergeCell ref="K103:M103"/>
    <mergeCell ref="N103:P103"/>
    <mergeCell ref="Q103:S103"/>
    <mergeCell ref="T104:V104"/>
    <mergeCell ref="W104:Y104"/>
    <mergeCell ref="Z104:AB104"/>
    <mergeCell ref="A106:AE107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T109:V109"/>
    <mergeCell ref="W109:Y109"/>
    <mergeCell ref="B110:D110"/>
    <mergeCell ref="E110:G110"/>
    <mergeCell ref="H110:J110"/>
    <mergeCell ref="K110:M110"/>
    <mergeCell ref="N110:P110"/>
    <mergeCell ref="Q110:S110"/>
    <mergeCell ref="T110:V110"/>
    <mergeCell ref="W110:Y110"/>
    <mergeCell ref="B109:D109"/>
    <mergeCell ref="E109:G109"/>
    <mergeCell ref="H109:J109"/>
    <mergeCell ref="K109:M109"/>
    <mergeCell ref="N109:P109"/>
    <mergeCell ref="Q109:S109"/>
    <mergeCell ref="AB110:AE110"/>
    <mergeCell ref="B111:D111"/>
    <mergeCell ref="E111:G111"/>
    <mergeCell ref="H111:J111"/>
    <mergeCell ref="K111:M111"/>
    <mergeCell ref="N111:P111"/>
    <mergeCell ref="Q111:S111"/>
    <mergeCell ref="T111:V111"/>
    <mergeCell ref="W111:Y111"/>
    <mergeCell ref="T112:V112"/>
    <mergeCell ref="W112:Y112"/>
    <mergeCell ref="AB112:AC112"/>
    <mergeCell ref="B113:D113"/>
    <mergeCell ref="E113:G113"/>
    <mergeCell ref="H113:J113"/>
    <mergeCell ref="K113:M113"/>
    <mergeCell ref="N113:P113"/>
    <mergeCell ref="Q113:S113"/>
    <mergeCell ref="T113:V113"/>
    <mergeCell ref="B112:D112"/>
    <mergeCell ref="E112:G112"/>
    <mergeCell ref="H112:J112"/>
    <mergeCell ref="K112:M112"/>
    <mergeCell ref="N112:P112"/>
    <mergeCell ref="Q112:S112"/>
    <mergeCell ref="A118:AE118"/>
    <mergeCell ref="W113:Y113"/>
    <mergeCell ref="B114:D114"/>
    <mergeCell ref="E114:G114"/>
    <mergeCell ref="H114:J114"/>
    <mergeCell ref="K114:M114"/>
    <mergeCell ref="N114:P114"/>
    <mergeCell ref="Q114:S114"/>
    <mergeCell ref="T114:V114"/>
    <mergeCell ref="W114:Y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cp:lastPrinted>2020-08-05T20:15:26Z</cp:lastPrinted>
  <dcterms:created xsi:type="dcterms:W3CDTF">2020-08-05T20:13:47Z</dcterms:created>
  <dcterms:modified xsi:type="dcterms:W3CDTF">2021-04-12T18:45:04Z</dcterms:modified>
</cp:coreProperties>
</file>